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905" windowWidth="20730" windowHeight="4965"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成本法（仓储）" sheetId="79" state="hidden" r:id="rId27"/>
    <sheet name="收益法（倒）" sheetId="78" r:id="rId28"/>
    <sheet name="收益法 (仓储)" sheetId="8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住宅案例" sheetId="77"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'成本法（仓储）'!$A$1:$G$57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8">'收益法 (仓储)'!$A$1:$I$41</definedName>
    <definedName name="_xlnm.Print_Area" localSheetId="23">'收益法 (元)'!$A$1:$F$43,'收益法 (元)'!$H$3:$M$29,'收益法 (元)'!$A$45:$F$71,'收益法 (元)'!$I$46:$N$65</definedName>
    <definedName name="_xlnm.Print_Area" localSheetId="27">'收益法（倒）'!$A$1:$I$41</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7" i="1" l="1"/>
  <c r="G71" i="43"/>
  <c r="G72" i="43"/>
  <c r="G73" i="43"/>
  <c r="G74" i="43"/>
  <c r="G75" i="43"/>
  <c r="G76" i="43"/>
  <c r="G77" i="43"/>
  <c r="G78" i="43"/>
  <c r="G70" i="43"/>
  <c r="I20" i="80" l="1"/>
  <c r="I11" i="80"/>
  <c r="I5" i="80"/>
  <c r="C36" i="80"/>
  <c r="H28" i="80"/>
  <c r="E28" i="80" s="1"/>
  <c r="H27" i="80"/>
  <c r="H26" i="80"/>
  <c r="H25" i="80"/>
  <c r="E25" i="80" s="1"/>
  <c r="C22" i="80"/>
  <c r="F19" i="80"/>
  <c r="I17" i="80"/>
  <c r="F16" i="80"/>
  <c r="H15" i="80"/>
  <c r="E15" i="80"/>
  <c r="C15" i="80"/>
  <c r="H14" i="80"/>
  <c r="H12" i="80"/>
  <c r="M10" i="80"/>
  <c r="H10" i="80"/>
  <c r="P9" i="80"/>
  <c r="O10" i="80" s="1"/>
  <c r="H9" i="80"/>
  <c r="I8" i="80"/>
  <c r="I7" i="80"/>
  <c r="I6" i="80"/>
  <c r="M4" i="80"/>
  <c r="I4" i="80"/>
  <c r="G41" i="79"/>
  <c r="F38" i="79"/>
  <c r="E37" i="79"/>
  <c r="F36" i="79"/>
  <c r="F35" i="79"/>
  <c r="F34" i="79"/>
  <c r="F30" i="79"/>
  <c r="F48" i="79" s="1"/>
  <c r="C30" i="79"/>
  <c r="G22" i="79"/>
  <c r="F21" i="79"/>
  <c r="F40" i="79" s="1"/>
  <c r="F20" i="79"/>
  <c r="F39" i="79" s="1"/>
  <c r="E19" i="79"/>
  <c r="C19" i="79"/>
  <c r="E10" i="79"/>
  <c r="E9" i="79"/>
  <c r="C8" i="79"/>
  <c r="F7" i="79"/>
  <c r="G1" i="79"/>
  <c r="D30" i="43"/>
  <c r="D29" i="43"/>
  <c r="E28" i="78"/>
  <c r="H25" i="78"/>
  <c r="E25" i="78" s="1"/>
  <c r="I20" i="78"/>
  <c r="I17" i="78"/>
  <c r="H15" i="78"/>
  <c r="H14" i="78"/>
  <c r="H12" i="78"/>
  <c r="I11" i="78"/>
  <c r="H10" i="78"/>
  <c r="H9" i="78"/>
  <c r="I8" i="78"/>
  <c r="I7" i="78"/>
  <c r="I5" i="78"/>
  <c r="V7" i="1"/>
  <c r="C36" i="78"/>
  <c r="C22" i="78"/>
  <c r="F19" i="78"/>
  <c r="F16" i="78"/>
  <c r="E15" i="78"/>
  <c r="M10" i="78"/>
  <c r="P9" i="78"/>
  <c r="O10" i="78" s="1"/>
  <c r="M4" i="78"/>
  <c r="E127" i="21"/>
  <c r="I45" i="21"/>
  <c r="G45" i="21"/>
  <c r="A7" i="77"/>
  <c r="I37" i="21"/>
  <c r="G37" i="21"/>
  <c r="E37" i="21"/>
  <c r="C37" i="21"/>
  <c r="C11" i="21"/>
  <c r="I7" i="21"/>
  <c r="G7" i="21"/>
  <c r="C5" i="21"/>
  <c r="Y7" i="1"/>
  <c r="Y6" i="1"/>
  <c r="W7" i="1"/>
  <c r="N7" i="1"/>
  <c r="L7" i="1"/>
  <c r="I7" i="1"/>
  <c r="H7" i="1"/>
  <c r="E2" i="79"/>
  <c r="C36" i="79"/>
  <c r="E24" i="80" l="1"/>
  <c r="C21" i="80"/>
  <c r="E19" i="80" s="1"/>
  <c r="C18" i="80"/>
  <c r="E16" i="80" s="1"/>
  <c r="C21" i="79"/>
  <c r="C40" i="79"/>
  <c r="C48" i="79"/>
  <c r="E24" i="78"/>
  <c r="C21" i="78"/>
  <c r="E19" i="78" s="1"/>
  <c r="C15" i="78"/>
  <c r="C18" i="78"/>
  <c r="E16" i="78" s="1"/>
  <c r="D9" i="79"/>
  <c r="F27" i="79"/>
  <c r="F45" i="79" l="1"/>
  <c r="C9" i="79"/>
  <c r="C47" i="79"/>
  <c r="D45" i="79" s="1"/>
  <c r="C29" i="79"/>
  <c r="D27" i="79" s="1"/>
  <c r="F19" i="6" l="1"/>
  <c r="AL14" i="3"/>
  <c r="D3" i="4"/>
  <c r="A4" i="77"/>
  <c r="A5" i="77"/>
  <c r="A6" i="77"/>
  <c r="A8" i="77"/>
  <c r="A9" i="77"/>
  <c r="A10" i="77"/>
  <c r="A11" i="77"/>
  <c r="A3" i="77"/>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s="1"/>
  <c r="D83" i="21"/>
  <c r="E83" i="21" s="1"/>
  <c r="F83" i="21" s="1"/>
  <c r="G83" i="21" s="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D77" i="21"/>
  <c r="E77" i="21" s="1"/>
  <c r="B130" i="21"/>
  <c r="B128" i="21"/>
  <c r="J45" i="21" s="1"/>
  <c r="B126" i="21"/>
  <c r="B98" i="21"/>
  <c r="H31" i="21" s="1"/>
  <c r="B96" i="21"/>
  <c r="H30" i="21" s="1"/>
  <c r="U30" i="21" s="1"/>
  <c r="B94" i="21"/>
  <c r="J29" i="21"/>
  <c r="AC29" i="21" s="1"/>
  <c r="B92" i="21"/>
  <c r="F28" i="21" s="1"/>
  <c r="B90" i="21"/>
  <c r="J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81" i="43"/>
  <c r="H83" i="43" s="1"/>
  <c r="H113" i="43"/>
  <c r="F48" i="43"/>
  <c r="H52" i="43" s="1"/>
  <c r="M11" i="43"/>
  <c r="D17" i="43"/>
  <c r="I17" i="43"/>
  <c r="J17" i="43"/>
  <c r="F6" i="1"/>
  <c r="U17" i="39"/>
  <c r="S14" i="35"/>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F23" i="21"/>
  <c r="S23" i="21" s="1"/>
  <c r="E85" i="21"/>
  <c r="AC11" i="21"/>
  <c r="AA14" i="21"/>
  <c r="AB8" i="21"/>
  <c r="S8" i="21"/>
  <c r="M3" i="43"/>
  <c r="M1" i="43"/>
  <c r="N8" i="43"/>
  <c r="F70" i="43" s="1"/>
  <c r="D120" i="9"/>
  <c r="D121" i="9" s="1"/>
  <c r="D7" i="52" s="1"/>
  <c r="C18" i="9"/>
  <c r="D18" i="9" s="1"/>
  <c r="F34" i="67"/>
  <c r="F62" i="67"/>
  <c r="M20" i="67"/>
  <c r="F34" i="15"/>
  <c r="F62" i="15"/>
  <c r="G13" i="3"/>
  <c r="BA13" i="3"/>
  <c r="E10" i="6"/>
  <c r="BA5" i="3"/>
  <c r="E11" i="6"/>
  <c r="E61" i="39" s="1"/>
  <c r="BL17" i="3"/>
  <c r="AZ17" i="3"/>
  <c r="BL13" i="3"/>
  <c r="AZ13" i="3" s="1"/>
  <c r="J56" i="9"/>
  <c r="J57" i="9" s="1"/>
  <c r="J59" i="9" s="1"/>
  <c r="J61" i="9" s="1"/>
  <c r="A24" i="51"/>
  <c r="B18" i="72" s="1"/>
  <c r="U29" i="34"/>
  <c r="E14" i="6"/>
  <c r="E64" i="39" s="1"/>
  <c r="E5" i="6"/>
  <c r="D9" i="11" s="1"/>
  <c r="C9" i="11" s="1"/>
  <c r="E32" i="6"/>
  <c r="L19" i="6" s="1"/>
  <c r="G1" i="68"/>
  <c r="K1" i="12"/>
  <c r="AR12" i="1"/>
  <c r="AQ12" i="1"/>
  <c r="T12" i="1"/>
  <c r="AR10" i="1"/>
  <c r="T10" i="1"/>
  <c r="E19" i="69"/>
  <c r="E19" i="68"/>
  <c r="E19" i="11"/>
  <c r="E1" i="73"/>
  <c r="G22" i="69"/>
  <c r="G22" i="68"/>
  <c r="G26" i="12"/>
  <c r="G22" i="11"/>
  <c r="C100" i="43"/>
  <c r="E11" i="43"/>
  <c r="E10" i="43"/>
  <c r="E9" i="43"/>
  <c r="E8" i="43"/>
  <c r="C7" i="43"/>
  <c r="E81" i="43"/>
  <c r="B79" i="43"/>
  <c r="E48" i="43"/>
  <c r="B46" i="43"/>
  <c r="E70" i="43"/>
  <c r="B68" i="43"/>
  <c r="C24" i="43" s="1"/>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F33" i="21"/>
  <c r="AA33" i="21" s="1"/>
  <c r="J33" i="21"/>
  <c r="AC33" i="21" s="1"/>
  <c r="H33" i="21"/>
  <c r="AB33" i="21" s="1"/>
  <c r="AA26" i="21"/>
  <c r="AB14" i="21"/>
  <c r="AB46" i="21"/>
  <c r="W8" i="21"/>
  <c r="AC19" i="21"/>
  <c r="W39" i="21"/>
  <c r="AC14" i="21"/>
  <c r="S46" i="21"/>
  <c r="H45" i="21"/>
  <c r="U45" i="21" s="1"/>
  <c r="F29" i="21"/>
  <c r="S29" i="21" s="1"/>
  <c r="F13" i="21"/>
  <c r="AA13" i="21" s="1"/>
  <c r="AC38" i="21"/>
  <c r="H32" i="21"/>
  <c r="U32" i="21" s="1"/>
  <c r="H9" i="21"/>
  <c r="U9" i="21" s="1"/>
  <c r="J9" i="21"/>
  <c r="W9" i="21" s="1"/>
  <c r="J32" i="21"/>
  <c r="AC32" i="21" s="1"/>
  <c r="F32" i="21"/>
  <c r="AA32" i="21" s="1"/>
  <c r="W29" i="21"/>
  <c r="S19" i="21"/>
  <c r="K141" i="21"/>
  <c r="K144" i="21"/>
  <c r="K143" i="21"/>
  <c r="U27" i="21"/>
  <c r="AB25" i="21"/>
  <c r="AB44" i="21"/>
  <c r="AA30" i="21"/>
  <c r="W13" i="21"/>
  <c r="F10" i="21"/>
  <c r="S10" i="21" s="1"/>
  <c r="K145" i="21"/>
  <c r="AA29" i="21"/>
  <c r="W31" i="21"/>
  <c r="S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C13" i="12" s="1"/>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U23" i="21" s="1"/>
  <c r="D6" i="52"/>
  <c r="BL5" i="3"/>
  <c r="R22" i="31"/>
  <c r="AP7" i="1"/>
  <c r="W33" i="21"/>
  <c r="S33" i="21"/>
  <c r="S32" i="21"/>
  <c r="AC9" i="21"/>
  <c r="AA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51" i="43"/>
  <c r="H67" i="43"/>
  <c r="H59" i="43"/>
  <c r="H60" i="43"/>
  <c r="H61" i="43"/>
  <c r="M4" i="43"/>
  <c r="M5" i="43"/>
  <c r="N12" i="43"/>
  <c r="N11" i="43"/>
  <c r="M10" i="43"/>
  <c r="M2" i="43"/>
  <c r="M7" i="43"/>
  <c r="H54" i="43"/>
  <c r="N9" i="43"/>
  <c r="M8" i="43"/>
  <c r="C6" i="43" s="1"/>
  <c r="N10" i="43"/>
  <c r="H48" i="43"/>
  <c r="M6" i="43"/>
  <c r="N7" i="43"/>
  <c r="N4" i="43"/>
  <c r="N2" i="43"/>
  <c r="H49" i="43"/>
  <c r="N17" i="43"/>
  <c r="L17" i="43"/>
  <c r="O17" i="43"/>
  <c r="M17" i="43"/>
  <c r="E17" i="43"/>
  <c r="C70" i="39"/>
  <c r="D68" i="39"/>
  <c r="D70" i="39"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I59" i="34"/>
  <c r="J59" i="34" s="1"/>
  <c r="D11" i="71"/>
  <c r="T13" i="71"/>
  <c r="D12" i="71"/>
  <c r="D13" i="71"/>
  <c r="U13" i="71"/>
  <c r="F7" i="73"/>
  <c r="D2" i="33"/>
  <c r="B13" i="76"/>
  <c r="M6" i="15"/>
  <c r="F5" i="73"/>
  <c r="F6" i="67"/>
  <c r="AO11" i="1"/>
  <c r="D2" i="36"/>
  <c r="M27" i="67"/>
  <c r="E8" i="76"/>
  <c r="F4" i="73"/>
  <c r="D2" i="37"/>
  <c r="B7" i="76"/>
  <c r="F13" i="67"/>
  <c r="F37" i="67"/>
  <c r="E10" i="76"/>
  <c r="D34" i="9"/>
  <c r="B10" i="76"/>
  <c r="M21" i="67"/>
  <c r="AO13" i="1"/>
  <c r="F6" i="73"/>
  <c r="F36" i="15"/>
  <c r="F36" i="67"/>
  <c r="F37" i="15"/>
  <c r="D2" i="21"/>
  <c r="F40" i="15"/>
  <c r="F41" i="67"/>
  <c r="F35" i="67"/>
  <c r="F7" i="15"/>
  <c r="M9" i="67"/>
  <c r="M8" i="67"/>
  <c r="M24" i="15"/>
  <c r="B11" i="76"/>
  <c r="E2" i="68"/>
  <c r="F35" i="15"/>
  <c r="M21" i="15"/>
  <c r="E7" i="76"/>
  <c r="F9" i="15"/>
  <c r="M29" i="15"/>
  <c r="E13" i="76"/>
  <c r="M8" i="15"/>
  <c r="D2" i="35"/>
  <c r="J15" i="15"/>
  <c r="D6" i="73"/>
  <c r="AO8" i="1"/>
  <c r="J15" i="67"/>
  <c r="AO9" i="1"/>
  <c r="F8" i="15"/>
  <c r="L48" i="15"/>
  <c r="M23" i="67"/>
  <c r="F41" i="15"/>
  <c r="F16" i="67"/>
  <c r="D3" i="73"/>
  <c r="F38" i="67"/>
  <c r="M26" i="15"/>
  <c r="L47" i="67"/>
  <c r="E12" i="76"/>
  <c r="D7" i="73"/>
  <c r="F6" i="15"/>
  <c r="E11" i="76"/>
  <c r="F26" i="67"/>
  <c r="AO7" i="1"/>
  <c r="F20" i="31"/>
  <c r="F42" i="67"/>
  <c r="D2" i="34"/>
  <c r="E2" i="69"/>
  <c r="F43" i="15"/>
  <c r="M28" i="67"/>
  <c r="C76" i="67"/>
  <c r="C76" i="15"/>
  <c r="AO12" i="1"/>
  <c r="L48" i="67"/>
  <c r="F43" i="67"/>
  <c r="M24" i="67"/>
  <c r="F40" i="67"/>
  <c r="M23" i="15"/>
  <c r="M22" i="67"/>
  <c r="M26" i="67"/>
  <c r="F26" i="15"/>
  <c r="M6" i="67"/>
  <c r="F16" i="15"/>
  <c r="F7" i="67"/>
  <c r="D5" i="73"/>
  <c r="AO10" i="1"/>
  <c r="M22" i="15"/>
  <c r="B9" i="76"/>
  <c r="B12" i="76"/>
  <c r="F38" i="15"/>
  <c r="B8" i="76"/>
  <c r="M28" i="15"/>
  <c r="M29" i="67"/>
  <c r="F9" i="67"/>
  <c r="F8" i="67"/>
  <c r="F3" i="73"/>
  <c r="F42" i="15"/>
  <c r="M27" i="15"/>
  <c r="D4" i="73"/>
  <c r="L47" i="15"/>
  <c r="D35" i="9"/>
  <c r="M9" i="15"/>
  <c r="E9" i="76"/>
  <c r="F13" i="15"/>
  <c r="G14" i="3" l="1"/>
  <c r="D38" i="43"/>
  <c r="AH7" i="1"/>
  <c r="M7" i="1"/>
  <c r="L27" i="6"/>
  <c r="O7" i="1"/>
  <c r="H73" i="43"/>
  <c r="H78" i="43"/>
  <c r="H72" i="43"/>
  <c r="H77" i="43"/>
  <c r="H70" i="43"/>
  <c r="H74" i="43"/>
  <c r="H71" i="43"/>
  <c r="H76" i="43"/>
  <c r="H82" i="43"/>
  <c r="F35" i="43"/>
  <c r="F39" i="43"/>
  <c r="F36" i="43"/>
  <c r="H75" i="43"/>
  <c r="G17" i="43"/>
  <c r="C16" i="43" s="1"/>
  <c r="C5" i="43" s="1"/>
  <c r="C21" i="68"/>
  <c r="C40" i="69"/>
  <c r="U13" i="21"/>
  <c r="AB13" i="21"/>
  <c r="W27" i="21"/>
  <c r="AC27" i="21"/>
  <c r="W45" i="21"/>
  <c r="AC45" i="21"/>
  <c r="S9" i="21"/>
  <c r="AA9" i="21"/>
  <c r="AB11" i="21"/>
  <c r="F81" i="21"/>
  <c r="G81" i="21" s="1"/>
  <c r="AB32" i="21"/>
  <c r="S13" i="21"/>
  <c r="U33" i="21"/>
  <c r="W36" i="21"/>
  <c r="S35" i="21"/>
  <c r="U35" i="21"/>
  <c r="U40" i="21"/>
  <c r="AC40" i="21"/>
  <c r="S42" i="21"/>
  <c r="W42" i="21"/>
  <c r="U43" i="21"/>
  <c r="AB45" i="21"/>
  <c r="S45" i="21"/>
  <c r="AC23" i="21"/>
  <c r="AC21" i="21"/>
  <c r="S21" i="21"/>
  <c r="AB19" i="21"/>
  <c r="U19" i="21"/>
  <c r="F17" i="21"/>
  <c r="AA17" i="21" s="1"/>
  <c r="F79" i="21"/>
  <c r="G79" i="21" s="1"/>
  <c r="H17" i="21"/>
  <c r="J17" i="21"/>
  <c r="AC17" i="21" s="1"/>
  <c r="J15" i="21"/>
  <c r="AC15" i="21" s="1"/>
  <c r="F15" i="21"/>
  <c r="F77" i="21"/>
  <c r="G77" i="21" s="1"/>
  <c r="H15" i="21"/>
  <c r="AA28" i="21"/>
  <c r="S28" i="21"/>
  <c r="AB31" i="21"/>
  <c r="U31" i="21"/>
  <c r="AC28" i="21"/>
  <c r="F31" i="21"/>
  <c r="J30" i="21"/>
  <c r="AB23" i="21"/>
  <c r="W15" i="21"/>
  <c r="AB39" i="21"/>
  <c r="AB38" i="21"/>
  <c r="W32" i="21"/>
  <c r="U34" i="21"/>
  <c r="H37" i="21"/>
  <c r="H113" i="21"/>
  <c r="F37" i="21"/>
  <c r="J37" i="21"/>
  <c r="W44" i="21"/>
  <c r="W25" i="21"/>
  <c r="AA25" i="21"/>
  <c r="AB30" i="21"/>
  <c r="U10" i="21"/>
  <c r="AB9" i="21"/>
  <c r="C92" i="9"/>
  <c r="C94" i="9"/>
  <c r="D68" i="9"/>
  <c r="F28" i="15"/>
  <c r="C28" i="15" s="1"/>
  <c r="F31" i="12"/>
  <c r="M18" i="67"/>
  <c r="F30" i="68"/>
  <c r="C31" i="12"/>
  <c r="C48" i="68"/>
  <c r="C36" i="11"/>
  <c r="F54" i="9"/>
  <c r="M18" i="15"/>
  <c r="F32" i="15"/>
  <c r="F60" i="15" s="1"/>
  <c r="F30" i="69"/>
  <c r="F32" i="67"/>
  <c r="F60" i="67" s="1"/>
  <c r="F52" i="9"/>
  <c r="F28" i="67"/>
  <c r="C28" i="67" s="1"/>
  <c r="F30" i="11"/>
  <c r="F53" i="9"/>
  <c r="C21" i="69"/>
  <c r="D22" i="67"/>
  <c r="Q16" i="1"/>
  <c r="AR8" i="1"/>
  <c r="T8" i="1"/>
  <c r="G30" i="6"/>
  <c r="G31" i="6" s="1"/>
  <c r="E28" i="6"/>
  <c r="K14" i="1" s="1"/>
  <c r="H16" i="1"/>
  <c r="G5" i="3"/>
  <c r="B3" i="3" s="1"/>
  <c r="A3" i="3" s="1"/>
  <c r="E322" i="3" s="1"/>
  <c r="E336" i="3"/>
  <c r="E511" i="3"/>
  <c r="E306" i="3"/>
  <c r="E134" i="3"/>
  <c r="E153" i="3"/>
  <c r="E567" i="3"/>
  <c r="E353" i="3"/>
  <c r="E402" i="3"/>
  <c r="E159" i="3"/>
  <c r="E269" i="3"/>
  <c r="E45" i="3"/>
  <c r="E193" i="3"/>
  <c r="E519" i="3"/>
  <c r="E573" i="3"/>
  <c r="E458" i="3"/>
  <c r="AZ14" i="3"/>
  <c r="F30" i="6"/>
  <c r="E12" i="6"/>
  <c r="E261" i="3"/>
  <c r="E183" i="3"/>
  <c r="E361" i="3"/>
  <c r="E503" i="3"/>
  <c r="E388" i="3"/>
  <c r="E555" i="3"/>
  <c r="E410" i="3"/>
  <c r="E337" i="3"/>
  <c r="E143" i="3"/>
  <c r="E270" i="3"/>
  <c r="E533" i="3"/>
  <c r="AR6" i="3"/>
  <c r="E561" i="3"/>
  <c r="E538" i="3"/>
  <c r="E439" i="3"/>
  <c r="E380" i="3"/>
  <c r="E231" i="3"/>
  <c r="E216" i="3"/>
  <c r="E53" i="3"/>
  <c r="E319" i="3"/>
  <c r="E501" i="3"/>
  <c r="F27" i="6"/>
  <c r="E27" i="6" s="1"/>
  <c r="E51" i="40"/>
  <c r="E56" i="39"/>
  <c r="AZ5" i="3"/>
  <c r="E16" i="6"/>
  <c r="E29" i="6"/>
  <c r="D19" i="12"/>
  <c r="C19" i="12" s="1"/>
  <c r="E59" i="40"/>
  <c r="D9" i="69"/>
  <c r="C9" i="69" s="1"/>
  <c r="E63" i="39"/>
  <c r="E65" i="39"/>
  <c r="E30" i="6"/>
  <c r="K15" i="1"/>
  <c r="F31" i="6"/>
  <c r="C36" i="69"/>
  <c r="O12" i="1"/>
  <c r="P12" i="1" s="1"/>
  <c r="O9" i="1"/>
  <c r="P9" i="1" s="1"/>
  <c r="O11" i="1"/>
  <c r="P11" i="1" s="1"/>
  <c r="O8" i="1"/>
  <c r="P7" i="1"/>
  <c r="E56" i="40"/>
  <c r="E68" i="39"/>
  <c r="D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C34" i="15"/>
  <c r="F63" i="15"/>
  <c r="C62" i="15" s="1"/>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J20" i="15"/>
  <c r="F68" i="15"/>
  <c r="C36" i="68"/>
  <c r="D9" i="68"/>
  <c r="C14" i="15"/>
  <c r="C17" i="15"/>
  <c r="G1" i="73"/>
  <c r="C16" i="67"/>
  <c r="C14" i="67"/>
  <c r="C16" i="15"/>
  <c r="C17" i="67"/>
  <c r="E343" i="3" l="1"/>
  <c r="E530" i="3"/>
  <c r="E175" i="3"/>
  <c r="E169" i="3"/>
  <c r="E298" i="3"/>
  <c r="E321" i="3"/>
  <c r="E338" i="3"/>
  <c r="E418" i="3"/>
  <c r="E506" i="3"/>
  <c r="E523" i="3"/>
  <c r="S6" i="3"/>
  <c r="E390" i="3"/>
  <c r="E97" i="3"/>
  <c r="E285" i="3"/>
  <c r="E359" i="3"/>
  <c r="E574" i="3"/>
  <c r="O6" i="3"/>
  <c r="E302" i="3"/>
  <c r="E17" i="3"/>
  <c r="E213" i="3"/>
  <c r="E528" i="3"/>
  <c r="E529" i="3"/>
  <c r="E532" i="3"/>
  <c r="E313" i="3"/>
  <c r="E224" i="3"/>
  <c r="E89" i="3"/>
  <c r="E236" i="3"/>
  <c r="E303" i="3"/>
  <c r="AN6" i="3"/>
  <c r="E227" i="3"/>
  <c r="E328" i="3"/>
  <c r="E91" i="3"/>
  <c r="E262" i="3"/>
  <c r="AK6" i="3"/>
  <c r="E293" i="3"/>
  <c r="E583" i="3"/>
  <c r="E268" i="3"/>
  <c r="E553" i="3"/>
  <c r="E526" i="3"/>
  <c r="E366" i="3"/>
  <c r="E217" i="3"/>
  <c r="E12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535" i="3"/>
  <c r="E550" i="3"/>
  <c r="E445" i="3"/>
  <c r="E260" i="3"/>
  <c r="E172" i="3"/>
  <c r="E565" i="3"/>
  <c r="E304" i="3"/>
  <c r="E237" i="3"/>
  <c r="E472" i="3"/>
  <c r="E437" i="3"/>
  <c r="E560" i="3"/>
  <c r="Q6" i="3"/>
  <c r="K6" i="3"/>
  <c r="E330" i="3"/>
  <c r="E133" i="3"/>
  <c r="E177" i="3"/>
  <c r="E277" i="3"/>
  <c r="E120" i="3"/>
  <c r="E122" i="3"/>
  <c r="E148" i="3"/>
  <c r="E156" i="3"/>
  <c r="E301" i="3"/>
  <c r="E350" i="3"/>
  <c r="E586" i="3"/>
  <c r="E495" i="3"/>
  <c r="E165" i="3"/>
  <c r="E461" i="3"/>
  <c r="E539" i="3"/>
  <c r="E426" i="3"/>
  <c r="E221" i="3"/>
  <c r="E254" i="3"/>
  <c r="E136" i="3"/>
  <c r="E296" i="3"/>
  <c r="E434" i="3"/>
  <c r="E16" i="3"/>
  <c r="E314" i="3"/>
  <c r="E246" i="3"/>
  <c r="X6" i="3"/>
  <c r="AJ6" i="3"/>
  <c r="I4" i="6"/>
  <c r="G3" i="43" s="1"/>
  <c r="E282" i="3"/>
  <c r="N6" i="3"/>
  <c r="E347" i="3"/>
  <c r="AA6" i="3"/>
  <c r="E399" i="3"/>
  <c r="E280" i="3"/>
  <c r="E124" i="3"/>
  <c r="E397" i="3"/>
  <c r="E568" i="3"/>
  <c r="I6" i="3"/>
  <c r="E536" i="3"/>
  <c r="E549" i="3"/>
  <c r="E453" i="3"/>
  <c r="E368" i="3"/>
  <c r="E244" i="3"/>
  <c r="E196" i="3"/>
  <c r="E185" i="3"/>
  <c r="E61" i="3"/>
  <c r="E135" i="3"/>
  <c r="E290" i="3"/>
  <c r="E161" i="3"/>
  <c r="E305" i="3"/>
  <c r="E508" i="3"/>
  <c r="E329" i="3"/>
  <c r="E545" i="3"/>
  <c r="E510" i="3"/>
  <c r="E352" i="3"/>
  <c r="E205" i="3"/>
  <c r="E128" i="3"/>
  <c r="E385" i="3"/>
  <c r="E518" i="3"/>
  <c r="AI6" i="3"/>
  <c r="E578" i="3"/>
  <c r="E423" i="3"/>
  <c r="E382" i="3"/>
  <c r="E263" i="3"/>
  <c r="E245"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69" i="3"/>
  <c r="E114" i="3"/>
  <c r="E278" i="3"/>
  <c r="E415" i="3"/>
  <c r="E563" i="3"/>
  <c r="E395" i="3"/>
  <c r="D1" i="43"/>
  <c r="H38" i="43"/>
  <c r="C9" i="68"/>
  <c r="W17" i="21"/>
  <c r="S17" i="21"/>
  <c r="AB17" i="21"/>
  <c r="U17" i="21"/>
  <c r="U15" i="21"/>
  <c r="AB15" i="21"/>
  <c r="S15" i="21"/>
  <c r="AA15" i="21"/>
  <c r="S31" i="21"/>
  <c r="AA31" i="21"/>
  <c r="AC30" i="21"/>
  <c r="W30" i="21"/>
  <c r="W37" i="21"/>
  <c r="AC37" i="21"/>
  <c r="AA37" i="21"/>
  <c r="S37" i="21"/>
  <c r="U37" i="21"/>
  <c r="AB37" i="21"/>
  <c r="F48" i="68"/>
  <c r="C30" i="68"/>
  <c r="C48" i="11"/>
  <c r="C30" i="11"/>
  <c r="F48" i="69"/>
  <c r="C30" i="69"/>
  <c r="C48" i="69"/>
  <c r="F27" i="69"/>
  <c r="F27" i="11"/>
  <c r="F28" i="12"/>
  <c r="C29" i="12" s="1"/>
  <c r="D28" i="12" s="1"/>
  <c r="K16" i="1"/>
  <c r="M14" i="1"/>
  <c r="C34" i="69"/>
  <c r="E180" i="3"/>
  <c r="E207" i="3"/>
  <c r="E252" i="3"/>
  <c r="E271" i="3"/>
  <c r="E204" i="3"/>
  <c r="E145" i="3"/>
  <c r="E164" i="3"/>
  <c r="E107" i="3"/>
  <c r="E327" i="3"/>
  <c r="E379" i="3"/>
  <c r="E576" i="3"/>
  <c r="E585" i="3"/>
  <c r="Z6" i="3"/>
  <c r="U6" i="3"/>
  <c r="AG6" i="3"/>
  <c r="E515" i="3"/>
  <c r="AO6" i="3"/>
  <c r="E411" i="3"/>
  <c r="E448" i="3"/>
  <c r="E149" i="3"/>
  <c r="E212" i="3"/>
  <c r="E167" i="3"/>
  <c r="E141" i="3"/>
  <c r="E312" i="3"/>
  <c r="AD6" i="3"/>
  <c r="E542" i="3"/>
  <c r="E552" i="3"/>
  <c r="E421" i="3"/>
  <c r="E464"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117" i="3"/>
  <c r="E253" i="3"/>
  <c r="E286" i="3"/>
  <c r="E499" i="3"/>
  <c r="E502" i="3"/>
  <c r="E478"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23" i="3"/>
  <c r="E77" i="3"/>
  <c r="E199" i="3"/>
  <c r="E575" i="3"/>
  <c r="R6" i="3"/>
  <c r="E44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35" i="3"/>
  <c r="E52" i="3"/>
  <c r="E86" i="3"/>
  <c r="E36" i="3"/>
  <c r="E8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6" i="3"/>
  <c r="E24"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H6" i="3"/>
  <c r="E57" i="40"/>
  <c r="E62" i="39"/>
  <c r="E66" i="39" s="1"/>
  <c r="K24" i="6"/>
  <c r="M24" i="6" s="1"/>
  <c r="I24" i="6" s="1"/>
  <c r="S24" i="6" s="1"/>
  <c r="K26" i="6"/>
  <c r="M26" i="6" s="1"/>
  <c r="I26" i="6" s="1"/>
  <c r="S26" i="6" s="1"/>
  <c r="K19" i="6"/>
  <c r="S6" i="1" s="1"/>
  <c r="E6" i="70" s="1"/>
  <c r="E2" i="70" s="1"/>
  <c r="K25" i="6"/>
  <c r="M25" i="6" s="1"/>
  <c r="I25" i="6" s="1"/>
  <c r="S25" i="6" s="1"/>
  <c r="K20" i="6"/>
  <c r="K21" i="6"/>
  <c r="M21" i="6" s="1"/>
  <c r="I21" i="6" s="1"/>
  <c r="S21" i="6" s="1"/>
  <c r="K22" i="6"/>
  <c r="M22" i="6" s="1"/>
  <c r="I22" i="6" s="1"/>
  <c r="S22" i="6" s="1"/>
  <c r="K23" i="6"/>
  <c r="M23" i="6" s="1"/>
  <c r="I23" i="6" s="1"/>
  <c r="S23" i="6" s="1"/>
  <c r="E31" i="6"/>
  <c r="AY6" i="3"/>
  <c r="E3" i="6"/>
  <c r="I3" i="78" s="1"/>
  <c r="C15" i="15"/>
  <c r="C18" i="15"/>
  <c r="P8" i="1"/>
  <c r="J10" i="40"/>
  <c r="AC10" i="40" s="1"/>
  <c r="H10" i="39"/>
  <c r="AB10" i="39" s="1"/>
  <c r="F10" i="40"/>
  <c r="AA10" i="40" s="1"/>
  <c r="J10" i="39"/>
  <c r="AC10" i="39" s="1"/>
  <c r="H10" i="40"/>
  <c r="U10" i="40" s="1"/>
  <c r="F68" i="39"/>
  <c r="E70" i="39"/>
  <c r="H7" i="37"/>
  <c r="AB7" i="37" s="1"/>
  <c r="T42" i="37" s="1"/>
  <c r="G42" i="37" s="1"/>
  <c r="B40" i="1"/>
  <c r="F22"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F27" i="68"/>
  <c r="AE6" i="1"/>
  <c r="C8" i="78" l="1"/>
  <c r="C11" i="78"/>
  <c r="AF11" i="43"/>
  <c r="AF13" i="43" s="1"/>
  <c r="C23" i="43"/>
  <c r="AJ11" i="43"/>
  <c r="AJ13" i="43" s="1"/>
  <c r="AI11" i="43"/>
  <c r="AI13" i="43" s="1"/>
  <c r="J22" i="43"/>
  <c r="AB11" i="43"/>
  <c r="AB13" i="43" s="1"/>
  <c r="AA11" i="43"/>
  <c r="AA13" i="43" s="1"/>
  <c r="S3" i="43"/>
  <c r="AE11" i="43"/>
  <c r="AE13" i="43" s="1"/>
  <c r="F101" i="43"/>
  <c r="C101" i="43"/>
  <c r="L101" i="43"/>
  <c r="I101" i="43"/>
  <c r="S2" i="43"/>
  <c r="AD11" i="43"/>
  <c r="AD13" i="43" s="1"/>
  <c r="S5" i="43"/>
  <c r="AC11" i="43"/>
  <c r="AC13" i="43" s="1"/>
  <c r="S6" i="43"/>
  <c r="S7" i="43"/>
  <c r="K101" i="43"/>
  <c r="G101" i="43"/>
  <c r="H22" i="43"/>
  <c r="M101" i="43"/>
  <c r="Z7" i="43"/>
  <c r="B113" i="43"/>
  <c r="E22" i="43"/>
  <c r="N104" i="46"/>
  <c r="D101" i="43"/>
  <c r="G22" i="43"/>
  <c r="AH11" i="43"/>
  <c r="AH13" i="43" s="1"/>
  <c r="Z11" i="43"/>
  <c r="Z13" i="43" s="1"/>
  <c r="AG11" i="43"/>
  <c r="AG13" i="43" s="1"/>
  <c r="Y11" i="43"/>
  <c r="Y13" i="43" s="1"/>
  <c r="S4" i="43"/>
  <c r="F22" i="43"/>
  <c r="N101" i="43"/>
  <c r="J101" i="43"/>
  <c r="H101" i="43"/>
  <c r="E101" i="43"/>
  <c r="F41" i="79"/>
  <c r="C24" i="79"/>
  <c r="C26" i="79"/>
  <c r="D22" i="79" s="1"/>
  <c r="C44" i="79"/>
  <c r="D41" i="79" s="1"/>
  <c r="E41" i="43"/>
  <c r="C41" i="43" s="1"/>
  <c r="C20" i="43"/>
  <c r="F45" i="68"/>
  <c r="C47" i="68"/>
  <c r="D45" i="68" s="1"/>
  <c r="C29" i="68"/>
  <c r="D27" i="68" s="1"/>
  <c r="C47" i="11"/>
  <c r="D45" i="11" s="1"/>
  <c r="C29" i="11"/>
  <c r="D27" i="11" s="1"/>
  <c r="F45" i="69"/>
  <c r="C29" i="69"/>
  <c r="D27" i="69" s="1"/>
  <c r="C47" i="69"/>
  <c r="D45" i="69" s="1"/>
  <c r="C19" i="15"/>
  <c r="C20" i="15" s="1"/>
  <c r="C26" i="15" s="1"/>
  <c r="S10" i="40"/>
  <c r="M20" i="6"/>
  <c r="I20" i="6" s="1"/>
  <c r="S20" i="6" s="1"/>
  <c r="S7" i="1"/>
  <c r="AQ6" i="1"/>
  <c r="S16" i="1"/>
  <c r="AR6" i="1"/>
  <c r="T6" i="1"/>
  <c r="AB10" i="40"/>
  <c r="C35" i="69"/>
  <c r="C38" i="69"/>
  <c r="O14" i="1"/>
  <c r="M16" i="1"/>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87" i="3"/>
  <c r="AY34" i="3"/>
  <c r="AY144" i="3"/>
  <c r="AY95" i="3"/>
  <c r="AY152" i="3"/>
  <c r="AY111" i="3"/>
  <c r="AY253" i="3"/>
  <c r="AY382" i="3"/>
  <c r="AY303" i="3"/>
  <c r="AY460" i="3"/>
  <c r="AY529" i="3"/>
  <c r="AY300" i="3"/>
  <c r="AY217" i="3"/>
  <c r="AY327" i="3"/>
  <c r="AY463" i="3"/>
  <c r="AY401" i="3"/>
  <c r="AY54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D3" i="34"/>
  <c r="D19" i="11"/>
  <c r="C19" i="11" s="1"/>
  <c r="C20" i="11" s="1"/>
  <c r="C28" i="11" s="1"/>
  <c r="C27" i="11" s="1"/>
  <c r="D37" i="11"/>
  <c r="C37" i="11" s="1"/>
  <c r="M18" i="9"/>
  <c r="B118" i="9" s="1"/>
  <c r="B14" i="74" s="1"/>
  <c r="D3" i="33"/>
  <c r="C17" i="4"/>
  <c r="B4" i="52" s="1"/>
  <c r="B43" i="72" s="1"/>
  <c r="D14" i="12"/>
  <c r="D3" i="21"/>
  <c r="L18" i="9"/>
  <c r="E6" i="6"/>
  <c r="D3" i="37"/>
  <c r="M19" i="6"/>
  <c r="K27" i="6"/>
  <c r="W10" i="39"/>
  <c r="W10" i="40"/>
  <c r="U10" i="39"/>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D10" i="79"/>
  <c r="H102" i="43" l="1"/>
  <c r="H104" i="43"/>
  <c r="H107" i="43"/>
  <c r="H106" i="43"/>
  <c r="H103" i="43"/>
  <c r="H109" i="43"/>
  <c r="H105" i="43"/>
  <c r="N102" i="43"/>
  <c r="N106" i="43"/>
  <c r="N109" i="43"/>
  <c r="N103" i="43"/>
  <c r="N104" i="43"/>
  <c r="N105" i="43"/>
  <c r="N107" i="43"/>
  <c r="D102" i="43"/>
  <c r="D109" i="43"/>
  <c r="D106" i="43"/>
  <c r="D103" i="43"/>
  <c r="D104" i="43"/>
  <c r="D105" i="43"/>
  <c r="D107" i="43"/>
  <c r="D22" i="43"/>
  <c r="C21" i="43" s="1"/>
  <c r="K107" i="43"/>
  <c r="K105" i="43"/>
  <c r="K102" i="43"/>
  <c r="K103" i="43"/>
  <c r="K104" i="43"/>
  <c r="K109" i="43"/>
  <c r="K106" i="43"/>
  <c r="L106" i="43"/>
  <c r="L103" i="43"/>
  <c r="L104" i="43"/>
  <c r="L109" i="43"/>
  <c r="L107" i="43"/>
  <c r="L105" i="43"/>
  <c r="L102" i="43"/>
  <c r="F107" i="43"/>
  <c r="F105" i="43"/>
  <c r="F102" i="43"/>
  <c r="F104" i="43"/>
  <c r="F106" i="43"/>
  <c r="F109" i="43"/>
  <c r="F103" i="43"/>
  <c r="E106" i="43"/>
  <c r="E104" i="43"/>
  <c r="E109" i="43"/>
  <c r="E102" i="43"/>
  <c r="E103" i="43"/>
  <c r="E105" i="43"/>
  <c r="E107" i="43"/>
  <c r="J105" i="43"/>
  <c r="J109" i="43"/>
  <c r="J104" i="43"/>
  <c r="J103" i="43"/>
  <c r="J107" i="43"/>
  <c r="J106" i="43"/>
  <c r="J102" i="43"/>
  <c r="B115" i="43"/>
  <c r="D117" i="43"/>
  <c r="E117" i="43" s="1"/>
  <c r="F117" i="43" s="1"/>
  <c r="G117" i="43" s="1"/>
  <c r="H117" i="43" s="1"/>
  <c r="D116" i="43"/>
  <c r="E116" i="43" s="1"/>
  <c r="F116" i="43" s="1"/>
  <c r="G116" i="43" s="1"/>
  <c r="H116" i="43" s="1"/>
  <c r="I118" i="43"/>
  <c r="J118" i="43" s="1"/>
  <c r="K118" i="43" s="1"/>
  <c r="L118" i="43" s="1"/>
  <c r="M118" i="43" s="1"/>
  <c r="B116" i="43"/>
  <c r="C116" i="43" s="1"/>
  <c r="I116" i="43"/>
  <c r="J116" i="43" s="1"/>
  <c r="K116" i="43" s="1"/>
  <c r="L116" i="43" s="1"/>
  <c r="M116" i="43" s="1"/>
  <c r="I115" i="43"/>
  <c r="J115" i="43" s="1"/>
  <c r="K115" i="43" s="1"/>
  <c r="L115" i="43" s="1"/>
  <c r="M115" i="43" s="1"/>
  <c r="G118" i="43"/>
  <c r="H118" i="43" s="1"/>
  <c r="B118" i="43"/>
  <c r="C118" i="43" s="1"/>
  <c r="D118" i="43"/>
  <c r="E118" i="43" s="1"/>
  <c r="F118" i="43" s="1"/>
  <c r="I117" i="43"/>
  <c r="J117" i="43" s="1"/>
  <c r="K117" i="43" s="1"/>
  <c r="L117" i="43" s="1"/>
  <c r="M117" i="43" s="1"/>
  <c r="B117" i="43"/>
  <c r="C117" i="43" s="1"/>
  <c r="D115" i="43"/>
  <c r="E115" i="43" s="1"/>
  <c r="F115" i="43" s="1"/>
  <c r="G115" i="43" s="1"/>
  <c r="H115" i="43" s="1"/>
  <c r="M102" i="43"/>
  <c r="M103" i="43"/>
  <c r="M104" i="43"/>
  <c r="M109" i="43"/>
  <c r="M106" i="43"/>
  <c r="M107" i="43"/>
  <c r="M105" i="43"/>
  <c r="G105" i="43"/>
  <c r="G103" i="43"/>
  <c r="G107" i="43"/>
  <c r="G109" i="43"/>
  <c r="G102" i="43"/>
  <c r="G106" i="43"/>
  <c r="G104" i="43"/>
  <c r="I109" i="43"/>
  <c r="I107" i="43"/>
  <c r="I106" i="43"/>
  <c r="I103" i="43"/>
  <c r="I104" i="43"/>
  <c r="I105" i="43"/>
  <c r="I102" i="43"/>
  <c r="C104" i="43"/>
  <c r="C106" i="43"/>
  <c r="C103" i="43"/>
  <c r="C102" i="43"/>
  <c r="C105" i="43"/>
  <c r="C107" i="43"/>
  <c r="C109" i="43"/>
  <c r="C12" i="78"/>
  <c r="C9" i="78"/>
  <c r="C10" i="78"/>
  <c r="D19" i="79"/>
  <c r="D37" i="79" s="1"/>
  <c r="C37" i="79" s="1"/>
  <c r="C10" i="79"/>
  <c r="B1" i="74"/>
  <c r="D14" i="74"/>
  <c r="C36" i="43"/>
  <c r="C34" i="43"/>
  <c r="T11" i="43"/>
  <c r="V11" i="43" s="1"/>
  <c r="C35" i="43"/>
  <c r="T9" i="43"/>
  <c r="V9" i="43" s="1"/>
  <c r="C37" i="43"/>
  <c r="T15" i="43"/>
  <c r="V15" i="43" s="1"/>
  <c r="C29" i="43"/>
  <c r="T10" i="43"/>
  <c r="V10" i="43" s="1"/>
  <c r="C33" i="43"/>
  <c r="T13" i="43"/>
  <c r="V13" i="43" s="1"/>
  <c r="T14" i="43"/>
  <c r="V14" i="43" s="1"/>
  <c r="T8" i="43"/>
  <c r="V8" i="43" s="1"/>
  <c r="T7" i="43"/>
  <c r="V7" i="43" s="1"/>
  <c r="T5" i="43"/>
  <c r="V5" i="43" s="1"/>
  <c r="T4" i="43"/>
  <c r="V4" i="43" s="1"/>
  <c r="T3" i="43"/>
  <c r="V3" i="43" s="1"/>
  <c r="T16" i="43"/>
  <c r="V16" i="43" s="1"/>
  <c r="T12" i="43"/>
  <c r="V12" i="43" s="1"/>
  <c r="T6" i="43"/>
  <c r="V6" i="43" s="1"/>
  <c r="T2" i="43"/>
  <c r="V2" i="43" s="1"/>
  <c r="C39" i="43"/>
  <c r="C38" i="43"/>
  <c r="AR7" i="1"/>
  <c r="T7" i="1"/>
  <c r="AQ7" i="1"/>
  <c r="P14" i="1"/>
  <c r="P16" i="1" s="1"/>
  <c r="C11" i="12" s="1"/>
  <c r="O16" i="1"/>
  <c r="L16" i="1"/>
  <c r="N16" i="1"/>
  <c r="F50" i="79" s="1"/>
  <c r="C34" i="11"/>
  <c r="D10" i="11"/>
  <c r="C10" i="11" s="1"/>
  <c r="D10" i="69"/>
  <c r="D20" i="12"/>
  <c r="C20" i="12" s="1"/>
  <c r="C18" i="12" s="1"/>
  <c r="C8" i="74"/>
  <c r="C7" i="74"/>
  <c r="M19" i="9"/>
  <c r="C118" i="9" s="1"/>
  <c r="C14" i="74" s="1"/>
  <c r="B2" i="74" s="1"/>
  <c r="D25" i="6"/>
  <c r="C18" i="4"/>
  <c r="D8" i="6"/>
  <c r="D23" i="6"/>
  <c r="D14" i="6"/>
  <c r="D26" i="6"/>
  <c r="D21" i="6"/>
  <c r="D20" i="6"/>
  <c r="D12" i="6"/>
  <c r="D11" i="6"/>
  <c r="L19" i="9"/>
  <c r="E61" i="40"/>
  <c r="D19" i="6"/>
  <c r="D22" i="6"/>
  <c r="D24" i="6"/>
  <c r="D9" i="6"/>
  <c r="D10" i="6"/>
  <c r="D28" i="6"/>
  <c r="D5" i="6"/>
  <c r="D29" i="6"/>
  <c r="H20" i="6"/>
  <c r="D13" i="6"/>
  <c r="D15" i="6"/>
  <c r="H23" i="6"/>
  <c r="R23" i="6" s="1"/>
  <c r="H22" i="6"/>
  <c r="H25" i="6"/>
  <c r="H26" i="6"/>
  <c r="H21" i="6"/>
  <c r="H24" i="6"/>
  <c r="R24" i="6" s="1"/>
  <c r="D6" i="6"/>
  <c r="I19" i="6"/>
  <c r="M27" i="6"/>
  <c r="D17" i="12"/>
  <c r="C17" i="12" s="1"/>
  <c r="C14" i="12"/>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C34" i="68"/>
  <c r="C34" i="79"/>
  <c r="C13" i="78" l="1"/>
  <c r="C14" i="78" s="1"/>
  <c r="C17" i="78" s="1"/>
  <c r="C16" i="78" s="1"/>
  <c r="R26" i="6"/>
  <c r="D113" i="43"/>
  <c r="C115" i="43"/>
  <c r="C38" i="79"/>
  <c r="C35" i="79"/>
  <c r="C33" i="79"/>
  <c r="T16" i="1"/>
  <c r="R20" i="6"/>
  <c r="R7" i="1" s="1"/>
  <c r="E39" i="43"/>
  <c r="G39" i="43"/>
  <c r="I39" i="43" s="1"/>
  <c r="E33" i="43"/>
  <c r="G33" i="43"/>
  <c r="I33" i="43" s="1"/>
  <c r="C30" i="43"/>
  <c r="E30" i="43" s="1"/>
  <c r="E29" i="43"/>
  <c r="C6" i="68" s="1"/>
  <c r="E37" i="43"/>
  <c r="G37" i="43"/>
  <c r="I37" i="43" s="1"/>
  <c r="E35" i="43"/>
  <c r="G35" i="43"/>
  <c r="I35" i="43" s="1"/>
  <c r="E34" i="43"/>
  <c r="G34" i="43"/>
  <c r="I34" i="43" s="1"/>
  <c r="G38" i="43"/>
  <c r="I38" i="43" s="1"/>
  <c r="E38" i="43"/>
  <c r="E36" i="43"/>
  <c r="G36" i="43"/>
  <c r="I36" i="43" s="1"/>
  <c r="C35" i="11"/>
  <c r="C38" i="11"/>
  <c r="R21" i="6"/>
  <c r="R25" i="6"/>
  <c r="F50" i="11"/>
  <c r="F50" i="68"/>
  <c r="F50" i="69"/>
  <c r="C35" i="68"/>
  <c r="C38" i="68"/>
  <c r="C12" i="12"/>
  <c r="C15" i="12"/>
  <c r="R22" i="6"/>
  <c r="S19" i="6"/>
  <c r="S27" i="6" s="1"/>
  <c r="I27" i="6"/>
  <c r="D30" i="6"/>
  <c r="C4" i="52"/>
  <c r="B45" i="72" s="1"/>
  <c r="A7" i="51"/>
  <c r="B7" i="72" s="1"/>
  <c r="A10" i="51"/>
  <c r="B9" i="72" s="1"/>
  <c r="D8" i="74"/>
  <c r="D7" i="74"/>
  <c r="H19" i="6"/>
  <c r="H27" i="6" s="1"/>
  <c r="D27" i="6"/>
  <c r="D31" i="6" s="1"/>
  <c r="R19" i="6"/>
  <c r="D16" i="6"/>
  <c r="D19" i="68"/>
  <c r="C10" i="68"/>
  <c r="C10" i="69"/>
  <c r="C8" i="69" s="1"/>
  <c r="C5" i="69" s="1"/>
  <c r="D19" i="69"/>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31" i="15" s="1"/>
  <c r="C13" i="15"/>
  <c r="Q49" i="15"/>
  <c r="J19" i="15"/>
  <c r="J17" i="15" s="1"/>
  <c r="J59" i="15"/>
  <c r="J60" i="15" s="1"/>
  <c r="C22" i="11"/>
  <c r="C31" i="11" s="1"/>
  <c r="C36" i="67"/>
  <c r="C33" i="67"/>
  <c r="C31" i="67" s="1"/>
  <c r="J14" i="67"/>
  <c r="C13" i="67"/>
  <c r="J19" i="67"/>
  <c r="J17" i="67" s="1"/>
  <c r="C57" i="67"/>
  <c r="Q49" i="67"/>
  <c r="J59" i="67"/>
  <c r="J60" i="67" s="1"/>
  <c r="C20" i="78" l="1"/>
  <c r="C19" i="78" s="1"/>
  <c r="C39" i="79"/>
  <c r="C42" i="79"/>
  <c r="C7" i="68"/>
  <c r="C5" i="68" s="1"/>
  <c r="C23" i="68" s="1"/>
  <c r="C6" i="79"/>
  <c r="C26" i="43"/>
  <c r="C27" i="43"/>
  <c r="C33" i="11"/>
  <c r="C16" i="12"/>
  <c r="C21" i="12" s="1"/>
  <c r="C22" i="12" s="1"/>
  <c r="C30" i="12" s="1"/>
  <c r="C28" i="12" s="1"/>
  <c r="R27" i="6"/>
  <c r="R6" i="1"/>
  <c r="R16" i="1" s="1"/>
  <c r="C39" i="11"/>
  <c r="C42" i="11"/>
  <c r="C23" i="69"/>
  <c r="D37" i="68"/>
  <c r="C37" i="68" s="1"/>
  <c r="C33" i="68" s="1"/>
  <c r="C19" i="68"/>
  <c r="I6" i="6"/>
  <c r="I5" i="6"/>
  <c r="C19" i="69"/>
  <c r="C24" i="69" s="1"/>
  <c r="D37" i="69"/>
  <c r="C37" i="69" s="1"/>
  <c r="C33" i="69" s="1"/>
  <c r="I70" i="39"/>
  <c r="J68" i="39"/>
  <c r="I63" i="40"/>
  <c r="H65" i="40"/>
  <c r="I58" i="21"/>
  <c r="J58" i="21" s="1"/>
  <c r="K58" i="21" s="1"/>
  <c r="L58" i="21" s="1"/>
  <c r="M58" i="21" s="1"/>
  <c r="N58" i="21" s="1"/>
  <c r="O58" i="21" s="1"/>
  <c r="H7" i="21" s="1"/>
  <c r="J7" i="21"/>
  <c r="F7" i="21"/>
  <c r="J48" i="35"/>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67"/>
  <c r="E6" i="76"/>
  <c r="L51" i="15"/>
  <c r="C46" i="79" l="1"/>
  <c r="C45" i="79" s="1"/>
  <c r="C43" i="79"/>
  <c r="C41" i="79" s="1"/>
  <c r="E2" i="76"/>
  <c r="B2" i="43"/>
  <c r="C7" i="79"/>
  <c r="C5" i="79" s="1"/>
  <c r="C27" i="12"/>
  <c r="C25" i="12" s="1"/>
  <c r="C32" i="12" s="1"/>
  <c r="B2" i="12" s="1"/>
  <c r="B3" i="12" s="1"/>
  <c r="C46" i="11"/>
  <c r="C45" i="11" s="1"/>
  <c r="C43" i="11"/>
  <c r="C41" i="11" s="1"/>
  <c r="C39" i="69"/>
  <c r="C43" i="69" s="1"/>
  <c r="C42" i="69"/>
  <c r="C24" i="68"/>
  <c r="C20" i="68"/>
  <c r="C39" i="68"/>
  <c r="C42" i="68"/>
  <c r="C20" i="69"/>
  <c r="K68" i="39"/>
  <c r="J70"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D19" i="9"/>
  <c r="B6" i="76"/>
  <c r="C19" i="9"/>
  <c r="C49" i="79" l="1"/>
  <c r="C51" i="79" s="1"/>
  <c r="D102" i="9"/>
  <c r="D21" i="9"/>
  <c r="G19" i="9"/>
  <c r="G21" i="9" s="1"/>
  <c r="D22" i="9"/>
  <c r="C102" i="9"/>
  <c r="C21" i="9"/>
  <c r="B2" i="76"/>
  <c r="B3" i="76" s="1"/>
  <c r="B3" i="43"/>
  <c r="C23" i="79"/>
  <c r="C20" i="79"/>
  <c r="C25" i="79" s="1"/>
  <c r="C41" i="69"/>
  <c r="C49" i="11"/>
  <c r="C51" i="11" s="1"/>
  <c r="C52" i="11" s="1"/>
  <c r="B2" i="11" s="1"/>
  <c r="B3" i="11" s="1"/>
  <c r="C46" i="69"/>
  <c r="C45" i="69" s="1"/>
  <c r="C28" i="69"/>
  <c r="C27" i="69" s="1"/>
  <c r="C25" i="69"/>
  <c r="C22" i="69" s="1"/>
  <c r="C46" i="68"/>
  <c r="C45" i="68" s="1"/>
  <c r="C43" i="68"/>
  <c r="C41" i="68" s="1"/>
  <c r="C25" i="68"/>
  <c r="C22" i="68" s="1"/>
  <c r="C28" i="68"/>
  <c r="C27" i="68" s="1"/>
  <c r="J7" i="35"/>
  <c r="W7" i="35" s="1"/>
  <c r="K70" i="39"/>
  <c r="L68"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D20" i="9"/>
  <c r="AO6" i="1"/>
  <c r="C20" i="9"/>
  <c r="D103" i="9" l="1"/>
  <c r="C103" i="9"/>
  <c r="G20" i="9"/>
  <c r="C32" i="9" s="1"/>
  <c r="C28" i="79"/>
  <c r="C27" i="79" s="1"/>
  <c r="C22" i="79"/>
  <c r="B6" i="70"/>
  <c r="B2" i="70" s="1"/>
  <c r="B3" i="70" s="1"/>
  <c r="B3" i="15"/>
  <c r="C49" i="69"/>
  <c r="C51" i="69" s="1"/>
  <c r="C49" i="68"/>
  <c r="C31" i="69"/>
  <c r="C31" i="68"/>
  <c r="C56" i="11"/>
  <c r="C57" i="11" s="1"/>
  <c r="AC7" i="35"/>
  <c r="V38" i="35" s="1"/>
  <c r="I38" i="35" s="1"/>
  <c r="L70" i="39"/>
  <c r="M68" i="39"/>
  <c r="S7" i="35"/>
  <c r="AA7" i="35"/>
  <c r="R38" i="35" s="1"/>
  <c r="C49" i="2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1" i="68" l="1"/>
  <c r="C52" i="68" s="1"/>
  <c r="B2" i="68" s="1"/>
  <c r="C3" i="78" s="1"/>
  <c r="C23" i="78"/>
  <c r="C31" i="79"/>
  <c r="C52" i="79" s="1"/>
  <c r="C57" i="79" s="1"/>
  <c r="C56" i="79" s="1"/>
  <c r="D35" i="80"/>
  <c r="J8" i="80" s="1"/>
  <c r="D35" i="78"/>
  <c r="J8" i="78" s="1"/>
  <c r="C35" i="9"/>
  <c r="C34" i="9" s="1"/>
  <c r="C52" i="69"/>
  <c r="B2" i="69" s="1"/>
  <c r="B3" i="69" s="1"/>
  <c r="B2" i="21"/>
  <c r="B3" i="21" s="1"/>
  <c r="U6" i="1"/>
  <c r="M70" i="39"/>
  <c r="N68" i="39"/>
  <c r="R39" i="35"/>
  <c r="E38" i="35"/>
  <c r="M63" i="40"/>
  <c r="L65" i="40"/>
  <c r="B3" i="68" l="1"/>
  <c r="C57" i="69"/>
  <c r="C56" i="69" s="1"/>
  <c r="C57" i="68"/>
  <c r="C56" i="68" s="1"/>
  <c r="C7" i="78"/>
  <c r="C27" i="78" s="1"/>
  <c r="C26" i="78"/>
  <c r="B2" i="79"/>
  <c r="C4" i="78"/>
  <c r="N70" i="39"/>
  <c r="O68" i="39"/>
  <c r="O70" i="39" s="1"/>
  <c r="F7" i="39"/>
  <c r="C39" i="35"/>
  <c r="B2" i="35" s="1"/>
  <c r="B3" i="35" s="1"/>
  <c r="C38" i="35"/>
  <c r="N63" i="40"/>
  <c r="M65" i="40"/>
  <c r="E43" i="35"/>
  <c r="F43" i="35" s="1"/>
  <c r="E42" i="35"/>
  <c r="F42" i="35" s="1"/>
  <c r="I43" i="35"/>
  <c r="J43" i="35" s="1"/>
  <c r="B3" i="79"/>
  <c r="C24" i="78" l="1"/>
  <c r="C29" i="78" s="1"/>
  <c r="C30" i="78" s="1"/>
  <c r="D36" i="78" s="1"/>
  <c r="C3" i="80"/>
  <c r="C4" i="80" s="1"/>
  <c r="I3" i="80"/>
  <c r="C11" i="80" s="1"/>
  <c r="S7" i="39"/>
  <c r="AA7" i="39"/>
  <c r="R47" i="39" s="1"/>
  <c r="H7" i="39"/>
  <c r="J7" i="39"/>
  <c r="O63" i="40"/>
  <c r="O65" i="40" s="1"/>
  <c r="N65" i="40"/>
  <c r="G35" i="78" l="1"/>
  <c r="J9" i="78"/>
  <c r="D37" i="78"/>
  <c r="C8" i="80"/>
  <c r="C12" i="80" s="1"/>
  <c r="J10" i="78"/>
  <c r="C9" i="80"/>
  <c r="E38" i="78"/>
  <c r="E39" i="78" s="1"/>
  <c r="C10" i="80"/>
  <c r="C13" i="80" s="1"/>
  <c r="C14" i="80" s="1"/>
  <c r="C20" i="80" s="1"/>
  <c r="C19" i="80" s="1"/>
  <c r="W7" i="39"/>
  <c r="AC7" i="39"/>
  <c r="V47" i="39" s="1"/>
  <c r="I47" i="39" s="1"/>
  <c r="E47" i="39"/>
  <c r="R48" i="39"/>
  <c r="U7" i="39"/>
  <c r="AB7" i="39"/>
  <c r="T47" i="39" s="1"/>
  <c r="G47" i="39" s="1"/>
  <c r="J7" i="40"/>
  <c r="F7" i="40"/>
  <c r="H7" i="40"/>
  <c r="C38" i="78" l="1"/>
  <c r="C39" i="78" s="1"/>
  <c r="H37" i="78"/>
  <c r="C17" i="80"/>
  <c r="C16" i="80" s="1"/>
  <c r="G51" i="39"/>
  <c r="H51" i="39" s="1"/>
  <c r="G52" i="39"/>
  <c r="H52" i="39" s="1"/>
  <c r="C48" i="39"/>
  <c r="C47" i="39"/>
  <c r="I51" i="39"/>
  <c r="J51" i="39" s="1"/>
  <c r="I52" i="39"/>
  <c r="J52" i="39" s="1"/>
  <c r="E52" i="39"/>
  <c r="F52" i="39" s="1"/>
  <c r="E51" i="39"/>
  <c r="F51" i="39" s="1"/>
  <c r="U7" i="40"/>
  <c r="AB7" i="40"/>
  <c r="T42" i="40" s="1"/>
  <c r="G42" i="40" s="1"/>
  <c r="AA7" i="40"/>
  <c r="R42" i="40" s="1"/>
  <c r="S7" i="40"/>
  <c r="AC7" i="40"/>
  <c r="V42" i="40" s="1"/>
  <c r="I42" i="40" s="1"/>
  <c r="W7" i="40"/>
  <c r="C23" i="80" l="1"/>
  <c r="C26" i="8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7" i="80" l="1"/>
  <c r="C27" i="80" s="1"/>
  <c r="C24" i="80" s="1"/>
  <c r="C29" i="80" s="1"/>
  <c r="C30" i="80" s="1"/>
  <c r="D36" i="80" s="1"/>
  <c r="C42" i="40"/>
  <c r="C43" i="40"/>
  <c r="E47" i="40"/>
  <c r="F47" i="40" s="1"/>
  <c r="E46" i="40"/>
  <c r="F46" i="40" s="1"/>
  <c r="I47" i="40"/>
  <c r="J47" i="40" s="1"/>
  <c r="D37" i="80" l="1"/>
  <c r="J9" i="80"/>
  <c r="G35" i="80"/>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8" i="80" l="1"/>
  <c r="C39" i="80" s="1"/>
  <c r="E38" i="80"/>
  <c r="E39" i="80" s="1"/>
  <c r="J10" i="80"/>
  <c r="B5" i="74" l="1"/>
  <c r="D5" i="74" s="1"/>
  <c r="F14" i="74"/>
  <c r="C5" i="74" l="1"/>
  <c r="N60" i="9"/>
  <c r="N61" i="9"/>
  <c r="H4" i="52"/>
  <c r="C104" i="9"/>
  <c r="C105" i="9"/>
  <c r="I4" i="52"/>
  <c r="N59" i="9"/>
  <c r="P57" i="9"/>
  <c r="N58" i="9"/>
  <c r="D53" i="9"/>
  <c r="D52" i="9"/>
  <c r="C6" i="74"/>
  <c r="D6" i="74"/>
  <c r="D8" i="52"/>
  <c r="B32" i="72"/>
  <c r="B20" i="72"/>
  <c r="B53" i="72"/>
  <c r="M48" i="9"/>
  <c r="D14" i="53"/>
  <c r="B30" i="72"/>
  <c r="B31" i="72"/>
  <c r="M54" i="9"/>
  <c r="D13" i="53"/>
  <c r="B48" i="72"/>
  <c r="C81" i="9"/>
  <c r="B47" i="72"/>
  <c r="B21" i="72"/>
  <c r="C78" i="9"/>
  <c r="C73" i="9"/>
  <c r="F119" i="9"/>
  <c r="F5" i="52"/>
  <c r="E4" i="52"/>
  <c r="D123" i="9"/>
  <c r="D9" i="52"/>
  <c r="D4" i="52"/>
  <c r="E118" i="9"/>
  <c r="D118" i="9"/>
  <c r="D119" i="9"/>
  <c r="D5" i="52"/>
  <c r="B49" i="72"/>
  <c r="D55" i="9"/>
  <c r="M53" i="9"/>
  <c r="N57" i="9"/>
  <c r="G4" i="52"/>
  <c r="B52" i="72"/>
  <c r="D5" i="53"/>
  <c r="D6" i="53"/>
  <c r="B22" i="72"/>
  <c r="D122" i="9"/>
  <c r="G14" i="74"/>
  <c r="B6" i="74"/>
  <c r="D59" i="9"/>
  <c r="M55" i="9"/>
  <c r="H119" i="9"/>
  <c r="H5" i="52"/>
  <c r="E81" i="9"/>
  <c r="C96" i="9"/>
  <c r="E96" i="9"/>
  <c r="E97" i="9"/>
  <c r="C80" i="9"/>
  <c r="E80" i="9"/>
  <c r="C64" i="9"/>
  <c r="C63" i="9"/>
  <c r="C67" i="9"/>
  <c r="C68" i="9"/>
  <c r="D54" i="9"/>
  <c r="C93" i="9"/>
  <c r="C86" i="9"/>
  <c r="C72" i="9"/>
  <c r="C79" i="9"/>
  <c r="D56" i="9"/>
  <c r="D45" i="9"/>
  <c r="C85" i="9"/>
  <c r="C95" i="9"/>
  <c r="C97" i="9"/>
  <c r="D58" i="9"/>
  <c r="H101" i="9"/>
  <c r="H107" i="9"/>
  <c r="H108" i="9"/>
  <c r="D15" i="53"/>
  <c r="G118" i="9"/>
  <c r="F118" i="9"/>
  <c r="F4" i="52"/>
  <c r="B51" i="72"/>
  <c r="H118" i="9"/>
  <c r="I118" i="9"/>
  <c r="H102" i="9"/>
  <c r="D7"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<sst xmlns="http://schemas.openxmlformats.org/spreadsheetml/2006/main" count="7968" uniqueCount="3294">
  <si>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</si>
  <si>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</si>
  <si>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</si>
  <si>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</si>
  <si>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</si>
  <si>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</si>
  <si>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</si>
  <si>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</si>
  <si>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</si>
  <si>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</si>
  <si>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</si>
  <si>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</si>
  <si>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</si>
  <si>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</si>
  <si>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</si>
  <si>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</si>
  <si>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</si>
  <si>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</si>
  <si>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</si>
  <si>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</si>
  <si>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</si>
  <si>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</si>
  <si>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</si>
  <si>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</si>
  <si>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</si>
  <si>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</si>
  <si>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</si>
  <si>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</si>
  <si>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</si>
  <si>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</si>
  <si>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</si>
  <si>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</si>
  <si>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</si>
  <si>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</si>
  <si>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</si>
  <si>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</si>
  <si>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</si>
  <si>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</si>
  <si>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</si>
  <si>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</si>
  <si>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</si>
  <si>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</si>
  <si>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</si>
  <si>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</si>
  <si>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</si>
  <si>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</si>
  <si>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</si>
  <si>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</si>
  <si>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</si>
  <si>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</si>
  <si>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</si>
  <si>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</si>
  <si>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</si>
  <si>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</si>
  <si>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</si>
  <si>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</si>
  <si>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</si>
  <si>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</si>
  <si>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</si>
  <si>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</si>
  <si>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</si>
  <si>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</si>
  <si>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</si>
  <si>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</si>
  <si>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</si>
  <si>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</si>
  <si>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</si>
  <si>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</si>
  <si>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</si>
  <si>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</si>
  <si>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</si>
  <si>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</si>
  <si>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</si>
  <si>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</si>
  <si>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</si>
  <si>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</si>
  <si>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</si>
  <si>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</si>
  <si>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</si>
  <si>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</si>
  <si>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</si>
  <si>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</si>
  <si>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</si>
  <si>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</si>
  <si>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</si>
  <si>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</si>
  <si>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</si>
  <si>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</si>
  <si>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</si>
  <si>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</si>
  <si>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</si>
  <si>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</si>
  <si>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</si>
  <si>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</si>
  <si>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</si>
  <si>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</si>
  <si>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</si>
  <si>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</si>
  <si>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</si>
  <si>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</si>
  <si>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</si>
  <si>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</si>
  <si>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</si>
  <si>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</si>
  <si>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</si>
  <si>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</si>
  <si>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</si>
  <si>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</si>
  <si>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</si>
  <si>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</si>
  <si>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</si>
  <si>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</si>
  <si>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</si>
  <si>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</si>
  <si>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</si>
  <si>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</si>
  <si>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</si>
  <si>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</si>
  <si>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</si>
  <si>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</si>
  <si>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</si>
  <si>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</si>
  <si>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</si>
  <si>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</si>
  <si>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</si>
  <si>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</si>
  <si>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</si>
  <si>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</si>
  <si>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</si>
  <si>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</si>
  <si>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</si>
  <si>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</si>
  <si>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</si>
  <si>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</si>
  <si>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</si>
  <si>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</si>
  <si>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</si>
  <si>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</si>
  <si>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</si>
  <si>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</si>
  <si>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</si>
  <si>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</si>
  <si>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</si>
  <si>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</si>
  <si>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</si>
  <si>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</si>
  <si>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</si>
  <si>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</si>
  <si>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</si>
  <si>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</si>
  <si>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</si>
  <si>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</si>
  <si>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</si>
  <si>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</si>
  <si>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</si>
  <si>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</si>
  <si>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</si>
  <si>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</si>
  <si>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</si>
  <si>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</si>
  <si>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</si>
  <si>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</si>
  <si>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</si>
  <si>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</si>
  <si>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</si>
  <si>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</si>
  <si>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</si>
  <si>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</si>
  <si>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</si>
  <si>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</si>
  <si>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</si>
  <si>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</si>
  <si>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</si>
  <si>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</si>
  <si>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</si>
  <si>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</si>
  <si>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</si>
  <si>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</si>
  <si>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</si>
  <si>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</si>
  <si>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</si>
  <si>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</si>
  <si>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</si>
  <si>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</si>
  <si>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</si>
  <si>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</si>
  <si>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</si>
  <si>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</si>
  <si>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</si>
  <si>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</si>
  <si>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</si>
  <si>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</si>
  <si>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</si>
  <si>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</si>
  <si>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</si>
  <si>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</si>
  <si>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</si>
  <si>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</si>
  <si>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</si>
  <si>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</si>
  <si>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</si>
  <si>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</si>
  <si>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</si>
  <si>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</si>
  <si>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</si>
  <si>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</si>
  <si>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</si>
  <si>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</si>
  <si>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</si>
  <si>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</si>
  <si>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</si>
  <si>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</si>
  <si>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</si>
  <si>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</si>
  <si>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</si>
  <si>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</si>
  <si>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</si>
  <si>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</si>
  <si>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</si>
  <si>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</si>
  <si>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</si>
  <si>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</si>
  <si>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</si>
  <si>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</si>
  <si>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</si>
  <si>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</si>
  <si>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</si>
  <si>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</si>
  <si>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</si>
  <si>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</si>
  <si>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</si>
  <si>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</si>
  <si>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</si>
  <si>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</si>
  <si>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</si>
  <si>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</si>
  <si>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</si>
  <si>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</si>
  <si>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</si>
  <si>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</si>
  <si>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</si>
  <si>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</si>
  <si>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</si>
  <si>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</si>
  <si>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</si>
  <si>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</si>
  <si>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</si>
  <si>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</si>
  <si>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</si>
  <si>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</si>
  <si>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</si>
  <si>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</si>
  <si>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</si>
  <si>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</si>
  <si>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</si>
  <si>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</si>
  <si>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</si>
  <si>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</si>
  <si>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</si>
  <si>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</si>
  <si>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</si>
  <si>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</si>
  <si>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</si>
  <si>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</si>
  <si>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</si>
  <si>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</si>
  <si>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</si>
  <si>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</si>
  <si>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</si>
  <si>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</si>
  <si>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</si>
  <si>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</si>
  <si>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</si>
  <si>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</si>
  <si>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</si>
  <si>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</si>
  <si>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</si>
  <si>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</si>
  <si>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</si>
  <si>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</si>
  <si>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</si>
  <si>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</si>
  <si>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</si>
  <si>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</si>
  <si>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</si>
  <si>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</si>
  <si>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</si>
  <si>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</si>
  <si>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</si>
  <si>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</si>
  <si>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</si>
  <si>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</si>
  <si>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</si>
  <si>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</si>
  <si>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</si>
  <si>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</si>
  <si>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</si>
  <si>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</si>
  <si>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</si>
  <si>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</si>
  <si>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</si>
  <si>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</si>
  <si>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</si>
  <si>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</si>
  <si>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</si>
  <si>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</si>
  <si>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</si>
  <si>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</si>
  <si>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</si>
  <si>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</si>
  <si>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</si>
  <si>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</si>
  <si>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</si>
  <si>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</si>
  <si>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</si>
  <si>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</si>
  <si>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</si>
  <si>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</si>
  <si>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</si>
  <si>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</si>
  <si>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</si>
  <si>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</si>
  <si>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</si>
  <si>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</si>
  <si>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</si>
  <si>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</si>
  <si>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</si>
  <si>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</si>
  <si>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</si>
  <si>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</si>
  <si>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</si>
  <si>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</si>
  <si>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</si>
  <si>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</si>
  <si>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</si>
  <si>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</si>
  <si>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</si>
  <si>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</si>
  <si>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</si>
  <si>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</si>
  <si>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</si>
  <si>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</si>
  <si>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</si>
  <si>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</si>
  <si>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</si>
  <si>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</si>
  <si>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</si>
  <si>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</si>
  <si>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</si>
  <si>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</si>
  <si>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</si>
  <si>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</si>
  <si>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</si>
  <si>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</si>
  <si>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</si>
  <si>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</si>
  <si>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</si>
  <si>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</si>
  <si>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</si>
  <si>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</si>
  <si>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</si>
  <si>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</si>
  <si>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</si>
  <si>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</si>
  <si>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</si>
  <si>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</si>
  <si>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</si>
  <si>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</si>
  <si>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</si>
  <si>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</si>
  <si>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</si>
  <si>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</si>
  <si>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</si>
  <si>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</si>
  <si>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</si>
  <si>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</si>
  <si>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</si>
  <si>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</si>
  <si>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</si>
  <si>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</si>
  <si>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</si>
  <si>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</si>
  <si>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</si>
  <si>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</si>
  <si>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</si>
  <si>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</si>
  <si>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</si>
  <si>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</si>
  <si>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</si>
  <si>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</si>
  <si>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</si>
  <si>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</si>
  <si>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</si>
  <si>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</si>
  <si>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</si>
  <si>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</si>
  <si>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</si>
  <si>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</si>
  <si>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</si>
  <si>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</si>
  <si>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</si>
  <si>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</si>
  <si>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</si>
  <si>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</si>
  <si>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</si>
  <si>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</si>
  <si>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</si>
  <si>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</si>
  <si>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</si>
  <si>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</si>
  <si>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</si>
  <si>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</si>
  <si>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</si>
  <si>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</si>
  <si>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</si>
  <si>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</si>
  <si>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</si>
  <si>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</si>
  <si>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</si>
  <si>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</si>
  <si>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</si>
  <si>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</si>
  <si>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</si>
  <si>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</si>
  <si>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</si>
  <si>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</si>
  <si>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</si>
  <si>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</si>
  <si>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</si>
  <si>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</si>
  <si>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</si>
  <si>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</si>
  <si>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</si>
  <si>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</si>
  <si>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</si>
  <si>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</si>
  <si>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</si>
  <si>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</si>
  <si>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</si>
  <si>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</si>
  <si>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</si>
  <si>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</si>
  <si>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</si>
  <si>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</si>
  <si>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</si>
  <si>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</si>
  <si>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</si>
  <si>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</si>
  <si>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</si>
  <si>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</si>
  <si>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</si>
  <si>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</si>
  <si>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</si>
  <si>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</si>
  <si>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</si>
  <si>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</si>
  <si>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</si>
  <si>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</si>
  <si>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</si>
  <si>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</si>
  <si>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</si>
  <si>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</si>
  <si>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</si>
  <si>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</si>
  <si>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</si>
  <si>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</si>
  <si>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</si>
  <si>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</si>
  <si>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</si>
  <si>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</si>
  <si>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</si>
  <si>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</si>
  <si>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</si>
  <si>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</si>
  <si>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</si>
  <si>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</si>
  <si>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</si>
  <si>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</si>
  <si>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</si>
  <si>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</si>
  <si>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</si>
  <si>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</si>
  <si>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</si>
  <si>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</si>
  <si>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</si>
  <si>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</si>
  <si>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</si>
  <si>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</si>
  <si>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</si>
  <si>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</si>
  <si>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</si>
  <si>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</si>
  <si>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</si>
  <si>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</si>
  <si>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</si>
  <si>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</si>
  <si>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</si>
  <si>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</si>
  <si>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</si>
  <si>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</si>
  <si>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</si>
  <si>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</si>
  <si>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</si>
  <si>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</si>
  <si>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</si>
  <si>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</si>
  <si>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</si>
  <si>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</si>
  <si>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</si>
  <si>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</si>
  <si>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</si>
  <si>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</si>
  <si>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</si>
  <si>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</si>
  <si>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</si>
  <si>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</si>
  <si>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</si>
  <si>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</si>
  <si>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</si>
  <si>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</si>
  <si>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</si>
  <si>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</si>
  <si>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</si>
  <si>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</si>
  <si>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</si>
  <si>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</si>
  <si>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</si>
  <si>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</si>
  <si>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</si>
  <si>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</si>
  <si>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</si>
  <si>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</si>
  <si>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</si>
  <si>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</si>
  <si>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</si>
  <si>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</si>
  <si>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</si>
  <si>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</si>
  <si>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</si>
  <si>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</si>
  <si>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</si>
  <si>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</si>
  <si>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</si>
  <si>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</si>
  <si>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</si>
  <si>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</si>
  <si>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</si>
  <si>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</si>
  <si>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</si>
  <si>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</si>
  <si>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</si>
  <si>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</si>
  <si>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</si>
  <si>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</si>
  <si>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</si>
  <si>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</si>
  <si>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</si>
  <si>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</si>
  <si>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</si>
  <si>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</si>
  <si>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</si>
  <si>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</si>
  <si>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</si>
  <si>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</si>
  <si>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</si>
  <si>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</si>
  <si>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</si>
  <si>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</si>
  <si>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</si>
  <si>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</si>
  <si>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</si>
  <si>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</si>
  <si>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</si>
  <si>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</si>
  <si>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</si>
  <si>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</si>
  <si>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</si>
  <si>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</si>
  <si>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</si>
  <si>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</si>
  <si>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</si>
  <si>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</si>
  <si>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</si>
  <si>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</si>
  <si>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</si>
  <si>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</si>
  <si>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</si>
  <si>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</si>
  <si>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</si>
  <si>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</si>
  <si>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</si>
  <si>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</si>
  <si>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</si>
  <si>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</si>
  <si>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</si>
  <si>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</si>
  <si>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</si>
  <si>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</si>
  <si>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</si>
  <si>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</si>
  <si>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</si>
  <si>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</si>
  <si>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</si>
  <si>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</si>
  <si>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</si>
  <si>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</si>
  <si>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</si>
  <si>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</si>
  <si>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</si>
  <si>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</si>
  <si>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</si>
  <si>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</si>
  <si>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</si>
  <si>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</si>
  <si>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</si>
  <si>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</si>
  <si>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</si>
  <si>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</si>
  <si>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</si>
  <si>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</si>
  <si>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</si>
  <si>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</si>
  <si>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</si>
  <si>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</si>
  <si>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</si>
  <si>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</si>
  <si>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</si>
  <si>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</si>
  <si>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</si>
  <si>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</si>
  <si>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</si>
  <si>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</si>
  <si>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</si>
  <si>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</si>
  <si>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</si>
  <si>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</si>
  <si>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</si>
  <si>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</si>
  <si>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</si>
  <si>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</si>
  <si>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</si>
  <si>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</si>
  <si>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</si>
  <si>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</si>
  <si>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</si>
  <si>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</si>
  <si>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</si>
  <si>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</si>
  <si>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</si>
  <si>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</si>
  <si>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</si>
  <si>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</si>
  <si>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</si>
  <si>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</si>
  <si>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</si>
  <si>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</si>
  <si>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</si>
  <si>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</si>
  <si>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</si>
  <si>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</si>
  <si>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</si>
  <si>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</si>
  <si>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</si>
  <si>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</si>
  <si>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</si>
  <si>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</si>
  <si>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</si>
  <si>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</si>
  <si>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</si>
  <si>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</si>
  <si>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</si>
  <si>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</si>
  <si>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</si>
  <si>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</si>
  <si>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</si>
  <si>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</si>
  <si>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</si>
  <si>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</si>
  <si>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</si>
  <si>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</si>
  <si>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</si>
  <si>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</si>
  <si>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</si>
  <si>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</si>
  <si>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</si>
  <si>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</si>
  <si>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</si>
  <si>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</si>
  <si>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</si>
  <si>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</si>
  <si>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</si>
  <si>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</si>
  <si>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</si>
  <si>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</si>
  <si>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</si>
  <si>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</si>
  <si>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</si>
  <si>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</si>
  <si>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</si>
  <si>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</si>
  <si>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</si>
  <si>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</si>
  <si>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</si>
  <si>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</si>
  <si>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</si>
  <si>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</si>
  <si>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</si>
  <si>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</si>
  <si>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</si>
  <si>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</si>
  <si>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</si>
  <si>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</si>
  <si>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</si>
  <si>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</si>
  <si>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</si>
  <si>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</si>
  <si>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</si>
  <si>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</si>
  <si>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</si>
  <si>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</si>
  <si>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</si>
  <si>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</si>
  <si>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</si>
  <si>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</si>
  <si>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</si>
  <si>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</si>
  <si>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</si>
  <si>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</si>
  <si>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</si>
  <si>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</si>
  <si>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</si>
  <si>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</si>
  <si>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</si>
  <si>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</si>
  <si>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</si>
  <si>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</si>
  <si>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</si>
  <si>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</si>
  <si>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</si>
  <si>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</si>
  <si>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</si>
  <si>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</si>
  <si>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</si>
  <si>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</si>
  <si>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</si>
  <si>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</si>
  <si>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</si>
  <si>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</si>
  <si>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</si>
  <si>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</si>
  <si>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</si>
  <si>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</si>
  <si>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</si>
  <si>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</si>
  <si>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</si>
  <si>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</si>
  <si>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</si>
  <si>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</si>
  <si>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</si>
  <si>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</si>
  <si>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</si>
  <si>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</si>
  <si>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</si>
  <si>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</si>
  <si>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</si>
  <si>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</si>
  <si>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</si>
  <si>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</si>
  <si>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</si>
  <si>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</si>
  <si>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</si>
  <si>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</si>
  <si>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</si>
  <si>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</si>
  <si>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</si>
  <si>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</si>
  <si>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</si>
  <si>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</si>
  <si>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</si>
  <si>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</si>
  <si>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</si>
  <si>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</si>
  <si>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</si>
  <si>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</si>
  <si>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</si>
  <si>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</si>
  <si>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</si>
  <si>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</si>
  <si>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</si>
  <si>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</si>
  <si>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</si>
  <si>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</si>
  <si>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</si>
  <si>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</si>
  <si>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</si>
  <si>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</si>
  <si>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</si>
  <si>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</si>
  <si>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</si>
  <si>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</si>
  <si>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</si>
  <si>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</si>
  <si>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</si>
  <si>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</si>
  <si>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</si>
  <si>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</si>
  <si>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</si>
  <si>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</si>
  <si>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</si>
  <si>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</si>
  <si>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</si>
  <si>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</si>
  <si>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</si>
  <si>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</si>
  <si>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</si>
  <si>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</si>
  <si>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</si>
  <si>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</si>
  <si>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</si>
  <si>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</si>
  <si>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</si>
  <si>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</si>
  <si>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</si>
  <si>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</si>
  <si>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</si>
  <si>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</si>
  <si>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</si>
  <si>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</si>
  <si>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</si>
  <si>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</si>
  <si>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</si>
  <si>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</si>
  <si>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</si>
  <si>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</si>
  <si>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</si>
  <si>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</si>
  <si>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</si>
  <si>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</si>
  <si>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</si>
  <si>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</si>
  <si>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</si>
  <si>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</si>
  <si>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</si>
  <si>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</si>
  <si>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</si>
  <si>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</si>
  <si>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</si>
  <si>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</si>
  <si>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</si>
  <si>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</si>
  <si>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</si>
  <si>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</si>
  <si>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</si>
  <si>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</si>
  <si>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</si>
  <si>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</si>
  <si>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</si>
  <si>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</si>
  <si>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</si>
  <si>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</si>
  <si>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</si>
  <si>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</si>
  <si>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</si>
  <si>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</si>
  <si>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</si>
  <si>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</si>
  <si>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</si>
  <si>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</si>
  <si>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</si>
  <si>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</si>
  <si>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</si>
  <si>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</si>
  <si>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</si>
  <si>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</si>
  <si>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</si>
  <si>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</si>
  <si>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</si>
  <si>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</si>
  <si>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</si>
  <si>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</si>
  <si>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</si>
  <si>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</si>
  <si>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</si>
  <si>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</si>
  <si>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</si>
  <si>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</si>
  <si>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</si>
  <si>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</si>
  <si>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</si>
  <si>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</si>
  <si>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</si>
  <si>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</si>
  <si>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</si>
  <si>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</si>
  <si>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</si>
  <si>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</si>
  <si>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</si>
  <si>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</si>
  <si>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</si>
  <si>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</si>
  <si>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</si>
  <si>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</si>
  <si>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</si>
  <si>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</si>
  <si>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</si>
  <si>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</si>
  <si>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</si>
  <si>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</si>
  <si>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</si>
  <si>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</si>
  <si>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</si>
  <si>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</si>
  <si>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</si>
  <si>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</si>
  <si>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</si>
  <si>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</si>
  <si>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</si>
  <si>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</si>
  <si>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</si>
  <si>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</si>
  <si>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</si>
  <si>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</si>
  <si>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</si>
  <si>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</si>
  <si>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</si>
  <si>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</si>
  <si>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</si>
  <si>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</si>
  <si>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</si>
  <si>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</si>
  <si>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</si>
  <si>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</si>
  <si>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</si>
  <si>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</si>
  <si>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</si>
  <si>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</si>
  <si>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</si>
  <si>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</si>
  <si>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</si>
  <si>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</si>
  <si>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</si>
  <si>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</si>
  <si>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</si>
  <si>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</si>
  <si>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</si>
  <si>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</si>
  <si>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</si>
  <si>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</si>
  <si>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</si>
  <si>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</si>
  <si>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</si>
  <si>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</si>
  <si>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</si>
  <si>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</si>
  <si>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</si>
  <si>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</si>
  <si>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</si>
  <si>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</si>
  <si>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</si>
  <si>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</si>
  <si>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</si>
  <si>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</si>
  <si>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</si>
  <si>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</si>
  <si>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</si>
  <si>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</si>
  <si>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</si>
  <si>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</si>
  <si>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</si>
  <si>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</si>
  <si>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</si>
  <si>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</si>
  <si>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</si>
  <si>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</si>
  <si>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</si>
  <si>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</si>
  <si>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</si>
  <si>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</si>
  <si>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</si>
  <si>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</si>
  <si>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</si>
  <si>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</si>
  <si>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</si>
  <si>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</si>
  <si>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</si>
  <si>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</si>
  <si>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</si>
  <si>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</si>
  <si>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</si>
  <si>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</si>
  <si>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</si>
  <si>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</si>
  <si>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</si>
  <si>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</si>
  <si>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</si>
  <si>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</si>
  <si>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</si>
  <si>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</si>
  <si>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</si>
  <si>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</si>
  <si>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</si>
  <si>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</si>
  <si>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</si>
  <si>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</si>
  <si>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</si>
  <si>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</si>
  <si>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</si>
  <si>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</si>
  <si>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</si>
  <si>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</si>
  <si>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</si>
  <si>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</si>
  <si>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</si>
  <si>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</si>
  <si>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</si>
  <si>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</si>
  <si>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</si>
  <si>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</si>
  <si>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</si>
  <si>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</si>
  <si>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</si>
  <si>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</si>
  <si>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</si>
  <si>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</si>
  <si>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</si>
  <si>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</si>
  <si>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</si>
  <si>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</si>
  <si>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</si>
  <si>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</si>
  <si>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</si>
  <si>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</si>
  <si>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</si>
  <si>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</si>
  <si>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</si>
  <si>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</si>
  <si>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</si>
  <si>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</si>
  <si>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</si>
  <si>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</si>
  <si>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</si>
  <si>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</si>
  <si>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</si>
  <si>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</si>
  <si>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</si>
  <si>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</si>
  <si>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</si>
  <si>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</si>
  <si>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</si>
  <si>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</si>
  <si>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</si>
  <si>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</si>
  <si>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</si>
  <si>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</si>
  <si>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</si>
  <si>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</si>
  <si>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</si>
  <si>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</si>
  <si>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</si>
  <si>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</si>
  <si>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</si>
  <si>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</si>
  <si>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</si>
  <si>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</si>
  <si>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</si>
  <si>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</si>
  <si>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</si>
  <si>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</si>
  <si>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</si>
  <si>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</si>
  <si>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</si>
  <si>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</si>
  <si>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</si>
  <si>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</si>
  <si>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</si>
  <si>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</si>
  <si>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</si>
  <si>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</si>
  <si>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</si>
  <si>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</si>
  <si>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</si>
  <si>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</si>
  <si>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</si>
  <si>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</si>
  <si>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</si>
  <si>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</si>
  <si>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</si>
  <si>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</si>
  <si>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</si>
  <si>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</si>
  <si>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</si>
  <si>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</si>
  <si>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</si>
  <si>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</si>
  <si>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</si>
  <si>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</si>
  <si>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</si>
  <si>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</si>
  <si>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</si>
  <si>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</si>
  <si>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</si>
  <si>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</si>
  <si>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</si>
  <si>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</si>
  <si>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</si>
  <si>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</si>
  <si>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</si>
  <si>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</si>
  <si>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</si>
  <si>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</si>
  <si>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</si>
  <si>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</si>
  <si>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</si>
  <si>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</si>
  <si>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</si>
  <si>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</si>
  <si>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</si>
  <si>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</si>
  <si>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</si>
  <si>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</si>
  <si>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</si>
  <si>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</si>
  <si>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</si>
  <si>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</si>
  <si>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</si>
  <si>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</si>
  <si>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</si>
  <si>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</si>
  <si>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</si>
  <si>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</si>
  <si>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</si>
  <si>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</si>
  <si>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</si>
  <si>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</si>
  <si>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</si>
  <si>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</si>
  <si>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</si>
  <si>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</si>
  <si>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</si>
  <si>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</si>
  <si>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</si>
  <si>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</si>
  <si>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</si>
  <si>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</si>
  <si>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</si>
  <si>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</si>
  <si>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</si>
  <si>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</si>
  <si>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</si>
  <si>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</si>
  <si>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</si>
  <si>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</si>
  <si>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</si>
  <si>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</si>
  <si>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</si>
  <si>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</si>
  <si>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</si>
  <si>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</si>
  <si>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</si>
  <si>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</si>
  <si>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</si>
  <si>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</si>
  <si>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</si>
  <si>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</si>
  <si>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</si>
  <si>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</si>
  <si>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</si>
  <si>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</si>
  <si>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</si>
  <si>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</si>
  <si>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</si>
  <si>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</si>
  <si>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</si>
  <si>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</si>
  <si>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</si>
  <si>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</si>
  <si>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</si>
  <si>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</si>
  <si>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</si>
  <si>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</si>
  <si>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</si>
  <si>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</si>
  <si>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</si>
  <si>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</si>
  <si>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</si>
  <si>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</si>
  <si>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</si>
  <si>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</si>
  <si>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</si>
  <si>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</si>
  <si>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</si>
  <si>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</si>
  <si>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</si>
  <si>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</si>
  <si>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</si>
  <si>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</si>
  <si>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</si>
  <si>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</si>
  <si>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</si>
  <si>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</si>
  <si>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</si>
  <si>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</si>
  <si>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</si>
  <si>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</si>
  <si>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</si>
  <si>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</si>
  <si>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</si>
  <si>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</si>
  <si>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</si>
  <si>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</si>
  <si>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</si>
  <si>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</si>
  <si>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</si>
  <si>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</si>
  <si>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</si>
  <si>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</si>
  <si>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</si>
  <si>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</si>
  <si>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</si>
  <si>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</si>
  <si>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</si>
  <si>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</si>
  <si>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</si>
  <si>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</si>
  <si>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</si>
  <si>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</si>
  <si>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</si>
  <si>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</si>
  <si>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</si>
  <si>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</si>
  <si>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</si>
  <si>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</si>
  <si>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</si>
  <si>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</si>
  <si>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</si>
  <si>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</si>
  <si>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</si>
  <si>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</si>
  <si>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</si>
  <si>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</si>
  <si>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</si>
  <si>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</si>
  <si>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</si>
  <si>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</si>
  <si>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</si>
  <si>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</si>
  <si>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</si>
  <si>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</si>
  <si>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</si>
  <si>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</si>
  <si>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</si>
  <si>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</si>
  <si>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</si>
  <si>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</si>
  <si>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</si>
  <si>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</si>
  <si>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</si>
  <si>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</si>
  <si>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</si>
  <si>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</si>
  <si>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</si>
  <si>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</si>
  <si>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</si>
  <si>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</si>
  <si>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</si>
  <si>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</si>
  <si>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</si>
  <si>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</si>
  <si>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</si>
  <si>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</si>
  <si>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</si>
  <si>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</si>
  <si>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</si>
  <si>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</si>
  <si>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</si>
  <si>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</si>
  <si>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</si>
  <si>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</si>
  <si>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</si>
  <si>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</si>
  <si>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</si>
  <si>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</si>
  <si>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</si>
  <si>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</si>
  <si>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</si>
  <si>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</si>
  <si>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</si>
  <si>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</si>
  <si>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</si>
  <si>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</si>
  <si>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</si>
  <si>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</si>
  <si>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</si>
  <si>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</si>
  <si>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</si>
  <si>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</si>
  <si>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</si>
  <si>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</si>
  <si>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</si>
  <si>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</si>
  <si>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</si>
  <si>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</si>
  <si>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</si>
  <si>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</si>
  <si>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</si>
  <si>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</si>
  <si>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</si>
  <si>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</si>
  <si>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</si>
  <si>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</si>
  <si>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</si>
  <si>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</si>
  <si>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</si>
  <si>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</si>
  <si>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</si>
  <si>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</si>
  <si>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</si>
  <si>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</si>
  <si>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</si>
  <si>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</si>
  <si>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</si>
  <si>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</si>
  <si>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</si>
  <si>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</si>
  <si>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</si>
  <si>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</si>
  <si>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</si>
  <si>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</si>
  <si>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</si>
  <si>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</si>
  <si>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</si>
  <si>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</si>
  <si>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</si>
  <si>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</si>
  <si>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</si>
  <si>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</si>
  <si>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</si>
  <si>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</si>
  <si>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</si>
  <si>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</si>
  <si>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</si>
  <si>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</si>
  <si>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</si>
  <si>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</si>
  <si>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</si>
  <si>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</si>
  <si>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</si>
  <si>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</si>
  <si>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</si>
  <si>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</si>
  <si>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</si>
  <si>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</si>
  <si>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</si>
  <si>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</si>
  <si>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</si>
  <si>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</si>
  <si>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</si>
  <si>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</si>
  <si>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</si>
  <si>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</si>
  <si>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</si>
  <si>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</si>
  <si>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</si>
  <si>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</si>
  <si>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</si>
  <si>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</si>
  <si>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</si>
  <si>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</si>
  <si>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</si>
  <si>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</si>
  <si>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</si>
  <si>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</si>
  <si>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</si>
  <si>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</si>
  <si>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</si>
  <si>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</si>
  <si>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</si>
  <si>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</si>
  <si>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</si>
  <si>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</si>
  <si>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</si>
  <si>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</si>
  <si>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</si>
  <si>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</si>
  <si>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</si>
  <si>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</si>
  <si>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</si>
  <si>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</si>
  <si>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</si>
  <si>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</si>
  <si>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</si>
  <si>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</si>
  <si>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</si>
  <si>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</si>
  <si>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</si>
  <si>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</si>
  <si>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</si>
  <si>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</si>
  <si>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</si>
  <si>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</si>
  <si>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</si>
  <si>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</si>
  <si>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</si>
  <si>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</si>
  <si>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</si>
  <si>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</si>
  <si>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</si>
  <si>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</si>
  <si>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</si>
  <si>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</si>
  <si>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</si>
  <si>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</si>
  <si>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</si>
  <si>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</si>
  <si>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</si>
  <si>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</si>
  <si>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</si>
  <si>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</si>
  <si>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</si>
  <si>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</si>
  <si>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</si>
  <si>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</si>
  <si>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</si>
  <si>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</si>
  <si>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</si>
  <si>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</si>
  <si>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</si>
  <si>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</si>
  <si>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</si>
  <si>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</si>
  <si>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</si>
  <si>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</si>
  <si>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</si>
  <si>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</si>
  <si>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</si>
  <si>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</si>
  <si>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</si>
  <si>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</si>
  <si>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</si>
  <si>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</si>
  <si>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</si>
  <si>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</si>
  <si>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</si>
  <si>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</si>
  <si>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</si>
  <si>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</si>
  <si>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</si>
  <si>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</si>
  <si>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</si>
  <si>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</si>
  <si>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</si>
  <si>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</si>
  <si>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</si>
  <si>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</si>
  <si>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</si>
  <si>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</si>
  <si>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</si>
  <si>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</si>
  <si>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</si>
  <si>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</si>
  <si>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</si>
  <si>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</si>
  <si>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</si>
  <si>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</si>
  <si>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</si>
  <si>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</si>
  <si>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</si>
  <si>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</si>
  <si>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</si>
  <si>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</si>
  <si>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</si>
  <si>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</si>
  <si>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</si>
  <si>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</si>
  <si>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</si>
  <si>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</si>
  <si>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</si>
  <si>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</si>
  <si>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</si>
  <si>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</si>
  <si>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</si>
  <si>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</si>
  <si>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</si>
  <si>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</si>
  <si>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</si>
  <si>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</si>
  <si>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</si>
  <si>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</si>
  <si>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</si>
  <si>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</si>
  <si>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</si>
  <si>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</si>
  <si>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</si>
  <si>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</si>
  <si>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</si>
  <si>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</si>
  <si>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</si>
  <si>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</si>
  <si>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</si>
  <si>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</si>
  <si>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</si>
  <si>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</si>
  <si>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</si>
  <si>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</si>
  <si>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</si>
  <si>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</si>
  <si>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</si>
  <si>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</si>
  <si>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</si>
  <si>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</si>
  <si>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</si>
  <si>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</si>
  <si>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</si>
  <si>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</si>
  <si>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</si>
  <si>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</si>
  <si>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</si>
  <si>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</si>
  <si>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</si>
  <si>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</si>
  <si>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</si>
  <si>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</si>
  <si>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</si>
  <si>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</si>
  <si>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</si>
  <si>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</si>
  <si>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</si>
  <si>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</si>
  <si>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</si>
  <si>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</si>
  <si>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</si>
  <si>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</si>
  <si>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</si>
  <si>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</si>
  <si>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</si>
  <si>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</si>
  <si>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</si>
  <si>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</si>
  <si>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</si>
  <si>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</si>
  <si>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</si>
  <si>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</si>
  <si>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</si>
  <si>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</si>
  <si>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</si>
  <si>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</si>
  <si>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</si>
  <si>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</si>
  <si>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</si>
  <si>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</si>
  <si>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</si>
  <si>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</si>
  <si>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</si>
  <si>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</si>
  <si>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</si>
  <si>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</si>
  <si>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</si>
  <si>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</si>
  <si>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</si>
  <si>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</si>
  <si>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</si>
  <si>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</si>
  <si>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</si>
  <si>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</si>
  <si>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</si>
  <si>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</si>
  <si>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</si>
  <si>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</si>
  <si>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</si>
  <si>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</si>
  <si>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</si>
  <si>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</si>
  <si>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</si>
  <si>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</si>
  <si>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</si>
  <si>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</si>
  <si>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</si>
  <si>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</si>
  <si>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</si>
  <si>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</si>
  <si>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</si>
  <si>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</si>
  <si>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</si>
  <si>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</si>
  <si>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</si>
  <si>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</si>
  <si>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</si>
  <si>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</si>
  <si>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</si>
  <si>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</si>
  <si>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</si>
  <si>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</si>
  <si>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</si>
  <si>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</si>
  <si>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</si>
  <si>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</si>
  <si>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</si>
  <si>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</si>
  <si>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</si>
  <si>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</si>
  <si>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</si>
  <si>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</si>
  <si>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</si>
  <si>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</si>
  <si>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</si>
  <si>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</si>
  <si>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</si>
  <si>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</si>
  <si>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</si>
  <si>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</si>
  <si>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</si>
  <si>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</si>
  <si>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</si>
  <si>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</si>
  <si>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</si>
  <si>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</si>
  <si>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</si>
  <si>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</si>
  <si>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</si>
  <si>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</si>
  <si>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</si>
  <si>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</si>
  <si>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</si>
  <si>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</si>
  <si>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</si>
  <si>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</si>
  <si>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</si>
  <si>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</si>
  <si>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</si>
  <si>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</si>
  <si>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</si>
  <si>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</si>
  <si>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</si>
  <si>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</si>
  <si>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</si>
  <si>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</si>
  <si>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</si>
  <si>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</si>
  <si>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</si>
  <si>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</si>
  <si>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</si>
  <si>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</si>
  <si>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</si>
  <si>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</si>
  <si>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</si>
  <si>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</si>
  <si>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</si>
  <si>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</si>
  <si>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</si>
  <si>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</si>
  <si>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</si>
  <si>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</si>
  <si>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</si>
  <si>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</si>
  <si>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</si>
  <si>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</si>
  <si>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</si>
  <si>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</si>
  <si>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</si>
  <si>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</si>
  <si>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</si>
  <si>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</si>
  <si>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</si>
  <si>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</si>
  <si>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</si>
  <si>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</si>
  <si>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</si>
  <si>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</si>
  <si>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</si>
  <si>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</si>
  <si>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</si>
  <si>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</si>
  <si>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</si>
  <si>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</si>
  <si>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</si>
  <si>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</si>
  <si>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</si>
  <si>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</si>
  <si>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</si>
  <si>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</si>
  <si>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</si>
  <si>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</si>
  <si>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</si>
  <si>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</si>
  <si>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</si>
  <si>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</si>
  <si>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</si>
  <si>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</si>
  <si>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</si>
  <si>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</si>
  <si>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</si>
  <si>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</si>
  <si>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</si>
  <si>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</si>
  <si>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</si>
  <si>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</si>
  <si>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</si>
  <si>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</si>
  <si>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</si>
  <si>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</si>
  <si>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</si>
  <si>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</si>
  <si>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</si>
  <si>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</si>
  <si>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</si>
  <si>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</si>
  <si>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</si>
  <si>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</si>
  <si>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</si>
  <si>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</si>
  <si>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</si>
  <si>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</si>
  <si>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</si>
  <si>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</si>
  <si>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</si>
  <si>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</si>
  <si>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</si>
  <si>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</si>
  <si>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</si>
  <si>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</si>
  <si>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</si>
  <si>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</si>
  <si>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</si>
  <si>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</si>
  <si>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</si>
  <si>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</si>
  <si>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</si>
  <si>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</si>
  <si>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</si>
  <si>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</si>
  <si>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</si>
  <si>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</si>
  <si>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</si>
  <si>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</si>
  <si>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</si>
  <si>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</si>
  <si>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</si>
  <si>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</si>
  <si>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</si>
  <si>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</si>
  <si>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</si>
  <si>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</si>
  <si>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</si>
  <si>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</si>
  <si>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</si>
  <si>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</si>
  <si>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</si>
  <si>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</si>
  <si>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</si>
  <si>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</si>
  <si>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</si>
  <si>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</si>
  <si>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</si>
  <si>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</si>
  <si>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</si>
  <si>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</si>
  <si>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</si>
  <si>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</si>
  <si>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</si>
  <si>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</si>
  <si>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</si>
  <si>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</si>
  <si>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</si>
  <si>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</si>
  <si>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</si>
  <si>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</si>
  <si>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</si>
  <si>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</si>
  <si>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</si>
  <si>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</si>
  <si>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</si>
  <si>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</si>
  <si>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</si>
  <si>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</si>
  <si>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</si>
  <si>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</si>
  <si>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</si>
  <si>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</si>
  <si>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</si>
  <si>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</si>
  <si>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</si>
  <si>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</si>
  <si>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</si>
  <si>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</si>
  <si>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</si>
  <si>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</si>
  <si>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</si>
  <si>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</si>
  <si>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</si>
  <si>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</si>
  <si>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</si>
  <si>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</si>
  <si>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</si>
  <si>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</si>
  <si>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</si>
  <si>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</si>
  <si>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</si>
  <si>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</si>
  <si>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</si>
  <si>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</si>
  <si>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</si>
  <si>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</si>
  <si>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</si>
  <si>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</si>
  <si>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</si>
  <si>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</si>
  <si>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</si>
  <si>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</si>
  <si>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</si>
  <si>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</si>
  <si>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</si>
  <si>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</si>
  <si>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</si>
  <si>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</si>
  <si>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</si>
  <si>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</si>
  <si>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</si>
  <si>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</si>
  <si>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</si>
  <si>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</si>
  <si>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</si>
  <si>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</si>
  <si>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</si>
  <si>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</si>
  <si>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</si>
  <si>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</si>
  <si>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</si>
  <si>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</si>
  <si>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</si>
  <si>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</si>
  <si>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</si>
  <si>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</si>
  <si>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</si>
  <si>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</si>
  <si>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</si>
  <si>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</si>
  <si>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</si>
  <si>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</si>
  <si>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</si>
  <si>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</si>
  <si>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</si>
  <si>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</si>
  <si>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</si>
  <si>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</si>
  <si>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</si>
  <si>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</si>
  <si>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</si>
  <si>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</si>
  <si>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</si>
  <si>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</si>
  <si>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</si>
  <si>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</si>
  <si>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</si>
  <si>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</si>
  <si>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</si>
  <si>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</si>
  <si>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</si>
  <si>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</si>
  <si>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</si>
  <si>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</si>
  <si>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</si>
  <si>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</si>
  <si>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</si>
  <si>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</si>
  <si>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</si>
  <si>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</si>
  <si>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</si>
  <si>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</si>
  <si>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</si>
  <si>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</si>
  <si>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</si>
  <si>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</si>
  <si>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</si>
  <si>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</si>
  <si>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</si>
  <si>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</si>
  <si>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</si>
  <si>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</si>
  <si>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</si>
  <si>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</si>
  <si>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</si>
  <si>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</si>
  <si>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</si>
  <si>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</si>
  <si>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</si>
  <si>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</si>
  <si>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</si>
  <si>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</si>
  <si>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</si>
  <si>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</si>
  <si>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</si>
  <si>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</si>
  <si>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</si>
  <si>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</si>
  <si>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</si>
  <si>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</si>
  <si>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</si>
  <si>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</si>
  <si>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</si>
  <si>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</si>
  <si>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</si>
  <si>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</si>
  <si>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</si>
  <si>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</si>
  <si>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</si>
  <si>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</si>
  <si>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</si>
  <si>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</si>
  <si>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</si>
  <si>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</si>
  <si>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</si>
  <si>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</si>
  <si>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</si>
  <si>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</si>
  <si>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</si>
  <si>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</si>
  <si>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</si>
  <si>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</si>
  <si>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</si>
  <si>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</si>
  <si>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</si>
  <si>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</si>
  <si>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</si>
  <si>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</si>
  <si>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</si>
  <si>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</si>
  <si>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</si>
  <si>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</si>
  <si>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</si>
  <si>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</si>
  <si>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</si>
  <si>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</si>
  <si>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</si>
  <si>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</si>
  <si>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</si>
  <si>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</si>
  <si>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</si>
  <si>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</si>
  <si>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</si>
  <si>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</si>
  <si>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</si>
  <si>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</si>
  <si>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</si>
  <si>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</si>
  <si>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</si>
  <si>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</si>
  <si>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</si>
  <si>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</si>
  <si>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</si>
  <si>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</si>
  <si>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</si>
  <si>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</si>
  <si>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</si>
  <si>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</si>
  <si>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</si>
  <si>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</si>
  <si>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</si>
  <si>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</si>
  <si>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</si>
  <si>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</si>
  <si>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</si>
  <si>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</si>
  <si>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</si>
  <si>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</si>
  <si>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</si>
  <si>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</si>
  <si>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</si>
  <si>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</si>
  <si>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</si>
  <si>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</si>
  <si>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</si>
  <si>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</si>
  <si>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</si>
  <si>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</si>
  <si>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</si>
  <si>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</si>
  <si>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</si>
  <si>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</si>
  <si>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</si>
  <si>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</si>
  <si>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</si>
  <si>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</si>
  <si>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</si>
  <si>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</si>
  <si>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</si>
  <si>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</si>
  <si>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</si>
  <si>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</si>
  <si>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</si>
  <si>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</si>
  <si>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</si>
  <si>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</si>
  <si>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</si>
  <si>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</si>
  <si>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</si>
  <si>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</si>
  <si>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</si>
  <si>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</si>
  <si>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</si>
  <si>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</si>
  <si>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</si>
  <si>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</si>
  <si>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</si>
  <si>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</si>
  <si>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</si>
  <si>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</si>
  <si>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</si>
  <si>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</si>
  <si>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</si>
  <si>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</si>
  <si>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</si>
  <si>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</si>
  <si>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</si>
  <si>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</si>
  <si>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</si>
  <si>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</si>
  <si>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</si>
  <si>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</si>
  <si>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</si>
  <si>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</si>
  <si>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</si>
  <si>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</si>
  <si>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</si>
  <si>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</si>
  <si>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</si>
  <si>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</si>
  <si>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</si>
  <si>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</si>
  <si>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</si>
  <si>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</si>
  <si>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</si>
  <si>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</si>
  <si>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</si>
  <si>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</si>
  <si>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</si>
  <si>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</si>
  <si>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</si>
  <si>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</si>
  <si>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</si>
  <si>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</si>
  <si>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</si>
  <si>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</si>
  <si>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</si>
  <si>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</si>
  <si>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</si>
  <si>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</si>
  <si>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</si>
  <si>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</si>
  <si>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</si>
  <si>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</si>
  <si>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</si>
  <si>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</si>
  <si>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</si>
  <si>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</si>
  <si>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</si>
  <si>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</si>
  <si>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</si>
  <si>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</si>
  <si>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</si>
  <si>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</si>
  <si>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</si>
  <si>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</si>
  <si>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</si>
  <si>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</si>
  <si>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</si>
  <si>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</si>
  <si>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</si>
  <si>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</si>
  <si>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</si>
  <si>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</si>
  <si>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</si>
  <si>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</si>
  <si>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</si>
  <si>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</si>
  <si>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</si>
  <si>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</si>
  <si>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</si>
  <si>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</si>
  <si>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</si>
  <si>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</si>
  <si>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</si>
  <si>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</si>
  <si>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</si>
  <si>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</si>
  <si>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</si>
  <si>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</si>
  <si>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</si>
  <si>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</si>
  <si>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</si>
  <si>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</si>
  <si>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</si>
  <si>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</si>
  <si>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</si>
  <si>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</si>
  <si>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</si>
  <si>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</si>
  <si>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</si>
  <si>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</si>
  <si>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</si>
  <si>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</si>
  <si>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</si>
  <si>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</si>
  <si>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</si>
  <si>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</si>
  <si>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</si>
  <si>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</si>
  <si>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</si>
  <si>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</si>
  <si>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</si>
  <si>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</si>
  <si>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</si>
  <si>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</si>
  <si>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</si>
  <si>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</si>
  <si>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</si>
  <si>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</si>
  <si>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</si>
  <si>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</si>
  <si>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</si>
  <si>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</si>
  <si>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</si>
  <si>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</si>
  <si>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</si>
  <si>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</si>
  <si>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</si>
  <si>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</si>
  <si>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</si>
  <si>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</si>
  <si>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</si>
  <si>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</si>
  <si>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</si>
  <si>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</si>
  <si>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</si>
  <si>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</si>
  <si>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</si>
  <si>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</si>
  <si>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</si>
  <si>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</si>
  <si>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</si>
  <si>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</si>
  <si>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</si>
  <si>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</si>
  <si>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</si>
  <si>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</si>
  <si>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</si>
  <si>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</si>
  <si>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</si>
  <si>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</si>
  <si>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</si>
  <si>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</si>
  <si>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</si>
  <si>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</si>
  <si>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</si>
  <si>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</si>
  <si>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</si>
  <si>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</si>
  <si>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</si>
  <si>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</si>
  <si>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</si>
  <si>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</si>
  <si>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</si>
  <si>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</si>
  <si>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</si>
  <si>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</si>
  <si>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</si>
  <si>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</si>
  <si>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</si>
  <si>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</si>
  <si>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</si>
  <si>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</si>
  <si>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</si>
  <si>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</si>
  <si>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</si>
  <si>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</si>
  <si>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</si>
  <si>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</si>
  <si>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</si>
  <si>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</si>
  <si>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</si>
  <si>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</si>
  <si>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</si>
  <si>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</si>
  <si>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</si>
  <si>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</si>
  <si>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</si>
  <si>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</si>
  <si>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</si>
  <si>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</si>
  <si>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</si>
  <si>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</si>
  <si>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</si>
  <si>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</si>
  <si>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</si>
  <si>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</si>
  <si>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</si>
  <si>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</si>
  <si>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</si>
  <si>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</si>
  <si>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</si>
  <si>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</si>
  <si>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</si>
  <si>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</si>
  <si>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</si>
  <si>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</si>
  <si>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</si>
  <si>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</si>
  <si>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</si>
  <si>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</si>
  <si>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</si>
  <si>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</si>
  <si>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</si>
  <si>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</si>
  <si>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</si>
  <si>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</si>
  <si>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</si>
  <si>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</si>
  <si>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</si>
  <si>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</si>
  <si>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</si>
  <si>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</si>
  <si>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</si>
  <si>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</si>
  <si>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</si>
  <si>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</si>
  <si>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</si>
  <si>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</si>
  <si>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</si>
  <si>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</si>
  <si>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</si>
  <si>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</si>
  <si>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</si>
  <si>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</si>
  <si>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</si>
  <si>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</si>
  <si>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</si>
  <si>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</si>
  <si>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</si>
  <si>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</si>
  <si>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</si>
  <si>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</si>
  <si>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</si>
  <si>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</si>
  <si>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</si>
  <si>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</si>
  <si>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</si>
  <si>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</si>
  <si>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</si>
  <si>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</si>
  <si>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</si>
  <si>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</si>
  <si>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</si>
  <si>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</si>
  <si>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</si>
  <si>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</si>
  <si>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</si>
  <si>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</si>
  <si>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</si>
  <si>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</si>
  <si>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</si>
  <si>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</si>
  <si>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</si>
  <si>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</si>
  <si>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</si>
  <si>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</si>
  <si>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</si>
  <si>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</si>
  <si>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</si>
  <si>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</si>
  <si>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</si>
  <si>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</si>
  <si>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</si>
  <si>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</si>
  <si>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</si>
  <si>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</si>
  <si>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</si>
  <si>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</si>
  <si>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</si>
  <si>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</si>
  <si>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</si>
  <si>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</si>
  <si>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</si>
  <si>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</si>
  <si>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</si>
  <si>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</si>
  <si>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</si>
  <si>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</si>
  <si>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</si>
  <si>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</si>
  <si>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</si>
  <si>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</si>
  <si>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</si>
  <si>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</si>
  <si>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</si>
  <si>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</si>
  <si>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</si>
  <si>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</si>
  <si>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</si>
  <si>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</si>
  <si>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</si>
  <si>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</si>
  <si>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</si>
  <si>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</si>
  <si>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</si>
  <si>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</si>
  <si>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</si>
  <si>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</si>
  <si>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</si>
  <si>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</si>
  <si>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</si>
  <si>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</si>
  <si>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</si>
  <si>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</si>
  <si>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</si>
  <si>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</si>
  <si>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</si>
  <si>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</si>
  <si>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</si>
  <si>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</si>
  <si>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</si>
  <si>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</si>
  <si>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</si>
  <si>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</si>
  <si>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</si>
  <si>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</si>
  <si>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</si>
  <si>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</si>
  <si>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</si>
  <si>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</si>
  <si>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</si>
  <si>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</si>
  <si>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</si>
  <si>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</si>
  <si>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</si>
  <si>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</si>
  <si>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</si>
  <si>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</si>
  <si>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</si>
  <si>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</si>
  <si>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</si>
  <si>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</si>
  <si>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</si>
  <si>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</si>
  <si>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</si>
  <si>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</si>
  <si>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</si>
  <si>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</si>
  <si>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</si>
  <si>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</si>
  <si>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</si>
  <si>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</si>
  <si>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</si>
  <si>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</si>
  <si>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</si>
  <si>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</si>
  <si>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</si>
  <si>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</si>
  <si>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</si>
  <si>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</si>
  <si>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</si>
  <si>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</si>
  <si>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</si>
  <si>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</si>
  <si>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</si>
  <si>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</si>
  <si>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</si>
  <si>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</si>
  <si>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</si>
  <si>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</si>
  <si>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</si>
  <si>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</si>
  <si>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</si>
  <si>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</si>
  <si>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</si>
  <si>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</si>
  <si>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</si>
  <si>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</si>
  <si>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</si>
  <si>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</si>
  <si>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</si>
  <si>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</si>
  <si>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</si>
  <si>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</si>
  <si>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</si>
  <si>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</si>
  <si>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</si>
  <si>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</si>
  <si>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</si>
  <si>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</si>
  <si>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</si>
  <si>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</si>
  <si>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</si>
  <si>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</si>
  <si>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</si>
  <si>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</si>
  <si>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</si>
  <si>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</si>
  <si>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</si>
  <si>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</si>
  <si>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</si>
  <si>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</si>
  <si>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</si>
  <si>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</si>
  <si>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</si>
  <si>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</si>
  <si>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</si>
  <si>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</si>
  <si>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</si>
  <si>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</si>
  <si>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</si>
  <si>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</si>
  <si>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</si>
  <si>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</si>
  <si>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</si>
  <si>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</si>
  <si>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</si>
  <si>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</si>
  <si>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</si>
  <si>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</si>
  <si>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</si>
  <si>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</si>
  <si>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</si>
  <si>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</si>
  <si>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</si>
  <si>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</si>
  <si>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</si>
  <si>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</si>
  <si>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</si>
  <si>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</si>
  <si>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</si>
  <si>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</si>
  <si>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</si>
  <si>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</si>
  <si>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</si>
  <si>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</si>
  <si>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</si>
  <si>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</si>
  <si>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</si>
  <si>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</si>
  <si>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</si>
  <si>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</si>
  <si>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</si>
  <si>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</si>
  <si>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</si>
  <si>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</si>
  <si>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</si>
  <si>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</si>
  <si>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</si>
  <si>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</si>
  <si>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</si>
  <si>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</si>
  <si>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</si>
  <si>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</si>
  <si>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</si>
  <si>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</si>
  <si>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</si>
  <si>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</si>
  <si>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</si>
  <si>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</si>
  <si>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</si>
  <si>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</si>
  <si>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</si>
  <si>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</si>
  <si>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</si>
  <si>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</si>
  <si>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</si>
  <si>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</si>
  <si>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</si>
  <si>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</si>
  <si>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</si>
  <si>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</si>
  <si>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</si>
  <si>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</si>
  <si>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</si>
  <si>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</si>
  <si>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</si>
  <si>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</si>
  <si>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</si>
  <si>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</si>
  <si>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</si>
  <si>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</si>
  <si>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</si>
  <si>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</si>
  <si>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</si>
  <si>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</si>
  <si>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</si>
  <si>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</si>
  <si>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</si>
  <si>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</si>
  <si>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</si>
  <si>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</si>
  <si>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</si>
  <si>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</si>
  <si>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</si>
  <si>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</si>
  <si>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</si>
  <si>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</si>
  <si>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</si>
  <si>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</si>
  <si>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</si>
  <si>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</si>
  <si>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</si>
  <si>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</si>
  <si>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</si>
  <si>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</si>
  <si>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</si>
  <si>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</si>
  <si>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</si>
  <si>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</si>
  <si>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</si>
  <si>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</si>
  <si>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</si>
  <si>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</si>
  <si>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</si>
  <si>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</si>
  <si>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</si>
  <si>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</si>
  <si>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</si>
  <si>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</si>
  <si>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</si>
  <si>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</si>
  <si>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</si>
  <si>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</si>
  <si>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</si>
  <si>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</si>
  <si>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</si>
  <si>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</si>
  <si>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</si>
  <si>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</si>
  <si>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</si>
  <si>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</si>
  <si>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</si>
  <si>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</si>
  <si>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</si>
  <si>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</si>
  <si>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</si>
  <si>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</si>
  <si>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</si>
  <si>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</si>
  <si>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</si>
  <si>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</si>
  <si>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</si>
  <si>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</si>
  <si>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</si>
  <si>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</si>
  <si>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</si>
  <si>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</si>
  <si>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</si>
  <si>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</si>
  <si>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</si>
  <si>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</si>
  <si>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</si>
  <si>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</si>
  <si>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</si>
  <si>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</si>
  <si>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</si>
  <si>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</si>
  <si>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</si>
  <si>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</si>
  <si>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</si>
  <si>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</si>
  <si>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</si>
  <si>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</si>
  <si>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</si>
  <si>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</si>
  <si>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</si>
  <si>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</si>
  <si>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</si>
  <si>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</si>
  <si>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</si>
  <si>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</si>
  <si>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</si>
  <si>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</si>
  <si>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</si>
  <si>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</si>
  <si>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</si>
  <si>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</si>
  <si>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</si>
  <si>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</si>
  <si>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</si>
  <si>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</si>
  <si>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</si>
  <si>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</si>
  <si>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</si>
  <si>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</si>
  <si>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</si>
  <si>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</si>
  <si>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</si>
  <si>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</si>
  <si>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</si>
  <si>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</si>
  <si>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</si>
  <si>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</si>
  <si>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</si>
  <si>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</si>
  <si>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</si>
  <si>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</si>
  <si>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</si>
  <si>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</si>
  <si>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</si>
  <si>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</si>
  <si>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</si>
  <si>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</si>
  <si>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</si>
  <si>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</si>
  <si>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</si>
  <si>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</si>
  <si>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</si>
  <si>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</si>
  <si>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</si>
  <si>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</si>
  <si>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</si>
  <si>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</si>
  <si>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</si>
  <si>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</si>
  <si>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</si>
  <si>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</si>
  <si>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</si>
  <si>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</si>
  <si>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</si>
  <si>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</si>
  <si>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</si>
  <si>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</si>
  <si>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</si>
  <si>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</si>
  <si>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</si>
  <si>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</si>
  <si>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</si>
  <si>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</si>
  <si>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</si>
  <si>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</si>
  <si>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</si>
  <si>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</si>
  <si>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</si>
  <si>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</si>
  <si>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</si>
  <si>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</si>
  <si>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</si>
  <si>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</si>
  <si>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</si>
  <si>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</si>
  <si>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</si>
  <si>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</si>
  <si>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</si>
  <si>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</si>
  <si>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</si>
  <si>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</si>
  <si>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</si>
  <si>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</si>
  <si>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</si>
  <si>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</si>
  <si>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</si>
  <si>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</si>
  <si>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</si>
  <si>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</si>
  <si>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</si>
  <si>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</si>
  <si>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</si>
  <si>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</si>
  <si>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</si>
  <si>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</si>
  <si>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</si>
  <si>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</si>
  <si>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</si>
  <si>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</si>
  <si>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</si>
  <si>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</si>
  <si>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</si>
  <si>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</si>
  <si>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</si>
  <si>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</si>
  <si>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</si>
  <si>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</si>
  <si>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</si>
  <si>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</si>
  <si>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</si>
  <si>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</si>
  <si>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</si>
  <si>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</si>
  <si>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</si>
  <si>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</si>
  <si>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</si>
  <si>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</si>
  <si>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</si>
  <si>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</si>
  <si>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</si>
  <si>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</si>
  <si>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</si>
  <si>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</si>
  <si>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</si>
  <si>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</si>
  <si>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</si>
  <si>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</si>
  <si>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</si>
  <si>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</si>
  <si>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</si>
  <si>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</si>
  <si>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</si>
  <si>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</si>
  <si>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</si>
  <si>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</si>
  <si>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</si>
  <si>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</si>
  <si>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</si>
  <si>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</si>
  <si>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</si>
  <si>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</si>
  <si>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</si>
  <si>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</si>
  <si>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</si>
  <si>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</si>
  <si>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</si>
  <si>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</si>
  <si>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</si>
  <si>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</si>
  <si>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</si>
  <si>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</si>
  <si>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</si>
  <si>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</si>
  <si>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</si>
  <si>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</si>
  <si>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</si>
  <si>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</si>
  <si>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</si>
  <si>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</si>
  <si>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</si>
  <si>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</si>
  <si>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</si>
  <si>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</si>
  <si>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</si>
  <si>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</si>
  <si>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</si>
  <si>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</si>
  <si>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</si>
  <si>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</si>
  <si>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</si>
  <si>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</si>
  <si>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</si>
  <si>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</si>
  <si>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</si>
  <si>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</si>
  <si>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</si>
  <si>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</si>
  <si>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</si>
  <si>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</si>
  <si>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</si>
  <si>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</si>
  <si>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</si>
  <si>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</si>
  <si>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</si>
  <si>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</si>
  <si>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</si>
  <si>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</si>
  <si>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</si>
  <si>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</si>
  <si>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</si>
  <si>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</si>
  <si>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</si>
  <si>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</si>
  <si>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</si>
  <si>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</si>
  <si>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</si>
  <si>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</si>
  <si>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</si>
  <si>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</si>
  <si>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</si>
  <si>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</si>
  <si>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</si>
  <si>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</si>
  <si>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</si>
  <si>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</si>
  <si>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</si>
  <si>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</si>
  <si>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</si>
  <si>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</si>
  <si>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</si>
  <si>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</si>
  <si>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</si>
  <si>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</si>
  <si>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</si>
  <si>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</si>
  <si>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</si>
  <si>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</si>
  <si>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</si>
  <si>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</si>
  <si>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</si>
  <si>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</si>
  <si>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</si>
  <si>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</si>
  <si>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</si>
  <si>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</si>
  <si>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</si>
  <si>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</si>
  <si>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</si>
  <si>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</si>
  <si>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</si>
  <si>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</si>
  <si>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</si>
  <si>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</si>
  <si>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</si>
  <si>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</si>
  <si>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</si>
  <si>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</si>
  <si>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</si>
  <si>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</si>
  <si>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</si>
  <si>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</si>
  <si>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</si>
  <si>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</si>
  <si>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</si>
  <si>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</si>
  <si>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</si>
  <si>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</si>
  <si>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</si>
  <si>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</si>
  <si>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</si>
  <si>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</si>
  <si>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</si>
  <si>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</si>
  <si>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</si>
  <si>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</si>
  <si>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</si>
  <si>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</si>
  <si>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</si>
  <si>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</si>
  <si>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</si>
  <si>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</si>
  <si>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</si>
  <si>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</si>
  <si>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</si>
  <si>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</si>
  <si>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</si>
  <si>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</si>
  <si>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</si>
  <si>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</si>
  <si>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</si>
  <si>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</si>
  <si>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</si>
  <si>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</si>
  <si>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</si>
  <si>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</si>
  <si>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</si>
  <si>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</si>
  <si>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</si>
  <si>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</si>
  <si>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</si>
  <si>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</si>
  <si>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</si>
  <si>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</si>
  <si>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</si>
  <si>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</si>
  <si>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</si>
  <si>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</si>
  <si>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</si>
  <si>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</si>
  <si>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</si>
  <si>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</si>
  <si>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</si>
  <si>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</si>
  <si>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</si>
  <si>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</si>
  <si>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</si>
  <si>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</si>
  <si>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</si>
  <si>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</si>
  <si>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</si>
  <si>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</si>
  <si>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</si>
  <si>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</si>
  <si>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</si>
  <si>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</si>
  <si>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</si>
  <si>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</si>
  <si>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</si>
  <si>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</si>
  <si>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</si>
  <si>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</si>
  <si>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</si>
  <si>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</si>
  <si>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</si>
  <si>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</si>
  <si>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</si>
  <si>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</si>
  <si>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</si>
  <si>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</si>
  <si>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</si>
  <si>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</si>
  <si>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</si>
  <si>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</si>
  <si>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</si>
  <si>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</si>
  <si>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</si>
  <si>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</si>
  <si>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</si>
  <si>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</si>
  <si>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</si>
  <si>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</si>
  <si>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</si>
  <si>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</si>
  <si>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</si>
  <si>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</si>
  <si>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</si>
  <si>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</si>
  <si>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</si>
  <si>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</si>
  <si>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</si>
  <si>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</si>
  <si>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</si>
  <si>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</si>
  <si>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</si>
  <si>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</si>
  <si>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</si>
  <si>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</si>
  <si>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</si>
  <si>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</si>
  <si>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</si>
  <si>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</si>
  <si>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</si>
  <si>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</si>
  <si>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</si>
  <si>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</si>
  <si>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</si>
  <si>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</si>
  <si>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</si>
  <si>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</si>
  <si>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</si>
  <si>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</si>
  <si>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</si>
  <si>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</si>
  <si>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</si>
  <si>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</si>
  <si>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</si>
  <si>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</si>
  <si>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</si>
  <si>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</si>
  <si>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</si>
  <si>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</si>
  <si>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</si>
  <si>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</si>
  <si>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</si>
  <si>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</si>
  <si>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</si>
  <si>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</si>
  <si>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</si>
  <si>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</si>
  <si>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</si>
  <si>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</si>
  <si>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</si>
  <si>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</si>
  <si>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</si>
  <si>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</si>
  <si>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</si>
  <si>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</si>
  <si>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</si>
  <si>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</si>
  <si>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</si>
  <si>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</si>
  <si>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</si>
  <si>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</si>
  <si>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</si>
  <si>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</si>
  <si>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</si>
  <si>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</si>
  <si>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</si>
  <si>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</si>
  <si>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</si>
  <si>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</si>
  <si>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</si>
  <si>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</si>
  <si>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</si>
  <si>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</si>
  <si>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</si>
  <si>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</si>
  <si>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</si>
  <si>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</si>
  <si>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</si>
  <si>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</si>
  <si>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</si>
  <si>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</si>
  <si>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</si>
  <si>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</si>
  <si>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</si>
  <si>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</si>
  <si>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</si>
  <si>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</si>
  <si>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</si>
  <si>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</si>
  <si>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</si>
  <si>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</si>
  <si>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</si>
  <si>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</si>
  <si>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</si>
  <si>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</si>
  <si>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</si>
  <si>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</si>
  <si>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</si>
  <si>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</si>
  <si>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</si>
  <si>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</si>
  <si>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</si>
  <si>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</si>
  <si>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</si>
  <si>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</si>
  <si>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</si>
  <si>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</si>
  <si>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</si>
  <si>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</si>
  <si>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</si>
  <si>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</si>
  <si>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</si>
  <si>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</si>
  <si>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</si>
  <si>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</si>
  <si>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</si>
  <si>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</si>
  <si>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</si>
  <si>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</si>
  <si>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</si>
  <si>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</si>
  <si>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</si>
  <si>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</si>
  <si>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</si>
  <si>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</si>
  <si>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</si>
  <si>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</si>
  <si>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</si>
  <si>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</si>
  <si>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</si>
  <si>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</si>
  <si>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</si>
  <si>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</si>
  <si>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</si>
  <si>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</si>
  <si>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</si>
  <si>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</si>
  <si>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</si>
  <si>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</si>
  <si>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</si>
  <si>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</si>
  <si>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</si>
  <si>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</si>
  <si>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</si>
  <si>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</si>
  <si>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</si>
  <si>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</si>
  <si>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</si>
  <si>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</si>
  <si>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</si>
  <si>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</si>
  <si>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</si>
  <si>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</si>
  <si>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</si>
  <si>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</si>
  <si>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</si>
  <si>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</si>
  <si>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</si>
  <si>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</si>
  <si>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</si>
  <si>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</si>
  <si>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</si>
  <si>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</si>
  <si>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 xml:space="preserve">                    </t>
  </si>
  <si>
    <t/>
  </si>
  <si>
    <t>2021-01</t>
  </si>
  <si>
    <t>2020-12</t>
  </si>
  <si>
    <t>2020-11</t>
  </si>
  <si>
    <t>2020-10</t>
  </si>
  <si>
    <t>2020-09</t>
  </si>
  <si>
    <t>2020-08</t>
  </si>
  <si>
    <t>2020-07</t>
  </si>
  <si>
    <t>2020-06</t>
  </si>
  <si>
    <t>2020-05</t>
  </si>
  <si>
    <t>2020-04</t>
  </si>
  <si>
    <t>2020-03</t>
  </si>
  <si>
    <t>2020-02</t>
  </si>
  <si>
    <t xml:space="preserve">                </t>
  </si>
  <si>
    <t>序号</t>
  </si>
  <si>
    <t>小区</t>
  </si>
  <si>
    <t>区县</t>
  </si>
  <si>
    <t>板块</t>
  </si>
  <si>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3"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</si>
  <si>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3"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</si>
  <si>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3" type="noConversion"/>
  </si>
  <si>
    <t>京贸家园</t>
  </si>
  <si>
    <t>通州区</t>
  </si>
  <si>
    <t>潞城</t>
  </si>
  <si>
    <t>武夷花园水仙园</t>
  </si>
  <si>
    <t>水恋晶城</t>
  </si>
  <si>
    <t>武夷花园月季园</t>
  </si>
  <si>
    <t>紫运园</t>
  </si>
  <si>
    <t>荔景园</t>
  </si>
  <si>
    <t>武夷花园牡丹园</t>
  </si>
  <si>
    <t>三元村</t>
  </si>
  <si>
    <t>华龙小区</t>
  </si>
  <si>
    <t>陈颖</t>
  </si>
  <si>
    <t>叶凌</t>
  </si>
  <si>
    <t>核定资产</t>
  </si>
  <si>
    <t>房地产市场价值</t>
  </si>
  <si>
    <t>北京市</t>
  </si>
  <si>
    <t>企业</t>
  </si>
  <si>
    <t>划拨</t>
  </si>
  <si>
    <t>地上</t>
  </si>
  <si>
    <t>地下</t>
  </si>
  <si>
    <t>是</t>
  </si>
  <si>
    <t>住宅</t>
  </si>
  <si>
    <t>仓储</t>
  </si>
  <si>
    <r>
      <t>21</t>
    </r>
    <r>
      <rPr>
        <sz val="10"/>
        <color indexed="8"/>
        <rFont val="宋体"/>
        <family val="3"/>
        <charset val="134"/>
      </rPr>
      <t>号楼（</t>
    </r>
    <r>
      <rPr>
        <sz val="10"/>
        <color indexed="8"/>
        <rFont val="Arial"/>
        <family val="2"/>
      </rPr>
      <t>10</t>
    </r>
    <r>
      <rPr>
        <sz val="10"/>
        <color indexed="8"/>
        <rFont val="宋体"/>
        <family val="3"/>
        <charset val="134"/>
      </rPr>
      <t>）</t>
    </r>
    <phoneticPr fontId="3" type="noConversion"/>
  </si>
  <si>
    <r>
      <t>20</t>
    </r>
    <r>
      <rPr>
        <sz val="10"/>
        <color indexed="8"/>
        <rFont val="宋体"/>
        <family val="3"/>
        <charset val="134"/>
      </rPr>
      <t>号楼（</t>
    </r>
    <r>
      <rPr>
        <sz val="10"/>
        <color indexed="8"/>
        <rFont val="Arial"/>
        <family val="2"/>
      </rPr>
      <t>9</t>
    </r>
    <r>
      <rPr>
        <sz val="10"/>
        <color indexed="8"/>
        <rFont val="宋体"/>
        <family val="3"/>
        <charset val="134"/>
      </rPr>
      <t>）</t>
    </r>
    <phoneticPr fontId="3" type="noConversion"/>
  </si>
  <si>
    <t>住宅</t>
    <phoneticPr fontId="7" type="noConversion"/>
  </si>
  <si>
    <t>仓储</t>
    <phoneticPr fontId="7" type="noConversion"/>
  </si>
  <si>
    <t>成新度</t>
  </si>
  <si>
    <t>朗清园</t>
    <phoneticPr fontId="6" type="noConversion"/>
  </si>
  <si>
    <t>紫运园</t>
    <phoneticPr fontId="3" type="noConversion"/>
  </si>
  <si>
    <t>三元村</t>
    <phoneticPr fontId="3" type="noConversion"/>
  </si>
  <si>
    <t>正常</t>
  </si>
  <si>
    <t>住宅</t>
    <phoneticPr fontId="25" type="noConversion"/>
  </si>
  <si>
    <t>60-70（含）</t>
  </si>
  <si>
    <t>建成年代</t>
    <phoneticPr fontId="25" type="noConversion"/>
  </si>
  <si>
    <t>钢混</t>
    <phoneticPr fontId="25" type="noConversion"/>
  </si>
  <si>
    <t>混合</t>
  </si>
  <si>
    <t>混合</t>
    <phoneticPr fontId="25" type="noConversion"/>
  </si>
  <si>
    <t>多层板楼</t>
  </si>
  <si>
    <t>多层板楼</t>
    <phoneticPr fontId="25" type="noConversion"/>
  </si>
  <si>
    <t>高层板楼</t>
    <phoneticPr fontId="25" type="noConversion"/>
  </si>
  <si>
    <t>普通装修</t>
  </si>
  <si>
    <t>普通装修</t>
    <phoneticPr fontId="25" type="noConversion"/>
  </si>
  <si>
    <t>物业公司管理</t>
  </si>
  <si>
    <t>物业公司管理</t>
    <phoneticPr fontId="25" type="noConversion"/>
  </si>
  <si>
    <t>七通</t>
  </si>
  <si>
    <t>七通</t>
    <phoneticPr fontId="25" type="noConversion"/>
  </si>
  <si>
    <t>六通</t>
  </si>
  <si>
    <t>六通</t>
    <phoneticPr fontId="25" type="noConversion"/>
  </si>
  <si>
    <t>成套住宅</t>
  </si>
  <si>
    <t>成套住宅</t>
    <phoneticPr fontId="25" type="noConversion"/>
  </si>
  <si>
    <t>宿舍</t>
  </si>
  <si>
    <t>宿舍</t>
    <phoneticPr fontId="25" type="noConversion"/>
  </si>
  <si>
    <t>武夷花园水仙园</t>
    <phoneticPr fontId="3" type="noConversion"/>
  </si>
  <si>
    <t>一般</t>
  </si>
  <si>
    <t>较好</t>
  </si>
  <si>
    <t>电梯</t>
    <phoneticPr fontId="25" type="noConversion"/>
  </si>
  <si>
    <t>是</t>
    <phoneticPr fontId="25" type="noConversion"/>
  </si>
  <si>
    <t>否</t>
    <phoneticPr fontId="25" type="noConversion"/>
  </si>
  <si>
    <t>是</t>
    <phoneticPr fontId="25" type="noConversion"/>
  </si>
  <si>
    <t>租金</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</si>
  <si>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</si>
  <si>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</si>
  <si>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</si>
  <si>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</si>
  <si>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</si>
  <si>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</si>
  <si>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</si>
  <si>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</si>
  <si>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</si>
  <si>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</si>
  <si>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</si>
  <si>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</si>
  <si>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</si>
  <si>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</si>
  <si>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</si>
  <si>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</si>
  <si>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</si>
  <si>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</si>
  <si>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</si>
  <si>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</si>
  <si>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</si>
  <si>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</si>
  <si>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</si>
  <si>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</si>
  <si>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</si>
  <si>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</si>
  <si>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</si>
  <si>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</si>
  <si>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</si>
  <si>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</si>
  <si>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</si>
  <si>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</si>
  <si>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</si>
  <si>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</si>
  <si>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</si>
  <si>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</si>
  <si>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</si>
  <si>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</si>
  <si>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</si>
  <si>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</si>
  <si>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</si>
  <si>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</si>
  <si>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</si>
  <si>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</si>
  <si>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</si>
  <si>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</si>
  <si>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</si>
  <si>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</si>
  <si>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</si>
  <si>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</si>
  <si>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</si>
  <si>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</si>
  <si>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</si>
  <si>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</si>
  <si>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</si>
  <si>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</si>
  <si>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</si>
  <si>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</si>
  <si>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</si>
  <si>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</si>
  <si>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</si>
  <si>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</si>
  <si>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</si>
  <si>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</si>
  <si>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</si>
  <si>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</si>
  <si>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</si>
  <si>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</si>
  <si>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</si>
  <si>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</si>
  <si>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</si>
  <si>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</si>
  <si>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</si>
  <si>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</si>
  <si>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</si>
  <si>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</si>
  <si>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</si>
  <si>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</si>
  <si>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</si>
  <si>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</si>
  <si>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</si>
  <si>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</si>
  <si>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</si>
  <si>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</si>
  <si>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</si>
  <si>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</si>
  <si>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</si>
  <si>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</si>
  <si>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</si>
  <si>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</si>
  <si>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</si>
  <si>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</si>
  <si>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</si>
  <si>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</si>
  <si>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</si>
  <si>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</si>
  <si>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</si>
  <si>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</si>
  <si>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</si>
  <si>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</si>
  <si>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</si>
  <si>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</si>
  <si>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</si>
  <si>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</si>
  <si>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</si>
  <si>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</si>
  <si>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</si>
  <si>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</si>
  <si>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</si>
  <si>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</si>
  <si>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</si>
  <si>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</si>
  <si>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</si>
  <si>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</si>
  <si>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</si>
  <si>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</si>
  <si>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</si>
  <si>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</si>
  <si>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</si>
  <si>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</si>
  <si>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</si>
  <si>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</si>
  <si>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</si>
  <si>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</si>
  <si>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</si>
  <si>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</si>
  <si>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</si>
  <si>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</si>
  <si>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</si>
  <si>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</si>
  <si>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未包含在土地购买价格中</t>
  </si>
  <si>
    <t>部分缴纳</t>
  </si>
  <si>
    <t>已包含在土地取得成本中</t>
  </si>
  <si>
    <t>居住用地（指二类居住用地）</t>
  </si>
  <si>
    <t>有</t>
  </si>
  <si>
    <t>按公示增长率计算</t>
  </si>
  <si>
    <t>容积率修正</t>
  </si>
  <si>
    <t>自定义容积率</t>
  </si>
  <si>
    <t>Ⅷ-通1</t>
  </si>
  <si>
    <t>基准地价修正</t>
  </si>
  <si>
    <t>无</t>
  </si>
  <si>
    <t>与级别开发程度不一致</t>
  </si>
  <si>
    <t>通路</t>
  </si>
  <si>
    <t>通电</t>
  </si>
  <si>
    <t>通讯</t>
  </si>
  <si>
    <t>通上水</t>
  </si>
  <si>
    <t>通下水</t>
  </si>
  <si>
    <t>通热</t>
  </si>
  <si>
    <t>燃气</t>
  </si>
  <si>
    <t>平整</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</si>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</sst>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8" fillId="0" borderId="0"/>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55" fillId="0" borderId="0" xfId="17"/>
    <xf numFmtId="0" fontId="55" fillId="0" borderId="0" xfId="17" applyAlignment="1">
      <alignment horizontal="left"/>
    </xf>
    <xf numFmtId="0" fontId="55" fillId="0" borderId="0" xfId="17" applyFont="1" applyAlignment="1">
      <alignment horizontal="left"/>
    </xf>
    <xf numFmtId="177" fontId="79" fillId="0" borderId="1" xfId="1" applyNumberFormat="1" applyFont="1" applyFill="1" applyBorder="1" applyAlignment="1" applyProtection="1">
      <alignment vertical="center"/>
      <protection locked="0" hidden="1"/>
    </xf>
    <xf numFmtId="179" fontId="46" fillId="0" borderId="23" xfId="0" applyNumberFormat="1" applyFont="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181" fontId="258" fillId="0" borderId="1" xfId="10" applyNumberFormat="1" applyFont="1" applyFill="1" applyBorder="1" applyAlignment="1">
      <alignment horizontal="center"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9" fontId="114" fillId="0" borderId="1" xfId="10" applyNumberFormat="1" applyFont="1" applyFill="1" applyBorder="1" applyAlignment="1">
      <alignment horizontal="center" vertical="center" wrapText="1" shrinkToFit="1"/>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178"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178" fontId="261" fillId="0" borderId="0" xfId="10" applyNumberFormat="1" applyFont="1" applyAlignment="1">
      <alignmen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0"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114" fillId="0"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10" fontId="114" fillId="0" borderId="1"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179" fontId="114" fillId="0" borderId="46" xfId="10" applyNumberFormat="1" applyFont="1" applyFill="1" applyBorder="1" applyAlignment="1">
      <alignment horizontal="center" vertical="center" wrapText="1" shrinkToFit="1"/>
    </xf>
    <xf numFmtId="179" fontId="114" fillId="0" borderId="36" xfId="10" applyNumberFormat="1" applyFont="1" applyFill="1" applyBorder="1" applyAlignment="1">
      <alignment horizontal="center" vertical="center" wrapText="1" shrinkToFit="1"/>
    </xf>
    <xf numFmtId="179" fontId="114" fillId="0" borderId="22" xfId="10" applyNumberFormat="1" applyFont="1" applyFill="1" applyBorder="1" applyAlignment="1">
      <alignment horizontal="center" vertical="center" wrapText="1" shrinkToFit="1"/>
    </xf>
    <xf numFmtId="179" fontId="114" fillId="0" borderId="4" xfId="10" applyNumberFormat="1" applyFont="1" applyFill="1" applyBorder="1" applyAlignment="1">
      <alignment horizontal="center" vertical="center" wrapText="1" shrinkToFit="1"/>
    </xf>
    <xf numFmtId="179" fontId="114" fillId="0" borderId="60" xfId="10" applyNumberFormat="1" applyFont="1" applyFill="1" applyBorder="1" applyAlignment="1">
      <alignment horizontal="center" vertical="center" wrapText="1" shrinkToFit="1"/>
    </xf>
    <xf numFmtId="179" fontId="114" fillId="0" borderId="7" xfId="10" applyNumberFormat="1" applyFont="1" applyFill="1" applyBorder="1" applyAlignment="1">
      <alignment horizontal="center" vertical="center" wrapText="1" shrinkToFit="1"/>
    </xf>
    <xf numFmtId="178"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55" fillId="0" borderId="0" xfId="17"/>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52">
    <cellStyle name="百分比 2" xfId="14"/>
    <cellStyle name="常规" xfId="0" builtinId="0"/>
    <cellStyle name="常规 10" xfId="17"/>
    <cellStyle name="常规 11 2" xfId="18"/>
    <cellStyle name="常规 16" xfId="10"/>
    <cellStyle name="常规 2" xfId="1"/>
    <cellStyle name="常规 2 2" xfId="8"/>
    <cellStyle name="常规 2 2 2 2 3" xfId="15"/>
    <cellStyle name="常规 3" xfId="2"/>
    <cellStyle name="常规 3 10" xfId="19"/>
    <cellStyle name="常规 3 11" xfId="20"/>
    <cellStyle name="常规 3 12" xfId="21"/>
    <cellStyle name="常规 3 2" xfId="3"/>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 name="常规 9 2" xfId="51"/>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20</xdr:col>
      <xdr:colOff>256569</xdr:colOff>
      <xdr:row>40</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 y="2286000"/>
          <a:ext cx="4847619" cy="4333334"/>
        </a:xfrm>
        <a:prstGeom prst="rect">
          <a:avLst/>
        </a:prstGeom>
      </xdr:spPr>
    </xdr:pic>
    <xdr:clientData/>
  </xdr:twoCellAnchor>
  <xdr:twoCellAnchor editAs="oneCell">
    <xdr:from>
      <xdr:col>2</xdr:col>
      <xdr:colOff>0</xdr:colOff>
      <xdr:row>42</xdr:row>
      <xdr:rowOff>0</xdr:rowOff>
    </xdr:from>
    <xdr:to>
      <xdr:col>44</xdr:col>
      <xdr:colOff>94023</xdr:colOff>
      <xdr:row>64</xdr:row>
      <xdr:rowOff>132888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1076325" y="6819900"/>
          <a:ext cx="9819048" cy="3695238"/>
        </a:xfrm>
        <a:prstGeom prst="rect">
          <a:avLst/>
        </a:prstGeom>
      </xdr:spPr>
    </xdr:pic>
    <xdr:clientData/>
  </xdr:twoCellAnchor>
  <xdr:twoCellAnchor editAs="oneCell">
    <xdr:from>
      <xdr:col>2</xdr:col>
      <xdr:colOff>0</xdr:colOff>
      <xdr:row>66</xdr:row>
      <xdr:rowOff>0</xdr:rowOff>
    </xdr:from>
    <xdr:to>
      <xdr:col>44</xdr:col>
      <xdr:colOff>189261</xdr:colOff>
      <xdr:row>87</xdr:row>
      <xdr:rowOff>104337</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325" y="10706100"/>
          <a:ext cx="9914286" cy="3504762"/>
        </a:xfrm>
        <a:prstGeom prst="rect">
          <a:avLst/>
        </a:prstGeom>
      </xdr:spPr>
    </xdr:pic>
    <xdr:clientData/>
  </xdr:twoCellAnchor>
  <xdr:twoCellAnchor editAs="oneCell">
    <xdr:from>
      <xdr:col>2</xdr:col>
      <xdr:colOff>0</xdr:colOff>
      <xdr:row>89</xdr:row>
      <xdr:rowOff>0</xdr:rowOff>
    </xdr:from>
    <xdr:to>
      <xdr:col>44</xdr:col>
      <xdr:colOff>132119</xdr:colOff>
      <xdr:row>112</xdr:row>
      <xdr:rowOff>85249</xdr:rowOff>
    </xdr:to>
    <xdr:pic>
      <xdr:nvPicPr>
        <xdr:cNvPr id="5" name="图片 4"/>
        <xdr:cNvPicPr>
          <a:picLocks noChangeAspect="1"/>
        </xdr:cNvPicPr>
      </xdr:nvPicPr>
      <xdr:blipFill>
        <a:blip xmlns:r="http://schemas.openxmlformats.org/officeDocument/2006/relationships" r:embed="rId4"/>
        <a:stretch>
          <a:fillRect/>
        </a:stretch>
      </xdr:blipFill>
      <xdr:spPr>
        <a:xfrm>
          <a:off x="1076325" y="14430375"/>
          <a:ext cx="9857144" cy="3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估价对象为北京市房地产，为所有。根据《国有土地使用证》[]，估价对象（分摊）出让国有建设用地使用权面积为16732.06平方米，建筑面积为16732.06平方米。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估价对象为北京市房地产,属开发建设的，该项目尚在开发建设中。根据《国有土地使用证》[]，估价对象（分摊）出让国有建设用地使用权面积为16732.06平方米，规划建筑面积为16732.06平方米。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2021年3月1日（评估专业人员实地查勘之日）</v>
      </c>
    </row>
    <row r="13" spans="1:2" s="1365" customFormat="1">
      <c r="A13" s="1363" t="s">
        <v>1194</v>
      </c>
      <c r="B13" s="1364" t="str">
        <f>'预评函-1'!A18</f>
        <v>本次估价的“房地产价值”是指在正常市场情况下，在价值时点2021年3月1日，估价对象规划用途为，土地取得方式为划拨，假定未设立法定优先受偿款下的房地产市场价值。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16732.060000000001</v>
      </c>
    </row>
    <row r="44" spans="1:2" s="1365" customFormat="1">
      <c r="A44" s="1363" t="s">
        <v>1240</v>
      </c>
      <c r="B44" s="1364" t="str">
        <f>'预评函-3'!C2</f>
        <v>(分摊)土地面积</v>
      </c>
    </row>
    <row r="45" spans="1:2" s="1365" customFormat="1">
      <c r="A45" s="1363" t="s">
        <v>1212</v>
      </c>
      <c r="B45" s="1364">
        <f>'预评函-3'!C4</f>
        <v>16732.060000000001</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3036</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80"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0"/>
      <c r="B54" s="1740" t="s">
        <v>832</v>
      </c>
      <c r="C54" s="1737" t="s">
        <v>1248</v>
      </c>
    </row>
    <row r="55" spans="1:4">
      <c r="A55" s="3180"/>
      <c r="B55" s="1740" t="s">
        <v>833</v>
      </c>
      <c r="C55" s="1737" t="s">
        <v>1249</v>
      </c>
    </row>
    <row r="56" spans="1:4">
      <c r="A56" s="3180"/>
      <c r="B56" s="1740" t="s">
        <v>834</v>
      </c>
      <c r="C56" s="1737" t="s">
        <v>1253</v>
      </c>
    </row>
    <row r="57" spans="1:4">
      <c r="A57" s="3180"/>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2911</v>
      </c>
      <c r="B1" s="3189" t="str">
        <f>IF(B10="北京市","北京市",C10)&amp;F10&amp;IF(结果表!G1="在建","出让国有建设用地使用权及在建建筑物",IF(结果表!G1="土地","出让国有建设用地使用权",))&amp;B9&amp;"预评估"</f>
        <v>北京市房地产市场价值预评估</v>
      </c>
      <c r="C1" s="3190"/>
      <c r="D1" s="3190"/>
      <c r="E1" s="3190"/>
      <c r="F1" s="3190"/>
      <c r="G1" s="3190"/>
      <c r="H1" s="3190"/>
      <c r="I1" s="3191"/>
      <c r="J1" s="2697"/>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北京市房地产市场价值</v>
      </c>
      <c r="T1" s="1932"/>
      <c r="U1" s="1932"/>
      <c r="V1" s="1932"/>
      <c r="W1" s="1932"/>
      <c r="X1" s="1932"/>
      <c r="Y1" s="1932"/>
      <c r="Z1" s="1932"/>
      <c r="AA1" s="1932"/>
      <c r="AB1" s="1932"/>
    </row>
    <row r="2" spans="1:28">
      <c r="A2" s="2592" t="s">
        <v>2912</v>
      </c>
      <c r="B2" s="2596"/>
      <c r="C2" s="2597"/>
      <c r="D2" s="2899"/>
      <c r="E2" s="2889"/>
      <c r="F2" s="2889"/>
      <c r="G2" s="2890"/>
      <c r="H2" s="2890"/>
      <c r="I2" s="2890"/>
      <c r="J2" s="2697"/>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2913</v>
      </c>
      <c r="B3" s="2598">
        <v>44256</v>
      </c>
      <c r="C3" s="2599" t="s">
        <v>2914</v>
      </c>
      <c r="D3" s="2598">
        <f>B3</f>
        <v>44256</v>
      </c>
      <c r="E3" s="2890"/>
      <c r="F3" s="2890"/>
      <c r="G3" s="2890"/>
      <c r="H3" s="2890"/>
      <c r="I3" s="2890"/>
      <c r="J3" s="2697"/>
      <c r="K3" s="2593"/>
      <c r="L3" s="2594"/>
      <c r="M3" s="2594"/>
      <c r="N3" s="2595"/>
      <c r="O3" s="1762"/>
      <c r="P3" s="2595"/>
      <c r="Q3" s="2595"/>
      <c r="R3" s="2595"/>
      <c r="S3" s="1869"/>
      <c r="T3" s="1932"/>
      <c r="U3" s="1932"/>
      <c r="V3" s="1932"/>
      <c r="W3" s="1932"/>
      <c r="X3" s="1932"/>
      <c r="Y3" s="1932"/>
      <c r="Z3" s="1932"/>
      <c r="AA3" s="1932"/>
      <c r="AB3" s="1932"/>
    </row>
    <row r="4" spans="1:28" ht="13.5" thickBot="1">
      <c r="A4" s="1250" t="s">
        <v>2915</v>
      </c>
      <c r="B4" s="2600" t="s">
        <v>3093</v>
      </c>
      <c r="C4" s="2601">
        <f ca="1">SUMIF(注册房地产估价师,B4,估价师及机构信息!B3:B24)</f>
        <v>1120060040</v>
      </c>
      <c r="D4" s="2600" t="s">
        <v>3094</v>
      </c>
      <c r="E4" s="2602">
        <f ca="1">SUMIF(注册房地产估价师,D4,估价师及机构信息!B3:B24)</f>
        <v>1119970111</v>
      </c>
      <c r="F4" s="2600"/>
      <c r="G4" s="2602">
        <f>SUMIF(注册房地产估价师,F4,估价师及机构信息!B3:B24)</f>
        <v>0</v>
      </c>
      <c r="H4" s="2600"/>
      <c r="I4" s="2602">
        <f>SUMIF(注册房地产估价师,H4,估价师及机构信息!B3:B24)</f>
        <v>0</v>
      </c>
      <c r="J4" s="2665"/>
      <c r="K4" s="2603" t="str">
        <f ca="1">CONCATENATE(B4,"（注册号：",C4,")、",D4,"（注册号：",E4,")")</f>
        <v>陈颖（注册号：1120060040)、叶凌（注册号：1119970111)</v>
      </c>
      <c r="L4" s="2594"/>
      <c r="M4" s="2594"/>
      <c r="N4" s="2595"/>
      <c r="O4" s="1762"/>
      <c r="P4" s="2595"/>
      <c r="Q4" s="2595"/>
      <c r="R4" s="2595"/>
      <c r="S4" s="1869"/>
      <c r="T4" s="1932"/>
      <c r="U4" s="1932"/>
      <c r="V4" s="1932"/>
      <c r="W4" s="1932"/>
      <c r="X4" s="1932"/>
      <c r="Y4" s="1932"/>
      <c r="Z4" s="1932"/>
      <c r="AA4" s="1932"/>
      <c r="AB4" s="1932"/>
    </row>
    <row r="5" spans="1:28" ht="13.5" thickTop="1">
      <c r="A5" s="2604" t="s">
        <v>2916</v>
      </c>
      <c r="B5" s="2605"/>
      <c r="C5" s="2606"/>
      <c r="D5" s="2607"/>
      <c r="E5" s="2891"/>
      <c r="F5" s="2891"/>
      <c r="G5" s="2891"/>
      <c r="H5" s="2891"/>
      <c r="I5" s="2891"/>
      <c r="J5" s="2665"/>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2917</v>
      </c>
      <c r="B6" s="2609"/>
      <c r="C6" s="2610"/>
      <c r="D6" s="2611"/>
      <c r="E6" s="2889"/>
      <c r="F6" s="2891"/>
      <c r="G6" s="2891"/>
      <c r="H6" s="2891"/>
      <c r="I6" s="2891"/>
      <c r="J6" s="2665"/>
      <c r="K6" s="2841" t="str">
        <f>IF(COUNTIF(B6,"*上海银行*"),"上海银行","")</f>
        <v/>
      </c>
      <c r="L6" s="2839"/>
      <c r="M6" s="2839"/>
      <c r="N6" s="2665"/>
      <c r="O6" s="2676"/>
      <c r="P6" s="2665"/>
      <c r="Q6" s="2665"/>
      <c r="R6" s="2665"/>
    </row>
    <row r="7" spans="1:28">
      <c r="A7" s="2608" t="s">
        <v>2918</v>
      </c>
      <c r="B7" s="2612"/>
      <c r="C7" s="2610"/>
      <c r="D7" s="2611"/>
      <c r="E7" s="2889"/>
      <c r="F7" s="2891"/>
      <c r="G7" s="2891"/>
      <c r="H7" s="2891"/>
      <c r="I7" s="2891"/>
      <c r="J7" s="2665"/>
      <c r="K7" s="2842"/>
      <c r="L7" s="2839"/>
      <c r="M7" s="2839"/>
      <c r="N7" s="2665"/>
      <c r="O7" s="2676"/>
      <c r="P7" s="2665"/>
      <c r="Q7" s="2665"/>
      <c r="R7" s="2665"/>
    </row>
    <row r="8" spans="1:28">
      <c r="A8" s="2613" t="s">
        <v>2919</v>
      </c>
      <c r="B8" s="2614" t="s">
        <v>3095</v>
      </c>
      <c r="C8" s="2615"/>
      <c r="D8" s="3192" t="s">
        <v>2920</v>
      </c>
      <c r="E8" s="2616"/>
      <c r="F8" s="2617"/>
      <c r="G8" s="2890"/>
      <c r="H8" s="2890"/>
      <c r="I8" s="2890"/>
      <c r="J8" s="2665"/>
      <c r="K8" s="2840"/>
      <c r="L8" s="2839"/>
      <c r="M8" s="2839"/>
      <c r="N8" s="2665"/>
      <c r="O8" s="2676"/>
      <c r="P8" s="2665"/>
      <c r="Q8" s="2665"/>
      <c r="R8" s="2665"/>
    </row>
    <row r="9" spans="1:28" ht="13.5" thickBot="1">
      <c r="A9" s="2618" t="s">
        <v>2921</v>
      </c>
      <c r="B9" s="2619" t="s">
        <v>3096</v>
      </c>
      <c r="C9" s="2620"/>
      <c r="D9" s="3193"/>
      <c r="E9" s="2619"/>
      <c r="F9" s="2621"/>
      <c r="G9" s="2892"/>
      <c r="H9" s="2892"/>
      <c r="I9" s="2892"/>
      <c r="J9" s="2665"/>
      <c r="K9" s="2842"/>
      <c r="L9" s="2839"/>
      <c r="M9" s="2839"/>
      <c r="N9" s="2665"/>
      <c r="O9" s="2676"/>
      <c r="P9" s="2665"/>
      <c r="Q9" s="2665"/>
      <c r="R9" s="2665"/>
    </row>
    <row r="10" spans="1:28" ht="13.5" thickTop="1">
      <c r="A10" s="2622" t="s">
        <v>2922</v>
      </c>
      <c r="B10" s="2623" t="s">
        <v>3097</v>
      </c>
      <c r="C10" s="3058" t="s">
        <v>3110</v>
      </c>
      <c r="D10" s="2607"/>
      <c r="E10" s="2624" t="s">
        <v>2923</v>
      </c>
      <c r="F10" s="2893"/>
      <c r="G10" s="2894"/>
      <c r="H10" s="2895"/>
      <c r="I10" s="2896"/>
      <c r="J10" s="2665"/>
      <c r="K10" s="2842"/>
      <c r="L10" s="2839"/>
      <c r="M10" s="2839"/>
      <c r="N10" s="2665"/>
      <c r="O10" s="2676"/>
      <c r="P10" s="2665"/>
      <c r="Q10" s="2665"/>
      <c r="R10" s="2665"/>
    </row>
    <row r="11" spans="1:28">
      <c r="A11" s="2625" t="s">
        <v>2924</v>
      </c>
      <c r="B11" s="2626" t="s">
        <v>3098</v>
      </c>
      <c r="C11" s="2627"/>
      <c r="D11" s="2628"/>
      <c r="E11" s="2595"/>
      <c r="F11" s="2595"/>
      <c r="G11" s="2595"/>
      <c r="H11" s="2595"/>
      <c r="I11" s="2595"/>
      <c r="J11" s="2665"/>
      <c r="K11" s="2842"/>
      <c r="L11" s="2839"/>
      <c r="M11" s="2839"/>
      <c r="N11" s="2665"/>
      <c r="O11" s="2676"/>
      <c r="P11" s="2665"/>
      <c r="Q11" s="2665"/>
      <c r="R11" s="2665"/>
    </row>
    <row r="12" spans="1:28">
      <c r="A12" s="2629" t="s">
        <v>2925</v>
      </c>
      <c r="B12" s="2626" t="s">
        <v>3099</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v>62518</v>
      </c>
      <c r="E13" s="965"/>
      <c r="F13" s="965"/>
      <c r="G13" s="965"/>
      <c r="H13" s="965">
        <v>55213</v>
      </c>
      <c r="I13" s="965"/>
      <c r="J13" s="2665"/>
      <c r="K13" s="2842"/>
      <c r="L13" s="2839"/>
      <c r="M13" s="2839"/>
      <c r="N13" s="2665"/>
      <c r="O13" s="2676"/>
      <c r="P13" s="2665"/>
      <c r="Q13" s="2665"/>
      <c r="R13" s="2665"/>
    </row>
    <row r="14" spans="1:28">
      <c r="A14" s="1241"/>
      <c r="B14" s="2631"/>
      <c r="C14" s="2632" t="s">
        <v>2934</v>
      </c>
      <c r="D14" s="2633">
        <v>70</v>
      </c>
      <c r="E14" s="2633"/>
      <c r="F14" s="2633"/>
      <c r="G14" s="2633"/>
      <c r="H14" s="2633">
        <v>50</v>
      </c>
      <c r="I14" s="2633"/>
      <c r="J14" s="2665"/>
      <c r="K14" s="2843"/>
      <c r="L14" s="2839"/>
      <c r="M14" s="2839"/>
      <c r="N14" s="2665"/>
      <c r="O14" s="2676"/>
      <c r="P14" s="2665"/>
      <c r="Q14" s="2665"/>
      <c r="R14" s="2665"/>
    </row>
    <row r="15" spans="1:28">
      <c r="A15" s="326"/>
      <c r="B15" s="2634"/>
      <c r="C15" s="2635" t="s">
        <v>2935</v>
      </c>
      <c r="D15" s="2636">
        <f>IF(B12="出让",IF(D13="","",ROUNDDOWN(MIN((D13-$D$3)/365,D14),2)),D14)</f>
        <v>70</v>
      </c>
      <c r="E15" s="2636">
        <f>IF(B12="出让",IF(E13="","",ROUNDDOWN(MIN((E13-$D$3)/365,E14),2)),E14)</f>
        <v>0</v>
      </c>
      <c r="F15" s="2636">
        <f>IF(B12="出让",IF(F13="","",ROUNDDOWN(MIN((F13-$D$3)/365,F14),2)),F14)</f>
        <v>0</v>
      </c>
      <c r="G15" s="2636">
        <f>IF(B12="出让",IF(G13="","",ROUNDDOWN(MIN((G13-$D$3)/365,G14),2)),G14)</f>
        <v>0</v>
      </c>
      <c r="H15" s="2636">
        <f>IF(B12="出让",IF(H13="","",ROUNDDOWN(MIN((H13-$D$3)/365,H14),2)),H14)</f>
        <v>50</v>
      </c>
      <c r="I15" s="2636">
        <f>IF(B12="出让",IF(I13="","",ROUNDDOWN(MIN((I13-$D$3)/365,I14),2)),I14)</f>
        <v>0</v>
      </c>
      <c r="J15" s="2665"/>
      <c r="K15" s="2844"/>
      <c r="L15" s="2677"/>
      <c r="M15" s="2677"/>
      <c r="N15" s="2735"/>
      <c r="O15" s="2677"/>
      <c r="P15" s="2735"/>
      <c r="Q15" s="2665"/>
      <c r="R15" s="2665"/>
    </row>
    <row r="16" spans="1:28">
      <c r="A16" s="2624" t="s">
        <v>2936</v>
      </c>
      <c r="B16" s="3199"/>
      <c r="C16" s="3200"/>
      <c r="D16" s="3201"/>
      <c r="E16" s="2639" t="s">
        <v>2937</v>
      </c>
      <c r="F16" s="3202"/>
      <c r="G16" s="3203"/>
      <c r="H16" s="3203"/>
      <c r="I16" s="3204"/>
      <c r="J16" s="2665"/>
      <c r="K16" s="2844"/>
      <c r="L16" s="2677"/>
      <c r="M16" s="2677"/>
      <c r="N16" s="2735"/>
      <c r="O16" s="2677"/>
      <c r="P16" s="2735"/>
      <c r="Q16" s="2665"/>
      <c r="R16" s="2665"/>
    </row>
    <row r="17" spans="1:28">
      <c r="A17" s="319" t="s">
        <v>2938</v>
      </c>
      <c r="B17" s="308" t="s">
        <v>2939</v>
      </c>
      <c r="C17" s="11">
        <f>'数据-汇总表'!E3</f>
        <v>16732.060000000001</v>
      </c>
      <c r="D17" s="2546" t="s">
        <v>2940</v>
      </c>
      <c r="E17" s="3205" t="s">
        <v>2941</v>
      </c>
      <c r="F17" s="3206"/>
      <c r="G17" s="3206"/>
      <c r="H17" s="3206"/>
      <c r="I17" s="3207"/>
      <c r="J17" s="2665"/>
      <c r="K17" s="2845"/>
      <c r="L17" s="2677"/>
      <c r="M17" s="2677"/>
      <c r="N17" s="2735"/>
      <c r="O17" s="2677"/>
      <c r="P17" s="2735"/>
      <c r="Q17" s="2665"/>
      <c r="R17" s="2665"/>
      <c r="S17" s="2665"/>
      <c r="T17" s="2665"/>
      <c r="U17" s="2665"/>
      <c r="V17" s="2665"/>
    </row>
    <row r="18" spans="1:28" ht="24.75" thickBot="1">
      <c r="A18" s="2640" t="s">
        <v>2942</v>
      </c>
      <c r="B18" s="1250" t="s">
        <v>2943</v>
      </c>
      <c r="C18" s="2641">
        <f>'数据-汇总表'!D3</f>
        <v>16732.060000000001</v>
      </c>
      <c r="D18" s="1252" t="s">
        <v>2944</v>
      </c>
      <c r="E18" s="3208" t="s">
        <v>2945</v>
      </c>
      <c r="F18" s="3209"/>
      <c r="G18" s="3209"/>
      <c r="H18" s="3209"/>
      <c r="I18" s="3210"/>
      <c r="J18" s="2665"/>
      <c r="K18" s="2845"/>
      <c r="L18" s="2677"/>
      <c r="M18" s="2677"/>
      <c r="N18" s="2735"/>
      <c r="O18" s="2677"/>
      <c r="P18" s="2735"/>
      <c r="Q18" s="2665"/>
      <c r="R18" s="2665"/>
      <c r="S18" s="2665"/>
      <c r="T18" s="2665"/>
      <c r="U18" s="2665"/>
      <c r="V18" s="2665"/>
    </row>
    <row r="19" spans="1:28" ht="37.5" thickTop="1" thickBot="1">
      <c r="A19" s="333" t="s">
        <v>1741</v>
      </c>
      <c r="B19" s="313" t="s">
        <v>2946</v>
      </c>
      <c r="C19" s="1749"/>
      <c r="D19" s="1750" t="s">
        <v>2947</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2948</v>
      </c>
      <c r="B20" s="3195" t="s">
        <v>2949</v>
      </c>
      <c r="C20" s="3196"/>
      <c r="D20" s="3197" t="s">
        <v>2950</v>
      </c>
      <c r="E20" s="3198"/>
      <c r="F20" s="2874" t="s">
        <v>1742</v>
      </c>
      <c r="G20" s="2891"/>
      <c r="H20" s="2891"/>
      <c r="I20" s="2891"/>
      <c r="J20" s="2665"/>
      <c r="K20" s="3194"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2"/>
      <c r="X20" s="1932"/>
      <c r="Y20" s="1932"/>
      <c r="Z20" s="1932"/>
      <c r="AA20" s="1932"/>
      <c r="AB20" s="1932"/>
    </row>
    <row r="21" spans="1:28" ht="24.75" thickBot="1">
      <c r="A21" s="2859"/>
      <c r="B21" s="2860" t="s">
        <v>2952</v>
      </c>
      <c r="C21" s="2861" t="s">
        <v>1743</v>
      </c>
      <c r="D21" s="1754" t="s">
        <v>2953</v>
      </c>
      <c r="E21" s="2862" t="s">
        <v>1743</v>
      </c>
      <c r="F21" s="2875"/>
      <c r="G21" s="2891"/>
      <c r="H21" s="2891"/>
      <c r="I21" s="2891"/>
      <c r="J21" s="2665"/>
      <c r="K21" s="319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2"/>
      <c r="X21" s="1932"/>
      <c r="Y21" s="1932"/>
      <c r="Z21" s="1932"/>
      <c r="AA21" s="1932"/>
      <c r="AB21" s="1932"/>
    </row>
    <row r="22" spans="1:28" ht="24.75" thickBot="1">
      <c r="A22" s="2859"/>
      <c r="B22" s="2863" t="s">
        <v>2954</v>
      </c>
      <c r="C22" s="2861" t="s">
        <v>1744</v>
      </c>
      <c r="D22" s="2890"/>
      <c r="E22" s="2890"/>
      <c r="F22" s="2890"/>
      <c r="G22" s="2891"/>
      <c r="H22" s="2891"/>
      <c r="I22" s="2891"/>
      <c r="J22" s="2665"/>
      <c r="K22" s="319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2"/>
      <c r="X22" s="1932"/>
      <c r="Y22" s="1932"/>
      <c r="Z22" s="1932"/>
      <c r="AA22" s="1932"/>
      <c r="AB22" s="1932"/>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82" t="s">
        <v>2957</v>
      </c>
      <c r="B27" s="326" t="s">
        <v>2958</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82"/>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82"/>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83"/>
      <c r="B30" s="308" t="s">
        <v>2961</v>
      </c>
      <c r="C30" s="3184"/>
      <c r="D30" s="3185"/>
      <c r="E30" s="2891"/>
      <c r="F30" s="2891"/>
      <c r="G30" s="2891"/>
      <c r="H30" s="2891"/>
      <c r="I30" s="2891"/>
      <c r="J30" s="2665"/>
      <c r="K30" s="2842"/>
      <c r="L30" s="2839"/>
      <c r="M30" s="2839"/>
      <c r="N30" s="2665"/>
      <c r="O30" s="2676"/>
      <c r="P30" s="2665"/>
      <c r="Q30" s="2665"/>
      <c r="R30" s="2665"/>
      <c r="S30" s="2665"/>
      <c r="T30" s="2665"/>
      <c r="U30" s="2665"/>
      <c r="V30" s="2665"/>
    </row>
    <row r="31" spans="1:28">
      <c r="A31" s="3186" t="s">
        <v>2962</v>
      </c>
      <c r="B31" s="2648"/>
      <c r="C31" s="2547"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87"/>
      <c r="B32" s="2648"/>
      <c r="C32" s="2547"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87"/>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5"/>
      <c r="C34" s="2215"/>
      <c r="D34" s="2215"/>
      <c r="E34" s="2215"/>
      <c r="F34" s="2215"/>
      <c r="G34" s="2215"/>
      <c r="H34" s="2215"/>
      <c r="I34" s="2891"/>
      <c r="J34" s="2665"/>
      <c r="K34" s="2653">
        <f>COUNTIF(B34:H34,"——")</f>
        <v>0</v>
      </c>
      <c r="L34" s="329" t="s">
        <v>2964</v>
      </c>
      <c r="M34" s="329" t="s">
        <v>2965</v>
      </c>
      <c r="N34" s="329" t="s">
        <v>2966</v>
      </c>
      <c r="O34" s="329" t="s">
        <v>2967</v>
      </c>
      <c r="P34" s="329" t="s">
        <v>2968</v>
      </c>
      <c r="Q34" s="329" t="s">
        <v>2969</v>
      </c>
      <c r="R34" s="329" t="s">
        <v>2970</v>
      </c>
      <c r="S34" s="3181" t="s">
        <v>2971</v>
      </c>
      <c r="T34" s="2654" t="str">
        <f>NUMBERSTRING(7-K34,1)&amp;"通"</f>
        <v>七通</v>
      </c>
      <c r="U34" s="2665"/>
      <c r="V34" s="2665"/>
    </row>
    <row r="35" spans="1:30">
      <c r="A35" s="2655"/>
      <c r="B35" s="3188" t="s">
        <v>2972</v>
      </c>
      <c r="C35" s="3188"/>
      <c r="D35" s="3188"/>
      <c r="E35" s="3188"/>
      <c r="F35" s="673" t="str">
        <f>C10</f>
        <v>朗清园</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1"/>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t="s">
        <v>528</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t="s">
        <v>3281</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4"/>
      <c r="J40" s="2735"/>
      <c r="K40" s="2841"/>
      <c r="L40" s="2677"/>
      <c r="M40" s="2677"/>
      <c r="N40" s="2735"/>
      <c r="O40" s="2677"/>
      <c r="P40" s="2665"/>
      <c r="Q40" s="2665"/>
      <c r="R40" s="2665"/>
      <c r="S40" s="2665"/>
      <c r="T40" s="2665"/>
      <c r="U40" s="2665"/>
      <c r="V40" s="2665"/>
    </row>
    <row r="41" spans="1:30">
      <c r="A41" s="2662" t="s">
        <v>2976</v>
      </c>
      <c r="B41" s="1944"/>
      <c r="C41" s="1558"/>
      <c r="D41" s="2595"/>
      <c r="E41" s="2595"/>
      <c r="F41" s="2595"/>
      <c r="G41" s="2595"/>
      <c r="H41" s="2595"/>
      <c r="I41" s="1762"/>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21" sqref="AL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B3</f>
        <v>16732.060000000001</v>
      </c>
      <c r="B3" s="14">
        <f>IF(C3="否",G5-AT5,G5)</f>
        <v>16732.060000000001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16732.060000000001</v>
      </c>
      <c r="H5" s="16">
        <f t="shared" ref="H5:AT5" si="0">SUM(H13:H656)</f>
        <v>13966.28</v>
      </c>
      <c r="I5" s="16">
        <f t="shared" si="0"/>
        <v>13966.28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2765.7799999999997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197.64</v>
      </c>
      <c r="AM5" s="16">
        <f t="shared" si="0"/>
        <v>0</v>
      </c>
      <c r="AN5" s="16">
        <f t="shared" si="0"/>
        <v>2568.14</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16732.060000000001</v>
      </c>
      <c r="BA5" s="18">
        <f t="shared" si="1"/>
        <v>13966.28</v>
      </c>
      <c r="BB5" s="18">
        <f t="shared" si="1"/>
        <v>13966.28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2765.7799999999997</v>
      </c>
      <c r="BM5" s="18">
        <f t="shared" si="1"/>
        <v>0</v>
      </c>
      <c r="BN5" s="18">
        <f t="shared" si="1"/>
        <v>0</v>
      </c>
      <c r="BO5" s="18">
        <f t="shared" si="1"/>
        <v>0</v>
      </c>
      <c r="BP5" s="18">
        <f t="shared" si="1"/>
        <v>0</v>
      </c>
      <c r="BQ5" s="18">
        <f t="shared" si="1"/>
        <v>197.64</v>
      </c>
      <c r="BR5" s="18">
        <f t="shared" si="1"/>
        <v>2568.14</v>
      </c>
      <c r="BS5" s="18">
        <f t="shared" si="1"/>
        <v>0</v>
      </c>
      <c r="BT5" s="19">
        <f t="shared" si="1"/>
        <v>0</v>
      </c>
    </row>
    <row r="6" spans="1:72" s="1775" customFormat="1" ht="12.75">
      <c r="A6" s="15" t="s">
        <v>1758</v>
      </c>
      <c r="B6" s="1772"/>
      <c r="C6" s="1772"/>
      <c r="D6" s="1773"/>
      <c r="E6" s="16">
        <f>H6+AC6+AT6</f>
        <v>16732.060000000001</v>
      </c>
      <c r="F6" s="16" t="s">
        <v>1</v>
      </c>
      <c r="G6" s="16" t="s">
        <v>2</v>
      </c>
      <c r="H6" s="20">
        <f>SUMIF(I$12:AB$12,"总值",I6:AB6)</f>
        <v>13966.28</v>
      </c>
      <c r="I6" s="16">
        <f t="shared" ref="I6:AB6" si="2">ROUND($A$3*I5/$B$3,2)</f>
        <v>13966.28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2765.7799999999997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197.64</v>
      </c>
      <c r="AM6" s="16">
        <f t="shared" si="3"/>
        <v>0</v>
      </c>
      <c r="AN6" s="16">
        <f t="shared" si="3"/>
        <v>2568.14</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16732.060000000001</v>
      </c>
      <c r="AZ6" s="16" t="s">
        <v>3</v>
      </c>
      <c r="BA6" s="16">
        <f>ROUND($AY$6*BA5/$AZ$5,2)</f>
        <v>13966.28</v>
      </c>
      <c r="BB6" s="16">
        <f>ROUND($AY$6*BB5/$AZ$5,2)</f>
        <v>13966.28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2765.78</v>
      </c>
      <c r="BM6" s="16">
        <f t="shared" si="5"/>
        <v>0</v>
      </c>
      <c r="BN6" s="16">
        <f t="shared" si="5"/>
        <v>0</v>
      </c>
      <c r="BO6" s="16">
        <f t="shared" si="5"/>
        <v>0</v>
      </c>
      <c r="BP6" s="16">
        <f t="shared" si="5"/>
        <v>0</v>
      </c>
      <c r="BQ6" s="16">
        <f t="shared" si="5"/>
        <v>197.64</v>
      </c>
      <c r="BR6" s="16">
        <f t="shared" si="5"/>
        <v>2568.14</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3100</v>
      </c>
      <c r="J9" s="918"/>
      <c r="K9" s="1789" t="s">
        <v>3101</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3103</v>
      </c>
      <c r="J10" s="918"/>
      <c r="K10" s="1795" t="s">
        <v>3104</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t="str">
        <f>K10</f>
        <v>仓储</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t="s">
        <v>3105</v>
      </c>
      <c r="B13" s="1182"/>
      <c r="C13" s="1182"/>
      <c r="D13" s="1811" t="s">
        <v>3102</v>
      </c>
      <c r="E13" s="16">
        <f>IF($C$3="是",ROUND($A$3*G13/$B$3,2),ROUND($A$3*(G13-AT13)/$B$3,2))</f>
        <v>8366.0300000000007</v>
      </c>
      <c r="F13" s="32"/>
      <c r="G13" s="33">
        <f>H13+AC13+AT13</f>
        <v>8366.0300000000007</v>
      </c>
      <c r="H13" s="20">
        <f>SUMIF(I$12:AB$12,"总值",I13:AB13)</f>
        <v>6983.14</v>
      </c>
      <c r="I13" s="1812">
        <v>6983.14</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1382.8899999999999</v>
      </c>
      <c r="AD13" s="1813"/>
      <c r="AE13" s="1813"/>
      <c r="AF13" s="1813"/>
      <c r="AG13" s="1813"/>
      <c r="AH13" s="1813"/>
      <c r="AI13" s="1813"/>
      <c r="AJ13" s="1813"/>
      <c r="AK13" s="1813"/>
      <c r="AL13" s="1813">
        <v>98.82</v>
      </c>
      <c r="AM13" s="1813"/>
      <c r="AN13" s="1813">
        <v>1284.07</v>
      </c>
      <c r="AO13" s="1813"/>
      <c r="AP13" s="1813"/>
      <c r="AQ13" s="1813"/>
      <c r="AR13" s="1813"/>
      <c r="AS13" s="1813"/>
      <c r="AT13" s="1814"/>
      <c r="AU13" s="1815"/>
      <c r="AV13" s="11" t="str">
        <f t="shared" ref="AV13:AX17" si="6">A13</f>
        <v>21号楼（10）</v>
      </c>
      <c r="AW13" s="11">
        <f t="shared" si="6"/>
        <v>0</v>
      </c>
      <c r="AX13" s="11">
        <f t="shared" si="6"/>
        <v>0</v>
      </c>
      <c r="AY13" s="1534">
        <f>ROUND($AY$6*AZ13/$AZ$5,2)</f>
        <v>8366.0300000000007</v>
      </c>
      <c r="AZ13" s="16">
        <f>BA13+BL13</f>
        <v>8366.0300000000007</v>
      </c>
      <c r="BA13" s="16">
        <f>SUM(BB13:BK13)</f>
        <v>6983.14</v>
      </c>
      <c r="BB13" s="16">
        <f>IF($D13="是",I13-J13,0)</f>
        <v>6983.14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1382.8899999999999</v>
      </c>
      <c r="BM13" s="16">
        <f>IF($D13="是",AD13-AE13,0)</f>
        <v>0</v>
      </c>
      <c r="BN13" s="16">
        <f>IF($D13="是",AF13-AG13,0)</f>
        <v>0</v>
      </c>
      <c r="BO13" s="16">
        <f>IF($D13="是",AH13-AI13,0)</f>
        <v>0</v>
      </c>
      <c r="BP13" s="16">
        <f>IF($D13="是",AJ13-AK13,0)</f>
        <v>0</v>
      </c>
      <c r="BQ13" s="16">
        <f>IF($D13="是",AL13-AM13,0)</f>
        <v>98.82</v>
      </c>
      <c r="BR13" s="16">
        <f>IF($D13="是",AN13-AO13,0)</f>
        <v>1284.07</v>
      </c>
      <c r="BS13" s="16">
        <f>IF($D13="是",AP13-AQ13,0)</f>
        <v>0</v>
      </c>
      <c r="BT13" s="22">
        <f>IF($D13="是",AR13-AS13,0)</f>
        <v>0</v>
      </c>
    </row>
    <row r="14" spans="1:72" s="1765" customFormat="1" ht="12.75">
      <c r="A14" s="1182" t="s">
        <v>3106</v>
      </c>
      <c r="B14" s="1182"/>
      <c r="C14" s="1756"/>
      <c r="D14" s="1811" t="s">
        <v>3102</v>
      </c>
      <c r="E14" s="16">
        <f>IF($C$3="是",ROUND($A$3*G14/$B$3,2),ROUND($A$3*(G14-AT14)/$B$3,2))</f>
        <v>8366.0300000000007</v>
      </c>
      <c r="F14" s="32"/>
      <c r="G14" s="33">
        <f>H14+AC14+AT14</f>
        <v>8366.0300000000007</v>
      </c>
      <c r="H14" s="20">
        <f>SUMIF(I$12:AB$12,"总值",I14:AB14)</f>
        <v>6983.14</v>
      </c>
      <c r="I14" s="1812">
        <v>6983.14</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1382.8899999999999</v>
      </c>
      <c r="AD14" s="1813"/>
      <c r="AE14" s="1813"/>
      <c r="AF14" s="1813"/>
      <c r="AG14" s="1813"/>
      <c r="AH14" s="1813"/>
      <c r="AI14" s="1813"/>
      <c r="AJ14" s="1813"/>
      <c r="AK14" s="1813"/>
      <c r="AL14" s="1813">
        <f>AL13</f>
        <v>98.82</v>
      </c>
      <c r="AM14" s="1813"/>
      <c r="AN14" s="1813">
        <v>1284.07</v>
      </c>
      <c r="AO14" s="1813"/>
      <c r="AP14" s="1813"/>
      <c r="AQ14" s="1813"/>
      <c r="AR14" s="1813"/>
      <c r="AS14" s="1813"/>
      <c r="AT14" s="1814"/>
      <c r="AU14" s="1815"/>
      <c r="AV14" s="11" t="str">
        <f t="shared" si="6"/>
        <v>20号楼（9）</v>
      </c>
      <c r="AW14" s="11">
        <f t="shared" si="6"/>
        <v>0</v>
      </c>
      <c r="AX14" s="11">
        <f t="shared" si="6"/>
        <v>0</v>
      </c>
      <c r="AY14" s="1534">
        <f>ROUND($AY$6*AZ14/$AZ$5,2)</f>
        <v>8366.0300000000007</v>
      </c>
      <c r="AZ14" s="16">
        <f>BA14+BL14</f>
        <v>8366.0300000000007</v>
      </c>
      <c r="BA14" s="16">
        <f>SUM(BB14:BK14)</f>
        <v>6983.14</v>
      </c>
      <c r="BB14" s="16">
        <f>IF($D14="是",I14-J14,0)</f>
        <v>6983.14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1382.8899999999999</v>
      </c>
      <c r="BM14" s="16">
        <f>IF($D14="是",AD14-AE14,0)</f>
        <v>0</v>
      </c>
      <c r="BN14" s="16">
        <f>IF($D14="是",AF14-AG14,0)</f>
        <v>0</v>
      </c>
      <c r="BO14" s="16">
        <f>IF($D14="是",AH14-AI14,0)</f>
        <v>0</v>
      </c>
      <c r="BP14" s="16">
        <f>IF($D14="是",AJ14-AK14,0)</f>
        <v>0</v>
      </c>
      <c r="BQ14" s="16">
        <f>IF($D14="是",AL14-AM14,0)</f>
        <v>98.82</v>
      </c>
      <c r="BR14" s="16">
        <f>IF($D14="是",AN14-AO14,0)</f>
        <v>1284.07</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1" t="s">
        <v>0</v>
      </c>
      <c r="B1" s="3211" t="s">
        <v>4</v>
      </c>
      <c r="C1" s="3211" t="s">
        <v>5</v>
      </c>
      <c r="D1" s="3212" t="s">
        <v>53</v>
      </c>
      <c r="E1" s="3212" t="s">
        <v>54</v>
      </c>
      <c r="F1" s="3212"/>
      <c r="G1" s="3212"/>
      <c r="H1" s="3212"/>
      <c r="I1" s="3212"/>
      <c r="J1" s="3212"/>
      <c r="K1" s="3212"/>
      <c r="L1" s="3212"/>
      <c r="M1" s="3212"/>
    </row>
    <row r="2" spans="1:13" ht="27" customHeight="1">
      <c r="A2" s="3211"/>
      <c r="B2" s="3211"/>
      <c r="C2" s="3211"/>
      <c r="D2" s="3212"/>
      <c r="E2" s="3212" t="s">
        <v>37</v>
      </c>
      <c r="F2" s="3212" t="s">
        <v>38</v>
      </c>
      <c r="G2" s="3212"/>
      <c r="H2" s="3212"/>
      <c r="I2" s="3212"/>
      <c r="J2" s="3212" t="s">
        <v>39</v>
      </c>
      <c r="K2" s="3212"/>
      <c r="L2" s="3212"/>
      <c r="M2" s="3212"/>
    </row>
    <row r="3" spans="1:13" ht="28.5">
      <c r="A3" s="3211"/>
      <c r="B3" s="3211"/>
      <c r="C3" s="3211"/>
      <c r="D3" s="3212"/>
      <c r="E3" s="32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2" t="s">
        <v>55</v>
      </c>
      <c r="B9" s="3212"/>
      <c r="C9" s="32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22" t="s">
        <v>1817</v>
      </c>
      <c r="B2" s="3222"/>
      <c r="C2" s="3222"/>
      <c r="D2" s="904" t="s">
        <v>1793</v>
      </c>
      <c r="E2" s="1825" t="s">
        <v>1794</v>
      </c>
      <c r="F2" s="2886"/>
      <c r="G2" s="2877"/>
      <c r="H2" s="2878"/>
      <c r="I2" s="2549" t="s">
        <v>1818</v>
      </c>
      <c r="J2" s="2886"/>
      <c r="K2" s="2886"/>
      <c r="L2" s="2886"/>
      <c r="M2" s="2886"/>
      <c r="N2" s="2888"/>
      <c r="O2" s="2886"/>
      <c r="P2" s="2886"/>
    </row>
    <row r="3" spans="1:16" ht="15.75" thickBot="1">
      <c r="A3" s="3223" t="s">
        <v>1791</v>
      </c>
      <c r="B3" s="3223"/>
      <c r="C3" s="3223"/>
      <c r="D3" s="46">
        <f>'数据-基础表'!AY6</f>
        <v>16732.060000000001</v>
      </c>
      <c r="E3" s="46">
        <f>'数据-基础表'!AZ5</f>
        <v>16732.060000000001</v>
      </c>
      <c r="F3" s="2886"/>
      <c r="G3" s="1307"/>
      <c r="H3" s="1157" t="s">
        <v>1792</v>
      </c>
      <c r="I3" s="964">
        <f>ROUND('数据-基础表'!B3/'数据-基础表'!A3,2)</f>
        <v>1</v>
      </c>
      <c r="J3" s="2886"/>
      <c r="K3" s="2886"/>
      <c r="L3" s="2886"/>
      <c r="M3" s="2886"/>
      <c r="N3" s="2888"/>
      <c r="O3" s="2886"/>
      <c r="P3" s="2886"/>
    </row>
    <row r="4" spans="1:16" ht="15">
      <c r="A4" s="3224"/>
      <c r="B4" s="3225"/>
      <c r="C4" s="3226"/>
      <c r="D4" s="1827" t="s">
        <v>1793</v>
      </c>
      <c r="E4" s="1828" t="s">
        <v>1794</v>
      </c>
      <c r="F4" s="2886"/>
      <c r="G4" s="2879" t="s">
        <v>1819</v>
      </c>
      <c r="H4" s="1157" t="s">
        <v>1799</v>
      </c>
      <c r="I4" s="964">
        <f>ROUND(SUMIF('数据-基础表'!I9:AS9,"地上",'数据-基础表'!I5:AS5)/'数据-基础表'!A3,2)</f>
        <v>0.85</v>
      </c>
      <c r="J4" s="2886"/>
      <c r="K4" s="2886"/>
      <c r="L4" s="2886"/>
      <c r="M4" s="2886"/>
      <c r="N4" s="2888"/>
      <c r="O4" s="2886"/>
      <c r="P4" s="2886"/>
    </row>
    <row r="5" spans="1:16">
      <c r="A5" s="47" t="s">
        <v>1795</v>
      </c>
      <c r="B5" s="3227" t="s">
        <v>1796</v>
      </c>
      <c r="C5" s="3227"/>
      <c r="D5" s="48">
        <f>ROUND($D$3*E5/$E$3,2)</f>
        <v>13966.28</v>
      </c>
      <c r="E5" s="49">
        <f>SUMIF('数据-基础表'!$11:$11,"住宅",'数据-基础表'!$5:$5)</f>
        <v>13966.28</v>
      </c>
      <c r="F5" s="2886"/>
      <c r="G5" s="1307"/>
      <c r="H5" s="1157" t="s">
        <v>1792</v>
      </c>
      <c r="I5" s="964">
        <f>ROUND(E31/D31,2)</f>
        <v>1</v>
      </c>
      <c r="J5" s="2886"/>
      <c r="K5" s="2886"/>
      <c r="L5" s="2886"/>
      <c r="M5" s="2886"/>
      <c r="N5" s="2886"/>
      <c r="O5" s="2886"/>
      <c r="P5" s="2886"/>
    </row>
    <row r="6" spans="1:16" ht="15" thickBot="1">
      <c r="A6" s="1830"/>
      <c r="B6" s="3227" t="s">
        <v>1797</v>
      </c>
      <c r="C6" s="3227"/>
      <c r="D6" s="48">
        <f>ROUND($D$3*E6/$E$3,2)</f>
        <v>2765.78</v>
      </c>
      <c r="E6" s="49">
        <f>E3-E5</f>
        <v>2765.7800000000007</v>
      </c>
      <c r="F6" s="2886"/>
      <c r="G6" s="2880" t="s">
        <v>1798</v>
      </c>
      <c r="H6" s="1308" t="s">
        <v>1799</v>
      </c>
      <c r="I6" s="2881">
        <f>ROUND(F31/D31,2)</f>
        <v>0.85</v>
      </c>
      <c r="J6" s="2886"/>
      <c r="K6" s="2886"/>
      <c r="L6" s="2886"/>
      <c r="M6" s="2886"/>
      <c r="N6" s="2886"/>
      <c r="O6" s="2886"/>
      <c r="P6" s="2886"/>
    </row>
    <row r="7" spans="1:16" ht="15.75" thickBot="1">
      <c r="A7" s="3219"/>
      <c r="B7" s="3220"/>
      <c r="C7" s="3221"/>
      <c r="D7" s="1827" t="s">
        <v>1793</v>
      </c>
      <c r="E7" s="1831" t="s">
        <v>1800</v>
      </c>
      <c r="F7" s="2886"/>
      <c r="G7" s="2882" t="s">
        <v>1801</v>
      </c>
      <c r="H7" s="2883"/>
      <c r="I7" s="2884">
        <v>1.61</v>
      </c>
      <c r="J7" s="2886"/>
      <c r="K7" s="2886"/>
      <c r="L7" s="2886"/>
      <c r="M7" s="2886"/>
      <c r="N7" s="2886"/>
      <c r="O7" s="2886"/>
      <c r="P7" s="2886"/>
    </row>
    <row r="8" spans="1:16">
      <c r="A8" s="47" t="s">
        <v>1802</v>
      </c>
      <c r="B8" s="50" t="s">
        <v>1803</v>
      </c>
      <c r="C8" s="48" t="s">
        <v>1804</v>
      </c>
      <c r="D8" s="48">
        <f t="shared" ref="D8:D15" si="0">ROUND($D$3*E8/$E$3,2)</f>
        <v>13966.28</v>
      </c>
      <c r="E8" s="51">
        <f>SUMIF('数据-基础表'!BB10:BK10,"地上",'数据-基础表'!BB5:BK5)</f>
        <v>13966.28</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13966.28</v>
      </c>
      <c r="E16" s="53">
        <f>SUM(E8:E15)</f>
        <v>13966.28</v>
      </c>
      <c r="F16" s="2886"/>
      <c r="G16" s="2887"/>
      <c r="H16" s="1834" t="s">
        <v>1821</v>
      </c>
      <c r="I16" s="1835"/>
      <c r="J16" s="1301"/>
      <c r="K16" s="3216" t="s">
        <v>1821</v>
      </c>
      <c r="L16" s="3217"/>
      <c r="M16" s="3217"/>
      <c r="N16" s="3217"/>
      <c r="O16" s="3217"/>
      <c r="P16" s="3218"/>
    </row>
    <row r="17" spans="1:19" ht="15">
      <c r="A17" s="1836" t="s">
        <v>1822</v>
      </c>
      <c r="B17" s="1837" t="s">
        <v>1823</v>
      </c>
      <c r="C17" s="1838" t="s">
        <v>1824</v>
      </c>
      <c r="D17" s="1839" t="s">
        <v>1812</v>
      </c>
      <c r="E17" s="1840" t="s">
        <v>1813</v>
      </c>
      <c r="F17" s="1841"/>
      <c r="G17" s="1842"/>
      <c r="H17" s="1843" t="s">
        <v>1825</v>
      </c>
      <c r="I17" s="1844" t="s">
        <v>1810</v>
      </c>
      <c r="J17" s="1301"/>
      <c r="K17" s="3213" t="s">
        <v>1826</v>
      </c>
      <c r="L17" s="3214"/>
      <c r="M17" s="3215"/>
      <c r="N17" s="3213" t="s">
        <v>1827</v>
      </c>
      <c r="O17" s="3214"/>
      <c r="P17" s="3215"/>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6" t="s">
        <v>3107</v>
      </c>
      <c r="D19" s="48">
        <f>ROUND($D$3*E19/$E$3,2)</f>
        <v>13966.28</v>
      </c>
      <c r="E19" s="56">
        <f t="shared" ref="E19:E26" si="1">SUM(F19:G19)</f>
        <v>13966.28</v>
      </c>
      <c r="F19" s="3026">
        <f>'数据-基础表'!I5</f>
        <v>13966.28</v>
      </c>
      <c r="G19" s="3027"/>
      <c r="H19" s="679">
        <f>ROUND($D$3*I19/$E$3,2)</f>
        <v>2765.78</v>
      </c>
      <c r="I19" s="51">
        <f t="shared" ref="I19:I26" si="2">IF($I$17="自定义",P19,M19)</f>
        <v>2765.78</v>
      </c>
      <c r="J19" s="1301"/>
      <c r="K19" s="1300">
        <f t="shared" ref="K19:K26" si="3">ROUND(E$28*E19/E$27,2)</f>
        <v>2765.78</v>
      </c>
      <c r="L19" s="1157">
        <f t="shared" ref="L19:L26" si="4">ROUND(IF(COUNTIF(C19,"*住宅*")&gt;0,E$29*E19/E$32,0),2)</f>
        <v>0</v>
      </c>
      <c r="M19" s="1312">
        <f>K19+L19</f>
        <v>2765.78</v>
      </c>
      <c r="N19" s="1855"/>
      <c r="O19" s="1856"/>
      <c r="P19" s="1312">
        <f>N19+O19</f>
        <v>0</v>
      </c>
      <c r="R19" s="1157">
        <f t="shared" ref="R19:S26" si="5">D19+H19</f>
        <v>16732.060000000001</v>
      </c>
      <c r="S19" s="1158">
        <f t="shared" si="5"/>
        <v>16732.060000000001</v>
      </c>
    </row>
    <row r="20" spans="1:19">
      <c r="A20" s="1857"/>
      <c r="B20" s="50" t="s">
        <v>1839</v>
      </c>
      <c r="C20" s="3056" t="s">
        <v>3108</v>
      </c>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13966.28</v>
      </c>
      <c r="E27" s="1303">
        <f>IF(SUM(E19:E26)='数据-基础表'!BA5,SUM(E19:E26),IF(F27="地上面积有误","面积有误","地下面积有误"))</f>
        <v>13966.28</v>
      </c>
      <c r="F27" s="1302">
        <f>IF(SUM(F19:F26)=E8,SUM(F19:F26),"地上面积有误")</f>
        <v>13966.28</v>
      </c>
      <c r="G27" s="1304">
        <f>SUM(G19:G26)</f>
        <v>0</v>
      </c>
      <c r="H27" s="1305">
        <f>SUM(H19:H26)</f>
        <v>2765.78</v>
      </c>
      <c r="I27" s="1306">
        <f>SUM(I19:I26)</f>
        <v>2765.78</v>
      </c>
      <c r="J27" s="1301"/>
      <c r="K27" s="1309">
        <f>SUM(K19:K26)</f>
        <v>2765.78</v>
      </c>
      <c r="L27" s="1310">
        <f>SUM(L19:L26)</f>
        <v>0</v>
      </c>
      <c r="M27" s="1313">
        <f>SUM(M19:M26)</f>
        <v>2765.78</v>
      </c>
      <c r="N27" s="1309">
        <f t="shared" ref="N27:O27" si="10">SUM(N19:N26)</f>
        <v>0</v>
      </c>
      <c r="O27" s="1310">
        <f t="shared" si="10"/>
        <v>0</v>
      </c>
      <c r="P27" s="1311">
        <f>SUM(P19:P26)</f>
        <v>0</v>
      </c>
      <c r="R27" s="1159">
        <f>IF(SUM(R19:R26)=$D$3,SUM(R19:R26),SUM(R19:R26)&amp;"误差"&amp;ROUND(SUM(R19:R26)-$D$3,2))</f>
        <v>16732.060000000001</v>
      </c>
      <c r="S27" s="1157">
        <f>IF(SUM(S19:S26)=$E$3,SUM(S19:S26),SUM(S19:S26)&amp;"误差"&amp;ROUND(SUM(S19:S26)-E3,2))</f>
        <v>16732.060000000001</v>
      </c>
    </row>
    <row r="28" spans="1:19">
      <c r="A28" s="1857"/>
      <c r="B28" s="50" t="s">
        <v>1841</v>
      </c>
      <c r="C28" s="1169" t="s">
        <v>1842</v>
      </c>
      <c r="D28" s="48">
        <f>ROUND($D$3*E28/$E$3,2)</f>
        <v>2765.78</v>
      </c>
      <c r="E28" s="56">
        <f>SUM(F28:G28)</f>
        <v>2765.7799999999997</v>
      </c>
      <c r="F28" s="60">
        <f>'数据-基础表'!BQ5+'数据-基础表'!BS5</f>
        <v>197.64</v>
      </c>
      <c r="G28" s="61">
        <f>'数据-基础表'!BR5+'数据-基础表'!BT5</f>
        <v>2568.14</v>
      </c>
      <c r="H28" s="2886"/>
      <c r="I28" s="2886"/>
      <c r="J28" s="2886"/>
      <c r="K28" s="2886"/>
      <c r="L28" s="2886"/>
      <c r="M28" s="2886"/>
      <c r="N28" s="2886"/>
      <c r="O28" s="2886"/>
      <c r="P28" s="2886"/>
    </row>
    <row r="29" spans="1:19">
      <c r="A29" s="1857"/>
      <c r="B29" s="50" t="s">
        <v>1841</v>
      </c>
      <c r="C29" s="1861"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1840</v>
      </c>
      <c r="D30" s="1302">
        <f>SUM(D28:D29)</f>
        <v>2765.78</v>
      </c>
      <c r="E30" s="1302">
        <f>SUM(E28:E29)</f>
        <v>2765.7799999999997</v>
      </c>
      <c r="F30" s="1302">
        <f>SUM(F28:F29)</f>
        <v>197.64</v>
      </c>
      <c r="G30" s="1304">
        <f>SUM(G28:G29)</f>
        <v>2568.14</v>
      </c>
      <c r="H30" s="2886"/>
      <c r="I30" s="2886"/>
      <c r="J30" s="2886"/>
      <c r="K30" s="2886"/>
      <c r="L30" s="2886"/>
      <c r="M30" s="2886"/>
      <c r="N30" s="2886"/>
      <c r="O30" s="2886"/>
      <c r="P30" s="2886"/>
    </row>
    <row r="31" spans="1:19" ht="15.75" thickBot="1">
      <c r="A31" s="1863"/>
      <c r="B31" s="1864"/>
      <c r="C31" s="944" t="s">
        <v>1844</v>
      </c>
      <c r="D31" s="685">
        <f>D27+D30</f>
        <v>16732.060000000001</v>
      </c>
      <c r="E31" s="685">
        <f>E27+E30</f>
        <v>16732.060000000001</v>
      </c>
      <c r="F31" s="686">
        <f>F27+F30</f>
        <v>14163.92</v>
      </c>
      <c r="G31" s="687">
        <f>G27+G30</f>
        <v>2568.14</v>
      </c>
      <c r="H31" s="2886"/>
      <c r="I31" s="2886"/>
      <c r="J31" s="2886"/>
      <c r="K31" s="2886"/>
      <c r="L31" s="2886"/>
      <c r="M31" s="2886"/>
      <c r="N31" s="2886"/>
      <c r="O31" s="2886"/>
      <c r="P31" s="2886"/>
    </row>
    <row r="32" spans="1:19">
      <c r="A32" s="1829"/>
      <c r="B32" s="1829" t="s">
        <v>1845</v>
      </c>
      <c r="C32" s="1829"/>
      <c r="D32" s="1829"/>
      <c r="E32" s="1184">
        <f>SUMIF(C19:C26,"*住宅*",E19:E26)</f>
        <v>13966.28</v>
      </c>
      <c r="F32" s="1829"/>
      <c r="G32" s="1829"/>
      <c r="H32" s="2886"/>
      <c r="I32" s="2886"/>
      <c r="J32" s="2886"/>
      <c r="K32" s="2886"/>
      <c r="L32" s="2886"/>
      <c r="M32" s="2886"/>
      <c r="N32" s="2886"/>
      <c r="O32" s="2886"/>
      <c r="P32" s="2886"/>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2.12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3" width="7.25" style="1869" customWidth="1"/>
    <col min="34" max="34" width="9.7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70" t="s">
        <v>1847</v>
      </c>
      <c r="B2" s="1176">
        <f>项目基本情况!D3</f>
        <v>44256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5"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3109</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住宅</v>
      </c>
      <c r="B6" s="1900" t="str">
        <f>IF(A6=0,"","经营性")</f>
        <v>经营性</v>
      </c>
      <c r="C6" s="1901" t="s">
        <v>3103</v>
      </c>
      <c r="D6" s="967">
        <f>SUMIF(项目基本情况!D$12:I$12,C6,项目基本情况!D$14:I$14)</f>
        <v>70</v>
      </c>
      <c r="E6" s="966">
        <f>IF(B6="","",SUMIF(项目基本情况!D$12:I$12,C6,项目基本情况!D$13:I$13))</f>
        <v>62518</v>
      </c>
      <c r="F6" s="68">
        <f>SUMIF(项目基本情况!D$12:I$12,C6,项目基本情况!D$15:I$15)</f>
        <v>70</v>
      </c>
      <c r="G6" s="69">
        <f>IF(ISERROR(ROUND(POWER(1+H6,D6-F6)*(POWER(1+H6,F6)-1)/(POWER(1+H6,D6)-1),3)),0,ROUND(POWER(1+H6,D6-F6)*(POWER(1+H6,F6)-1)/(POWER(1+H6,D6)-1),3))</f>
        <v>1</v>
      </c>
      <c r="H6" s="741">
        <v>3.5000000000000003E-2</v>
      </c>
      <c r="I6" s="741">
        <v>0.05</v>
      </c>
      <c r="J6" s="70"/>
      <c r="K6" s="1161">
        <f>SUMIF('数据-汇总表'!C$19:C$33,A6,'数据-汇总表'!E$19:E$33)</f>
        <v>13966.28</v>
      </c>
      <c r="L6" s="742">
        <v>3500</v>
      </c>
      <c r="M6" s="71">
        <f t="shared" ref="M6:M14" si="0">ROUND(K6*L6/10000,0)</f>
        <v>4888</v>
      </c>
      <c r="N6" s="740">
        <v>0.95</v>
      </c>
      <c r="O6" s="71" t="str">
        <f>IF($N$5="成新度","——",ROUND(M6*N6,0))</f>
        <v>——</v>
      </c>
      <c r="P6" s="72" t="str">
        <f>IF($N$5="成新度","——",M6-O6)</f>
        <v>——</v>
      </c>
      <c r="Q6" s="743">
        <v>0.1</v>
      </c>
      <c r="R6" s="73">
        <f ca="1">SUMIF('数据-汇总表'!C$19:C$33,A6,'数据-汇总表'!R$19:R$27)</f>
        <v>16732.060000000001</v>
      </c>
      <c r="S6" s="54">
        <f>IF('数据-汇总表'!$I$17="按面积比例",SUMIF('数据-汇总表'!C$19:C$33,A6,'数据-汇总表'!K$19:K$33),SUMIF('数据-汇总表'!C$19:C$33,A6,'数据-汇总表'!N$19:N$33))</f>
        <v>2765.78</v>
      </c>
      <c r="T6" s="1334">
        <f>ROUND($L$14*S6/10000,0)</f>
        <v>0</v>
      </c>
      <c r="U6" s="74">
        <f>'比较法-住宅'!C49</f>
        <v>36.6</v>
      </c>
      <c r="V6" s="75">
        <v>0.03</v>
      </c>
      <c r="W6" s="75">
        <v>0.05</v>
      </c>
      <c r="X6" s="1171"/>
      <c r="Y6" s="76">
        <f>N6</f>
        <v>0.95</v>
      </c>
      <c r="Z6" s="77"/>
      <c r="AA6" s="70"/>
      <c r="AB6" s="70"/>
      <c r="AC6" s="1171"/>
      <c r="AD6" s="78"/>
      <c r="AE6" s="1172">
        <f ca="1">IF(AN6="",0,SUMIF(INDIRECT("'"&amp;AN6&amp;"'"&amp;"!E:E"),$AE$5,INDIRECT("'"&amp;AN6&amp;"'"&amp;"!F:F")))</f>
        <v>0</v>
      </c>
      <c r="AF6" s="1533"/>
      <c r="AG6" s="143">
        <f>IF(AF6="",0,AE6-AF6)</f>
        <v>0</v>
      </c>
      <c r="AH6" s="3057">
        <f>K6</f>
        <v>13966.28</v>
      </c>
      <c r="AI6" s="81">
        <v>12</v>
      </c>
      <c r="AJ6" s="82"/>
      <c r="AK6" s="83">
        <v>1.4999999999999999E-2</v>
      </c>
      <c r="AL6" s="84">
        <v>1.5E-3</v>
      </c>
      <c r="AM6" s="85">
        <v>0.01</v>
      </c>
      <c r="AN6" s="1902" t="s">
        <v>3263</v>
      </c>
      <c r="AO6" s="55" t="e">
        <f ca="1">SUMIF(INDIRECT("'"&amp;AN6&amp;"'"&amp;"!A:A"),"总价",INDIRECT("'"&amp;AN6&amp;"'"&amp;"!B:B"))</f>
        <v>#DIV/0!</v>
      </c>
      <c r="AP6" s="1903">
        <f>IF(C6="住宅",K6*L6,0)</f>
        <v>48881980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仓储</v>
      </c>
      <c r="B7" s="1900" t="str">
        <f t="shared" ref="B7:B13" si="1">IF(A7=0,"","经营性")</f>
        <v>经营性</v>
      </c>
      <c r="C7" s="1901" t="s">
        <v>3104</v>
      </c>
      <c r="D7" s="967">
        <f>SUMIF(项目基本情况!D$12:I$12,C7,项目基本情况!D$14:I$14)</f>
        <v>50</v>
      </c>
      <c r="E7" s="966">
        <f>IF(B7="","",SUMIF(项目基本情况!D$12:I$12,C7,项目基本情况!D$13:I$13))</f>
        <v>55213</v>
      </c>
      <c r="F7" s="68">
        <f>SUMIF(项目基本情况!D$12:I$12,C7,项目基本情况!D$15:I$15)</f>
        <v>50</v>
      </c>
      <c r="G7" s="69">
        <f t="shared" ref="G7:G11" si="2">IF(ISERROR(ROUND(POWER(1+H7,D7-F7)*(POWER(1+H7,F7)-1)/(POWER(1+H7,D7)-1),3)),0,ROUND(POWER(1+H7,D7-F7)*(POWER(1+H7,F7)-1)/(POWER(1+H7,D7)-1),3))</f>
        <v>1</v>
      </c>
      <c r="H7" s="741">
        <f>H6</f>
        <v>3.5000000000000003E-2</v>
      </c>
      <c r="I7" s="741">
        <f>I6</f>
        <v>0.05</v>
      </c>
      <c r="J7" s="70"/>
      <c r="K7" s="1161">
        <f>SUMIF('数据-汇总表'!C$19:C$33,A7,'数据-汇总表'!E$19:E$33)</f>
        <v>0</v>
      </c>
      <c r="L7" s="742">
        <f>L6</f>
        <v>3500</v>
      </c>
      <c r="M7" s="71">
        <f t="shared" si="0"/>
        <v>0</v>
      </c>
      <c r="N7" s="740">
        <f>N6</f>
        <v>0.95</v>
      </c>
      <c r="O7" s="71" t="str">
        <f t="shared" ref="O7:O14" si="3">IF($N$5="成新度","——",ROUND(M7*N7,0))</f>
        <v>——</v>
      </c>
      <c r="P7" s="72" t="str">
        <f t="shared" ref="P7:P14" si="4">IF($N$5="成新度","——",M7-O7)</f>
        <v>——</v>
      </c>
      <c r="Q7" s="743">
        <f>Q6</f>
        <v>0.1</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f>V6</f>
        <v>0.03</v>
      </c>
      <c r="W7" s="75">
        <f>W6</f>
        <v>0.05</v>
      </c>
      <c r="X7" s="1171"/>
      <c r="Y7" s="76">
        <f>Y6</f>
        <v>0.95</v>
      </c>
      <c r="Z7" s="77"/>
      <c r="AA7" s="70"/>
      <c r="AB7" s="70"/>
      <c r="AC7" s="1171"/>
      <c r="AD7" s="78"/>
      <c r="AE7" s="1172">
        <f t="shared" ref="AE7:AE13" ca="1" si="6">IF(AN7="",0,SUMIF(INDIRECT("'"&amp;AN7&amp;"'"&amp;"!E:E"),$AE$5,INDIRECT("'"&amp;AN7&amp;"'"&amp;"!F:F")))</f>
        <v>0</v>
      </c>
      <c r="AF7" s="1533"/>
      <c r="AG7" s="143">
        <f t="shared" ref="AG7:AG13" si="7">IF(AF7="",0,AE7-AF7)</f>
        <v>0</v>
      </c>
      <c r="AH7" s="3057">
        <f>K7</f>
        <v>0</v>
      </c>
      <c r="AI7" s="81">
        <v>12</v>
      </c>
      <c r="AJ7" s="82"/>
      <c r="AK7" s="83">
        <v>1.4999999999999999E-2</v>
      </c>
      <c r="AL7" s="84">
        <v>1.5E-3</v>
      </c>
      <c r="AM7" s="85">
        <v>0.01</v>
      </c>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2765.7799999999997</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14.25">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1</v>
      </c>
      <c r="H16" s="95">
        <f>ROUND(SUMPRODUCT(H6:H13,K6:K13)/SUMPRODUCT((H6:H13&gt;0)*(K6:K13)),3)</f>
        <v>3.5000000000000003E-2</v>
      </c>
      <c r="I16" s="96"/>
      <c r="J16" s="96"/>
      <c r="K16" s="97">
        <f>SUM(K6:K15)</f>
        <v>16732.060000000001</v>
      </c>
      <c r="L16" s="98">
        <f>ROUND(M16*10000/SUM(K6:K14),0)</f>
        <v>2921</v>
      </c>
      <c r="M16" s="98">
        <f>SUM(M6:M14)</f>
        <v>4888</v>
      </c>
      <c r="N16" s="99">
        <f>ROUND(SUMPRODUCT(M6:M14,N6:N14)/M16,3)</f>
        <v>0.95</v>
      </c>
      <c r="O16" s="98">
        <f>SUM(O6:O14)</f>
        <v>0</v>
      </c>
      <c r="P16" s="98">
        <f>SUM(P6:P14)</f>
        <v>0</v>
      </c>
      <c r="Q16" s="100">
        <f>ROUND(SUMPRODUCT(Q6:Q13,K6:K13)/SUMPRODUCT((Q6:Q13&gt;0)*(K6:K13)),2)</f>
        <v>0.1</v>
      </c>
      <c r="R16" s="1165">
        <f ca="1">SUM(R6:R13)</f>
        <v>16732.060000000001</v>
      </c>
      <c r="S16" s="101">
        <f>SUM(S6:S13)</f>
        <v>2765.78</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1897</v>
      </c>
      <c r="B19" s="108"/>
      <c r="C19" s="3030" t="s">
        <v>3048</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1898</v>
      </c>
      <c r="B20" s="109">
        <v>2</v>
      </c>
      <c r="C20" s="3031" t="s">
        <v>3046</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1903</v>
      </c>
      <c r="B26" s="1913"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14.25">
      <c r="A27" s="1914" t="s">
        <v>1906</v>
      </c>
      <c r="B27" s="112">
        <v>170</v>
      </c>
      <c r="C27" s="3032" t="s">
        <v>3050</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v>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1916</v>
      </c>
      <c r="B37" s="120">
        <v>0.03</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1917</v>
      </c>
      <c r="B38" s="118">
        <v>0.01</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3059</v>
      </c>
      <c r="B40" s="1210">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1922</v>
      </c>
      <c r="B44" s="124">
        <v>0.05</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1923</v>
      </c>
      <c r="B45" s="122">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1924</v>
      </c>
      <c r="B46" s="122">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1925</v>
      </c>
      <c r="B47" s="125"/>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1926</v>
      </c>
      <c r="B48" s="126">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1927</v>
      </c>
      <c r="B49" s="122">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1931</v>
      </c>
      <c r="B53" s="1925"/>
      <c r="C53" s="2888" t="s">
        <v>1932</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3" customFormat="1" ht="18.75" thickBot="1">
      <c r="A1" s="3228" t="s">
        <v>3029</v>
      </c>
      <c r="B1" s="3229"/>
      <c r="C1" s="3229"/>
      <c r="D1" s="3229"/>
      <c r="E1" s="3229"/>
      <c r="F1" s="3229"/>
      <c r="G1" s="322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8"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8"/>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8"/>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16732.060000000001</v>
      </c>
      <c r="C1" s="2915"/>
      <c r="D1" s="2915"/>
      <c r="E1" s="2915"/>
      <c r="F1" s="2915"/>
      <c r="G1" s="2916"/>
      <c r="H1" s="2917"/>
      <c r="I1" s="2917"/>
      <c r="J1" s="2917"/>
      <c r="K1" s="2917"/>
    </row>
    <row r="2" spans="1:11" ht="16.5">
      <c r="A2" s="2738" t="s">
        <v>1319</v>
      </c>
      <c r="B2" s="2738">
        <f>SUM(C14:C23)</f>
        <v>16732.060000000001</v>
      </c>
      <c r="C2" s="2915"/>
      <c r="D2" s="2915"/>
      <c r="E2" s="2915"/>
      <c r="F2" s="2915"/>
      <c r="G2" s="2916"/>
      <c r="H2" s="2917"/>
      <c r="I2" s="2917"/>
      <c r="J2" s="2917"/>
      <c r="K2" s="2917"/>
    </row>
    <row r="3" spans="1:11" ht="16.5">
      <c r="A3" s="2738" t="s">
        <v>1328</v>
      </c>
      <c r="B3" s="2740">
        <f>项目基本情况!D3</f>
        <v>44256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SUM(D14:D23)</f>
        <v>8416.2261800000015</v>
      </c>
      <c r="C5" s="2738">
        <f>ROUND(B5*10000/$B$1,0)</f>
        <v>5030</v>
      </c>
      <c r="D5" s="2738">
        <f>ROUND(B5*10000/$B$2,0)</f>
        <v>5030</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v>40</v>
      </c>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16732.060000000001</v>
      </c>
      <c r="C14" s="2744">
        <f>结果表!C118</f>
        <v>16732.060000000001</v>
      </c>
      <c r="D14" s="2744">
        <f>E14*B14/10000</f>
        <v>8416.2261800000015</v>
      </c>
      <c r="E14" s="2744">
        <v>5030</v>
      </c>
      <c r="F14" s="2744">
        <f>ROUND(D14*10000/C14,0)</f>
        <v>5030</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7" sqref="L2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64" t="str">
        <f>项目基本情况!S2</f>
        <v>北京市房地产</v>
      </c>
      <c r="B2" s="3265"/>
      <c r="C2" s="3265"/>
      <c r="D2" s="3265"/>
      <c r="E2" s="3265"/>
      <c r="F2" s="3265"/>
      <c r="G2" s="3265"/>
      <c r="H2" s="3265"/>
      <c r="I2" s="3266"/>
    </row>
    <row r="3" spans="1:12" ht="12.75">
      <c r="A3" s="3268" t="s">
        <v>1950</v>
      </c>
      <c r="B3" s="3269"/>
      <c r="C3" s="3269"/>
      <c r="D3" s="3269"/>
      <c r="E3" s="3269"/>
      <c r="F3" s="3269"/>
      <c r="G3" s="3269"/>
      <c r="H3" s="3269"/>
      <c r="I3" s="3269"/>
    </row>
    <row r="4" spans="1:12" ht="14.25">
      <c r="A4" s="1941" t="s">
        <v>1951</v>
      </c>
      <c r="B4" s="1942" t="s">
        <v>1952</v>
      </c>
      <c r="C4" s="1943" t="s">
        <v>3282</v>
      </c>
      <c r="D4" s="1943" t="s">
        <v>3282</v>
      </c>
      <c r="E4" s="3270" t="s">
        <v>1953</v>
      </c>
      <c r="F4" s="3271"/>
      <c r="G4" s="3271"/>
      <c r="H4" s="3271"/>
      <c r="I4" s="327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44" t="s">
        <v>1954</v>
      </c>
      <c r="B5" s="3231">
        <v>25</v>
      </c>
      <c r="C5" s="3247">
        <v>5</v>
      </c>
      <c r="D5" s="3267">
        <v>5</v>
      </c>
      <c r="E5" s="136" t="s">
        <v>1955</v>
      </c>
      <c r="F5" s="1944"/>
      <c r="G5" s="1944"/>
      <c r="H5" s="1944"/>
      <c r="I5" s="1558"/>
    </row>
    <row r="6" spans="1:12" ht="12.75">
      <c r="A6" s="3244"/>
      <c r="B6" s="3231"/>
      <c r="C6" s="3248"/>
      <c r="D6" s="3267"/>
      <c r="E6" s="136" t="s">
        <v>1956</v>
      </c>
      <c r="F6" s="1944"/>
      <c r="G6" s="1944"/>
      <c r="H6" s="1944"/>
      <c r="I6" s="1558"/>
    </row>
    <row r="7" spans="1:12" ht="12.75">
      <c r="A7" s="3244"/>
      <c r="B7" s="3231"/>
      <c r="C7" s="3249"/>
      <c r="D7" s="3267"/>
      <c r="E7" s="136" t="s">
        <v>1957</v>
      </c>
      <c r="F7" s="1944"/>
      <c r="G7" s="1944"/>
      <c r="H7" s="1944"/>
      <c r="I7" s="1558"/>
    </row>
    <row r="8" spans="1:12" ht="12.75">
      <c r="A8" s="3244" t="s">
        <v>1958</v>
      </c>
      <c r="B8" s="3231">
        <v>15</v>
      </c>
      <c r="C8" s="3247"/>
      <c r="D8" s="3267"/>
      <c r="E8" s="136" t="s">
        <v>1959</v>
      </c>
      <c r="F8" s="1944"/>
      <c r="G8" s="1944"/>
      <c r="H8" s="1944"/>
      <c r="I8" s="1558"/>
    </row>
    <row r="9" spans="1:12" ht="12.75">
      <c r="A9" s="3244"/>
      <c r="B9" s="3231"/>
      <c r="C9" s="3249"/>
      <c r="D9" s="3267"/>
      <c r="E9" s="136" t="s">
        <v>1960</v>
      </c>
      <c r="F9" s="1944"/>
      <c r="G9" s="1944"/>
      <c r="H9" s="1944"/>
      <c r="I9" s="1558"/>
    </row>
    <row r="10" spans="1:12" ht="12.75">
      <c r="A10" s="3244" t="s">
        <v>1961</v>
      </c>
      <c r="B10" s="3231">
        <v>15</v>
      </c>
      <c r="C10" s="3247"/>
      <c r="D10" s="3267"/>
      <c r="E10" s="136" t="s">
        <v>1962</v>
      </c>
      <c r="F10" s="1944"/>
      <c r="G10" s="1944"/>
      <c r="H10" s="1944"/>
      <c r="I10" s="1558"/>
    </row>
    <row r="11" spans="1:12" ht="12.75">
      <c r="A11" s="3244"/>
      <c r="B11" s="3231"/>
      <c r="C11" s="3249"/>
      <c r="D11" s="3267"/>
      <c r="E11" s="136" t="s">
        <v>1963</v>
      </c>
      <c r="F11" s="1944"/>
      <c r="G11" s="1944"/>
      <c r="H11" s="1944"/>
      <c r="I11" s="1558"/>
    </row>
    <row r="12" spans="1:12" ht="12.75">
      <c r="A12" s="3244" t="s">
        <v>1964</v>
      </c>
      <c r="B12" s="3231">
        <v>15</v>
      </c>
      <c r="C12" s="3247"/>
      <c r="D12" s="3267"/>
      <c r="E12" s="136" t="s">
        <v>1965</v>
      </c>
      <c r="F12" s="1944"/>
      <c r="G12" s="1944"/>
      <c r="H12" s="1944"/>
      <c r="I12" s="1558"/>
    </row>
    <row r="13" spans="1:12" ht="12.75">
      <c r="A13" s="3244"/>
      <c r="B13" s="3231"/>
      <c r="C13" s="3249"/>
      <c r="D13" s="3267"/>
      <c r="E13" s="136" t="s">
        <v>1966</v>
      </c>
      <c r="F13" s="1944"/>
      <c r="G13" s="1944"/>
      <c r="H13" s="1944"/>
      <c r="I13" s="1558"/>
    </row>
    <row r="14" spans="1:12" ht="12.75">
      <c r="A14" s="3244" t="s">
        <v>1967</v>
      </c>
      <c r="B14" s="3231">
        <v>30</v>
      </c>
      <c r="C14" s="3247"/>
      <c r="D14" s="3267"/>
      <c r="E14" s="136" t="s">
        <v>1968</v>
      </c>
      <c r="F14" s="1944"/>
      <c r="G14" s="1944"/>
      <c r="H14" s="1944"/>
      <c r="I14" s="1558"/>
    </row>
    <row r="15" spans="1:12" ht="12.75">
      <c r="A15" s="3244"/>
      <c r="B15" s="3231"/>
      <c r="C15" s="3248"/>
      <c r="D15" s="3267"/>
      <c r="E15" s="136" t="s">
        <v>1969</v>
      </c>
      <c r="F15" s="1944"/>
      <c r="G15" s="1944"/>
      <c r="H15" s="1944"/>
      <c r="I15" s="1558"/>
    </row>
    <row r="16" spans="1:12" ht="12.75">
      <c r="A16" s="3244"/>
      <c r="B16" s="3231"/>
      <c r="C16" s="3249"/>
      <c r="D16" s="3267"/>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54" t="s">
        <v>2870</v>
      </c>
      <c r="F18" s="3255"/>
      <c r="G18" s="3255"/>
      <c r="H18" s="3255"/>
      <c r="I18" s="3255"/>
      <c r="K18" s="308" t="s">
        <v>1975</v>
      </c>
      <c r="L18" s="308">
        <f>IF(C1="",'数据-汇总表'!E3,SUMIF(项目类型,C1,'数据-汇总表'!E17:E26)+SUMIF(项目类型,C1,'数据-汇总表'!I17:I26))</f>
        <v>16732.060000000001</v>
      </c>
      <c r="M18" s="308">
        <f>IF(C1="",'数据-汇总表'!E3,SUMIF(项目类型,C1,'数据-汇总表'!E17:E26))</f>
        <v>16732.060000000001</v>
      </c>
    </row>
    <row r="19" spans="1:36" ht="15">
      <c r="A19" s="1948" t="s">
        <v>1976</v>
      </c>
      <c r="B19" s="1949" t="s">
        <v>1977</v>
      </c>
      <c r="C19" s="139">
        <f ca="1">SUMIF(INDIRECT("'"&amp;C4&amp;"'"&amp;"!A:A"),结果表!B19,INDIRECT("'"&amp;C4&amp;"'"&amp;"!B:B"))</f>
        <v>14211</v>
      </c>
      <c r="D19" s="140">
        <f ca="1">SUMIF(INDIRECT("'"&amp;D4&amp;"'"&amp;"!A:A"),结果表!B19,INDIRECT("'"&amp;D4&amp;"'"&amp;"!B:B"))</f>
        <v>14211</v>
      </c>
      <c r="E19" s="1948" t="s">
        <v>1978</v>
      </c>
      <c r="F19" s="1949" t="s">
        <v>1977</v>
      </c>
      <c r="G19" s="141">
        <f ca="1">ROUND(C19*$C$18+D19*$D$18,0)</f>
        <v>14211</v>
      </c>
      <c r="H19" s="1950" t="s">
        <v>1979</v>
      </c>
      <c r="I19" s="134"/>
      <c r="K19" s="308" t="s">
        <v>1980</v>
      </c>
      <c r="L19" s="308">
        <f>IF(C1="",'数据-汇总表'!D3,SUMIF(项目类型,C1,'数据-汇总表'!D17:D26)+SUMIF(项目类型,C1,'数据-汇总表'!H17:H27))</f>
        <v>16732.060000000001</v>
      </c>
      <c r="M19" s="308">
        <f>IF(C1="",'数据-汇总表'!D3,SUMIF(项目类型,C1,'数据-汇总表'!D17:D26))</f>
        <v>16732.060000000001</v>
      </c>
    </row>
    <row r="20" spans="1:36" ht="15">
      <c r="A20" s="1951"/>
      <c r="B20" s="1157" t="s">
        <v>1981</v>
      </c>
      <c r="C20" s="142">
        <f ca="1">SUMIF(INDIRECT("'"&amp;C4&amp;"'"&amp;"!A:A"),结果表!B20,INDIRECT("'"&amp;C4&amp;"'"&amp;"!B:B"))</f>
        <v>5088</v>
      </c>
      <c r="D20" s="143">
        <f ca="1">SUMIF(INDIRECT("'"&amp;D4&amp;"'"&amp;"!A:A"),结果表!B20,INDIRECT("'"&amp;D4&amp;"'"&amp;"!B:B"))</f>
        <v>5088</v>
      </c>
      <c r="E20" s="1951"/>
      <c r="F20" s="1157" t="s">
        <v>1981</v>
      </c>
      <c r="G20" s="144">
        <f ca="1">ROUND(C20*$C$18+D20*$D$18,0)</f>
        <v>5088</v>
      </c>
      <c r="H20" s="917" t="s">
        <v>1982</v>
      </c>
      <c r="I20" s="134"/>
    </row>
    <row r="21" spans="1:36" ht="15" customHeight="1" thickBot="1">
      <c r="A21" s="937"/>
      <c r="B21" s="1952" t="s">
        <v>1983</v>
      </c>
      <c r="C21" s="728">
        <f ca="1">ROUND(C19*10000/L19,0)</f>
        <v>8493</v>
      </c>
      <c r="D21" s="729">
        <f ca="1">ROUND(D19*10000/L19,0)</f>
        <v>8493</v>
      </c>
      <c r="E21" s="937"/>
      <c r="F21" s="1952" t="s">
        <v>1983</v>
      </c>
      <c r="G21" s="145">
        <f ca="1">ROUND(G19*10000/L19,0)</f>
        <v>8493</v>
      </c>
      <c r="H21" s="1953" t="s">
        <v>1982</v>
      </c>
      <c r="I21" s="134"/>
    </row>
    <row r="22" spans="1:36" ht="15" thickBot="1">
      <c r="A22" s="1875" t="s">
        <v>1984</v>
      </c>
      <c r="B22" s="1954"/>
      <c r="C22" s="1955"/>
      <c r="D22" s="730">
        <f ca="1">IF(C19&lt;D19,D19/C19-1,C19/D19-1)</f>
        <v>0</v>
      </c>
      <c r="E22" s="134"/>
      <c r="F22" s="134"/>
      <c r="G22" s="134"/>
      <c r="H22" s="134"/>
      <c r="I22" s="134"/>
    </row>
    <row r="23" spans="1:36" ht="13.5" thickBot="1">
      <c r="A23" s="1934"/>
      <c r="B23" s="1934"/>
      <c r="C23" s="1934"/>
      <c r="D23" s="1934"/>
      <c r="E23" s="134"/>
      <c r="F23" s="134"/>
      <c r="G23" s="134"/>
      <c r="H23" s="134"/>
      <c r="I23" s="134"/>
    </row>
    <row r="24" spans="1:36" ht="14.25">
      <c r="A24" s="3238" t="s">
        <v>1985</v>
      </c>
      <c r="B24" s="1949" t="s">
        <v>1977</v>
      </c>
      <c r="C24" s="141">
        <f>IF(B30=0,0,D30)</f>
        <v>0</v>
      </c>
      <c r="D24" s="1956"/>
      <c r="E24" s="134"/>
      <c r="F24" s="134"/>
      <c r="G24" s="134"/>
      <c r="H24" s="134"/>
      <c r="I24" s="134"/>
    </row>
    <row r="25" spans="1:36" ht="14.25">
      <c r="A25" s="3239"/>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2871</v>
      </c>
      <c r="F30" s="134"/>
      <c r="G30" s="134"/>
      <c r="H30" s="134"/>
      <c r="I30" s="134"/>
    </row>
    <row r="31" spans="1:36" s="2528" customFormat="1" ht="26.45" customHeight="1" thickTop="1" thickBot="1">
      <c r="A31" s="2523"/>
      <c r="B31" s="2524"/>
      <c r="C31" s="2524"/>
      <c r="D31" s="2524"/>
      <c r="E31" s="2524"/>
      <c r="F31" s="2524"/>
      <c r="G31" s="2524"/>
      <c r="H31" s="2524"/>
      <c r="I31" s="2525" t="s">
        <v>2872</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5088</v>
      </c>
      <c r="D32" s="1962"/>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58" t="s">
        <v>1998</v>
      </c>
      <c r="B36" s="1974" t="s">
        <v>1999</v>
      </c>
      <c r="C36" s="150"/>
      <c r="D36" s="1975"/>
      <c r="E36" s="1976"/>
      <c r="F36" s="1977"/>
      <c r="G36" s="134"/>
      <c r="H36" s="134"/>
      <c r="I36" s="134"/>
    </row>
    <row r="37" spans="1:15" ht="15.75" thickBot="1">
      <c r="A37" s="3259"/>
      <c r="B37" s="1861" t="s">
        <v>2000</v>
      </c>
      <c r="C37" s="152"/>
      <c r="D37" s="1301"/>
      <c r="E37" s="1301"/>
      <c r="F37" s="1977"/>
      <c r="G37" s="134"/>
      <c r="H37" s="134"/>
      <c r="I37" s="134"/>
    </row>
    <row r="38" spans="1:15" ht="15.75" thickBot="1">
      <c r="A38" s="3260"/>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35" t="s">
        <v>2012</v>
      </c>
      <c r="B45" s="3236"/>
      <c r="C45" s="3237"/>
      <c r="D45" s="160" t="e">
        <f ca="1">ROUND(H101*F45,0)</f>
        <v>#REF!</v>
      </c>
      <c r="E45" s="161" t="s">
        <v>2013</v>
      </c>
      <c r="F45" s="162">
        <v>1</v>
      </c>
      <c r="G45" s="163" t="s">
        <v>2014</v>
      </c>
      <c r="H45" s="134"/>
      <c r="I45" s="134"/>
      <c r="J45" s="3316" t="s">
        <v>2015</v>
      </c>
      <c r="K45" s="3316"/>
      <c r="L45" s="3316"/>
      <c r="M45" s="3316"/>
      <c r="N45" s="3316"/>
      <c r="O45" s="3316"/>
    </row>
    <row r="46" spans="1:15" ht="14.25" customHeight="1">
      <c r="A46" s="3232" t="s">
        <v>2016</v>
      </c>
      <c r="B46" s="3233"/>
      <c r="C46" s="3233"/>
      <c r="D46" s="3233"/>
      <c r="E46" s="3233"/>
      <c r="F46" s="3233"/>
      <c r="G46" s="3234"/>
      <c r="H46" s="1993"/>
      <c r="I46" s="164"/>
      <c r="J46" s="2749">
        <v>1</v>
      </c>
      <c r="K46" s="3297" t="s">
        <v>2017</v>
      </c>
      <c r="L46" s="3297"/>
      <c r="M46" s="3317"/>
      <c r="N46" s="3317"/>
      <c r="O46" s="3317"/>
    </row>
    <row r="47" spans="1:15" ht="12" customHeight="1">
      <c r="A47" s="165" t="s">
        <v>2018</v>
      </c>
      <c r="B47" s="166"/>
      <c r="C47" s="167"/>
      <c r="D47" s="1247" t="s">
        <v>2019</v>
      </c>
      <c r="E47" s="308" t="s">
        <v>2020</v>
      </c>
      <c r="F47" s="168" t="s">
        <v>2021</v>
      </c>
      <c r="G47" s="2772" t="s">
        <v>2022</v>
      </c>
      <c r="H47" s="2773"/>
      <c r="I47" s="164"/>
      <c r="J47" s="2749">
        <v>2</v>
      </c>
      <c r="K47" s="3297" t="s">
        <v>2023</v>
      </c>
      <c r="L47" s="3297"/>
      <c r="M47" s="3318">
        <f>'数据-取费表'!B2</f>
        <v>44256</v>
      </c>
      <c r="N47" s="3318"/>
      <c r="O47" s="3318"/>
    </row>
    <row r="48" spans="1:15" ht="25.5">
      <c r="A48" s="3263" t="s">
        <v>2024</v>
      </c>
      <c r="B48" s="3246"/>
      <c r="C48" s="3246"/>
      <c r="D48" s="2548" t="b">
        <f>IF(H48="情况1",0,IF(H48="情况2",D52,IF(H48="情况3",D53,IF(H48="情况4",D54))))</f>
        <v>0</v>
      </c>
      <c r="E48" s="2558" t="str">
        <f>IF(H48="情况4","(销售额-原购置价)×税（费）率","销售额×税（费）率")</f>
        <v>销售额×税（费）率</v>
      </c>
      <c r="F48" s="2774">
        <f>IF(H48="情况1","免征",'数据-取费表'!B41)</f>
        <v>5.5000000000000007E-2</v>
      </c>
      <c r="G48" s="2775" t="s">
        <v>2025</v>
      </c>
      <c r="H48" s="2776"/>
      <c r="I48" s="1993"/>
      <c r="J48" s="2749">
        <v>3</v>
      </c>
      <c r="K48" s="3297" t="s">
        <v>2026</v>
      </c>
      <c r="L48" s="3297"/>
      <c r="M48" s="3319" t="e">
        <f ca="1">H101</f>
        <v>#REF!</v>
      </c>
      <c r="N48" s="3319"/>
      <c r="O48" s="3319"/>
    </row>
    <row r="49" spans="1:35" ht="25.5" customHeight="1">
      <c r="A49" s="2557" t="s">
        <v>2027</v>
      </c>
      <c r="B49" s="3230" t="s">
        <v>2028</v>
      </c>
      <c r="C49" s="3230"/>
      <c r="D49" s="1776">
        <v>0</v>
      </c>
      <c r="E49" s="330" t="s">
        <v>2029</v>
      </c>
      <c r="F49" s="2650" t="s">
        <v>34</v>
      </c>
      <c r="G49" s="3303"/>
      <c r="H49" s="2529" t="s">
        <v>2873</v>
      </c>
      <c r="I49" s="2530"/>
      <c r="J49" s="2749">
        <v>4</v>
      </c>
      <c r="K49" s="3297" t="str">
        <f>IF(项目基本情况!E8="房地产抵押价值","房地产抵押价值","抵押担保权已注销时的房地产抵押价值")</f>
        <v>抵押担保权已注销时的房地产抵押价值</v>
      </c>
      <c r="L49" s="3297"/>
      <c r="M49" s="3319" t="str">
        <f>IF(项目基本情况!E8="房地产抵押价值",H107,H109)</f>
        <v>——</v>
      </c>
      <c r="N49" s="3319"/>
      <c r="O49" s="3319"/>
    </row>
    <row r="50" spans="1:35" ht="25.5" customHeight="1">
      <c r="A50" s="2777"/>
      <c r="B50" s="3230" t="s">
        <v>2030</v>
      </c>
      <c r="C50" s="3230"/>
      <c r="D50" s="2778"/>
      <c r="E50" s="338"/>
      <c r="F50" s="2650"/>
      <c r="G50" s="3304"/>
      <c r="H50" s="2531" t="s">
        <v>2874</v>
      </c>
      <c r="I50" s="2530"/>
      <c r="J50" s="3316" t="s">
        <v>2031</v>
      </c>
      <c r="K50" s="3316"/>
      <c r="L50" s="3316"/>
      <c r="M50" s="3316"/>
      <c r="N50" s="3316"/>
      <c r="O50" s="3316"/>
    </row>
    <row r="51" spans="1:35" ht="20.45" customHeight="1">
      <c r="A51" s="2779"/>
      <c r="B51" s="3230" t="s">
        <v>2032</v>
      </c>
      <c r="C51" s="3230"/>
      <c r="D51" s="1247"/>
      <c r="E51" s="333"/>
      <c r="F51" s="2650"/>
      <c r="G51" s="3305"/>
      <c r="H51" s="2531" t="s">
        <v>2875</v>
      </c>
      <c r="I51" s="2530"/>
      <c r="J51" s="2750" t="s">
        <v>2033</v>
      </c>
      <c r="K51" s="3297" t="s">
        <v>2034</v>
      </c>
      <c r="L51" s="3297"/>
      <c r="M51" s="2750" t="s">
        <v>2035</v>
      </c>
      <c r="N51" s="2750" t="s">
        <v>2036</v>
      </c>
      <c r="O51" s="2750" t="s">
        <v>2037</v>
      </c>
    </row>
    <row r="52" spans="1:35" ht="24" customHeight="1">
      <c r="A52" s="2559" t="s">
        <v>2038</v>
      </c>
      <c r="B52" s="3230" t="s">
        <v>2039</v>
      </c>
      <c r="C52" s="3230"/>
      <c r="D52" s="1247" t="e">
        <f ca="1">ROUND(D45*'数据-取费表'!B41/(1+'数据-取费表'!C42),0)</f>
        <v>#REF!</v>
      </c>
      <c r="E52" s="2558" t="s">
        <v>2040</v>
      </c>
      <c r="F52" s="2780">
        <f>'数据-取费表'!B41</f>
        <v>5.5000000000000007E-2</v>
      </c>
      <c r="G52" s="2781"/>
      <c r="H52" s="2770"/>
      <c r="I52" s="1994"/>
      <c r="J52" s="2749">
        <v>1</v>
      </c>
      <c r="K52" s="3298" t="s">
        <v>2041</v>
      </c>
      <c r="L52" s="3298"/>
      <c r="M52" s="2751" t="b">
        <f>D48</f>
        <v>0</v>
      </c>
      <c r="N52" s="2749" t="str">
        <f>E48</f>
        <v>销售额×税（费）率</v>
      </c>
      <c r="O52" s="2752">
        <f>F48</f>
        <v>5.5000000000000007E-2</v>
      </c>
    </row>
    <row r="53" spans="1:35" ht="12" customHeight="1">
      <c r="A53" s="2559" t="s">
        <v>2042</v>
      </c>
      <c r="B53" s="3256" t="s">
        <v>3034</v>
      </c>
      <c r="C53" s="3257"/>
      <c r="D53" s="1247" t="e">
        <f ca="1">ROUND(D45*'数据-取费表'!B41/(1+'数据-取费表'!C42),0)</f>
        <v>#REF!</v>
      </c>
      <c r="E53" s="2558" t="s">
        <v>2040</v>
      </c>
      <c r="F53" s="2780">
        <f>'数据-取费表'!B41</f>
        <v>5.5000000000000007E-2</v>
      </c>
      <c r="G53" s="2781"/>
      <c r="H53" s="2770"/>
      <c r="I53" s="1994"/>
      <c r="J53" s="2749">
        <v>2</v>
      </c>
      <c r="K53" s="3298" t="s">
        <v>2043</v>
      </c>
      <c r="L53" s="3298"/>
      <c r="M53" s="2751" t="e">
        <f t="shared" ref="M53:O54" ca="1" si="0">D55</f>
        <v>#REF!</v>
      </c>
      <c r="N53" s="2749" t="str">
        <f t="shared" si="0"/>
        <v>销售额×税（费）率</v>
      </c>
      <c r="O53" s="2752" t="str">
        <f t="shared" si="0"/>
        <v>免征</v>
      </c>
    </row>
    <row r="54" spans="1:35" ht="12" customHeight="1">
      <c r="A54" s="2559" t="s">
        <v>2044</v>
      </c>
      <c r="B54" s="3256" t="s">
        <v>3035</v>
      </c>
      <c r="C54" s="3257"/>
      <c r="D54" s="1247" t="e">
        <f ca="1">C68</f>
        <v>#REF!</v>
      </c>
      <c r="E54" s="333" t="s">
        <v>2045</v>
      </c>
      <c r="F54" s="2780">
        <f>'数据-取费表'!B41</f>
        <v>5.5000000000000007E-2</v>
      </c>
      <c r="G54" s="2781"/>
      <c r="H54" s="2782"/>
      <c r="I54" s="1994"/>
      <c r="J54" s="2749">
        <v>3</v>
      </c>
      <c r="K54" s="3298" t="s">
        <v>2046</v>
      </c>
      <c r="L54" s="3298"/>
      <c r="M54" s="2751" t="e">
        <f t="shared" ca="1" si="0"/>
        <v>#REF!</v>
      </c>
      <c r="N54" s="2749" t="str">
        <f t="shared" si="0"/>
        <v>增值额×税（费）率</v>
      </c>
      <c r="O54" s="2753" t="str">
        <f t="shared" si="0"/>
        <v>免征</v>
      </c>
    </row>
    <row r="55" spans="1:35" ht="24" customHeight="1">
      <c r="A55" s="3245" t="s">
        <v>2047</v>
      </c>
      <c r="B55" s="3246"/>
      <c r="C55" s="3246"/>
      <c r="D55" s="2548" t="e">
        <f ca="1">IF(H55="个人住宅",0,ROUND(D45*I55,0))</f>
        <v>#REF!</v>
      </c>
      <c r="E55" s="2558" t="s">
        <v>2048</v>
      </c>
      <c r="F55" s="2780" t="str">
        <f>IF(H55="正常",I55,"免征")</f>
        <v>免征</v>
      </c>
      <c r="G55" s="2781"/>
      <c r="H55" s="2776"/>
      <c r="I55" s="170">
        <f>'数据-取费表'!B49</f>
        <v>5.0000000000000001E-4</v>
      </c>
      <c r="J55" s="2749">
        <f>IF(H59="非个人房产","",4)</f>
        <v>4</v>
      </c>
      <c r="K55" s="3298" t="str">
        <f>IF(H59="非个人房产","——","个人所得税")</f>
        <v>个人所得税</v>
      </c>
      <c r="L55" s="3298"/>
      <c r="M55" s="2754" t="e">
        <f ca="1">D59</f>
        <v>#REF!</v>
      </c>
      <c r="N55" s="2229" t="str">
        <f>E59</f>
        <v>差额计税</v>
      </c>
      <c r="O55" s="2755">
        <f>F59</f>
        <v>0.01</v>
      </c>
    </row>
    <row r="56" spans="1:35" ht="24.75">
      <c r="A56" s="3245" t="s">
        <v>2049</v>
      </c>
      <c r="B56" s="3246"/>
      <c r="C56" s="3246"/>
      <c r="D56" s="2548" t="e">
        <f ca="1">IF(H56="个人住宅",D57,D58)</f>
        <v>#REF!</v>
      </c>
      <c r="E56" s="2558" t="s">
        <v>2050</v>
      </c>
      <c r="F56" s="2780" t="str">
        <f>IF(H56="正常",F58,"免征")</f>
        <v>免征</v>
      </c>
      <c r="G56" s="2783" t="s">
        <v>2051</v>
      </c>
      <c r="H56" s="2784"/>
      <c r="I56" s="1995"/>
      <c r="J56" s="2749" t="str">
        <f>IF(项目基本情况!K6="上海银行",IF(J55="",4,J55+1),"")</f>
        <v/>
      </c>
      <c r="K56" s="3321" t="str">
        <f>IF(项目基本情况!K6="上海银行","其他处置费用","")</f>
        <v/>
      </c>
      <c r="L56" s="3322"/>
      <c r="M56" s="2751" t="str">
        <f>IF(项目基本情况!K6="上海银行",M69,"")</f>
        <v/>
      </c>
      <c r="N56" s="3321" t="str">
        <f>IF(项目基本情况!K6="上海银行","包含处置中涉及的律师、诉讼、拍卖、评估等费用","")</f>
        <v/>
      </c>
      <c r="O56" s="3324"/>
    </row>
    <row r="57" spans="1:35" ht="12.75">
      <c r="A57" s="2559" t="s">
        <v>2027</v>
      </c>
      <c r="B57" s="3256" t="s">
        <v>2052</v>
      </c>
      <c r="C57" s="3257"/>
      <c r="D57" s="1776">
        <v>0</v>
      </c>
      <c r="E57" s="330" t="s">
        <v>2029</v>
      </c>
      <c r="F57" s="308"/>
      <c r="G57" s="2781"/>
      <c r="H57" s="2785"/>
      <c r="I57" s="1995"/>
      <c r="J57" s="3298">
        <f>IF(AND(J55="",J56=""),4,IF(项目基本情况!K6="上海银行",结果表!J56+1,结果表!J55+1))</f>
        <v>5</v>
      </c>
      <c r="K57" s="3298" t="s">
        <v>2053</v>
      </c>
      <c r="L57" s="2756" t="s">
        <v>2054</v>
      </c>
      <c r="M57" s="2757"/>
      <c r="N57" s="2758">
        <f ca="1">SUMIF(M52:M56,"&lt;9e307")</f>
        <v>0</v>
      </c>
      <c r="O57" s="2759"/>
      <c r="P57" s="2919" t="e">
        <f ca="1">N57/M49</f>
        <v>#VALUE!</v>
      </c>
    </row>
    <row r="58" spans="1:35" ht="24.75">
      <c r="A58" s="2559" t="s">
        <v>2038</v>
      </c>
      <c r="B58" s="3256" t="s">
        <v>2055</v>
      </c>
      <c r="C58" s="3230"/>
      <c r="D58" s="2548" t="e">
        <f ca="1">IF(H58="转让取得",C81,C97)</f>
        <v>#REF!</v>
      </c>
      <c r="E58" s="2558" t="s">
        <v>2050</v>
      </c>
      <c r="F58" s="308" t="s">
        <v>34</v>
      </c>
      <c r="G58" s="2781"/>
      <c r="H58" s="2784"/>
      <c r="I58" s="1995"/>
      <c r="J58" s="3298"/>
      <c r="K58" s="3298"/>
      <c r="L58" s="2756" t="s">
        <v>2056</v>
      </c>
      <c r="M58" s="2760"/>
      <c r="N58" s="2761" t="str">
        <f ca="1">NUMBERSTRING(INT(N57*10000),2)&amp;"元整"</f>
        <v>零元整</v>
      </c>
      <c r="O58" s="2762"/>
    </row>
    <row r="59" spans="1:35" ht="24.75" thickBot="1">
      <c r="A59" s="3301" t="s">
        <v>2057</v>
      </c>
      <c r="B59" s="3302"/>
      <c r="C59" s="3302"/>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3"/>
      <c r="I59" s="2532" t="s">
        <v>2876</v>
      </c>
      <c r="J59" s="3299">
        <f>J57+1</f>
        <v>6</v>
      </c>
      <c r="K59" s="3298" t="s">
        <v>2058</v>
      </c>
      <c r="L59" s="2749" t="s">
        <v>2054</v>
      </c>
      <c r="M59" s="2763"/>
      <c r="N59" s="2764" t="e">
        <f ca="1">M49-N57</f>
        <v>#VALUE!</v>
      </c>
      <c r="O59" s="2765"/>
    </row>
    <row r="60" spans="1:35" ht="12" customHeight="1">
      <c r="A60" s="1996"/>
      <c r="B60" s="1934"/>
      <c r="C60" s="1934"/>
      <c r="D60" s="1934"/>
      <c r="E60" s="1764"/>
      <c r="F60" s="1995"/>
      <c r="G60" s="1995"/>
      <c r="H60" s="1997"/>
      <c r="I60" s="134"/>
      <c r="J60" s="3300"/>
      <c r="K60" s="3298"/>
      <c r="L60" s="2756" t="s">
        <v>2056</v>
      </c>
      <c r="M60" s="2760"/>
      <c r="N60" s="2761" t="e">
        <f ca="1">NUMBERSTRING(INT(N59*10000),2)&amp;"元整"</f>
        <v>#VALUE!</v>
      </c>
      <c r="O60" s="2762"/>
    </row>
    <row r="61" spans="1:35" ht="13.5" thickBot="1">
      <c r="A61" s="3243" t="s">
        <v>2059</v>
      </c>
      <c r="B61" s="3243"/>
      <c r="C61" s="3243"/>
      <c r="D61" s="3243"/>
      <c r="E61" s="3243"/>
      <c r="F61" s="1995"/>
      <c r="G61" s="1995"/>
      <c r="H61" s="1997"/>
      <c r="I61" s="134"/>
      <c r="J61" s="2749">
        <f>J59+1</f>
        <v>7</v>
      </c>
      <c r="K61" s="3298" t="s">
        <v>2060</v>
      </c>
      <c r="L61" s="3298"/>
      <c r="M61" s="2766"/>
      <c r="N61" s="2767" t="e">
        <f ca="1">ROUND(N59*10000/'数据-汇总表'!E3,0)</f>
        <v>#VALUE!</v>
      </c>
      <c r="O61" s="2768"/>
    </row>
    <row r="62" spans="1:35" ht="12.75">
      <c r="A62" s="3261" t="s">
        <v>2061</v>
      </c>
      <c r="B62" s="3262"/>
      <c r="C62" s="2210"/>
      <c r="D62" s="2210" t="s">
        <v>2062</v>
      </c>
      <c r="E62" s="171" t="s">
        <v>2063</v>
      </c>
      <c r="F62" s="1995"/>
      <c r="G62" s="1995"/>
      <c r="H62" s="1997"/>
      <c r="I62" s="134"/>
    </row>
    <row r="63" spans="1:35" ht="12.75">
      <c r="A63" s="178" t="s">
        <v>775</v>
      </c>
      <c r="B63" s="172" t="s">
        <v>2064</v>
      </c>
      <c r="C63" s="2790" t="e">
        <f ca="1">ROUND((C64+C65)/(1+'数据-取费表'!C42),0)</f>
        <v>#REF!</v>
      </c>
      <c r="D63" s="172"/>
      <c r="E63" s="173"/>
      <c r="F63" s="1995"/>
      <c r="G63" s="1995"/>
      <c r="H63" s="1997"/>
      <c r="I63" s="134"/>
      <c r="J63" s="3323" t="s">
        <v>2065</v>
      </c>
      <c r="K63" s="1502" t="s">
        <v>2066</v>
      </c>
      <c r="L63" s="1502" t="e">
        <f>IF(M49&gt;10000,M49*0.5%,IF(AND(M49&gt;1000,M49&lt;=10000),M49*1%,IF(AND(M49&gt;100,M49&lt;=1000),M49*3%,IF(AND(M49&gt;10,M49&lt;=100),M49*5%,M49*8%))))</f>
        <v>#VALUE!</v>
      </c>
      <c r="M63" s="308" t="e">
        <f>ROUND(L63,1)</f>
        <v>#VALUE!</v>
      </c>
      <c r="N63" s="2769"/>
      <c r="Z63" s="1939"/>
      <c r="AI63" s="1940"/>
    </row>
    <row r="64" spans="1:35" ht="14.25" customHeight="1">
      <c r="A64" s="174" t="s">
        <v>770</v>
      </c>
      <c r="B64" s="175" t="s">
        <v>2067</v>
      </c>
      <c r="C64" s="2791" t="e">
        <f ca="1">D45</f>
        <v>#REF!</v>
      </c>
      <c r="D64" s="175" t="s">
        <v>32</v>
      </c>
      <c r="E64" s="177"/>
      <c r="F64" s="1995"/>
      <c r="G64" s="1995"/>
      <c r="H64" s="1997"/>
      <c r="I64" s="134"/>
      <c r="J64" s="3323"/>
      <c r="K64" s="1502" t="s">
        <v>2068</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39"/>
      <c r="AI64" s="1940"/>
    </row>
    <row r="65" spans="1:35" ht="14.25" customHeight="1">
      <c r="A65" s="174" t="s">
        <v>771</v>
      </c>
      <c r="B65" s="175" t="s">
        <v>2070</v>
      </c>
      <c r="C65" s="2792"/>
      <c r="D65" s="175"/>
      <c r="E65" s="177"/>
      <c r="F65" s="1995"/>
      <c r="G65" s="1995"/>
      <c r="H65" s="1997"/>
      <c r="I65" s="134"/>
      <c r="J65" s="3323"/>
      <c r="K65" s="1502" t="s">
        <v>2071</v>
      </c>
      <c r="L65" s="1502" t="e">
        <f>IF(M49&gt;1000,M49*0.1%,IF(AND(M49&gt;500,M49&lt;=1000),M49*0.5%,IF(AND(M49&gt;50,M49&lt;=500),M49*1%,IF(AND(M49&gt;1,M49&lt;=50),M49*1.5%))))</f>
        <v>#VALUE!</v>
      </c>
      <c r="M65" s="308" t="e">
        <f t="shared" si="1"/>
        <v>#VALUE!</v>
      </c>
      <c r="N65" s="2770" t="s">
        <v>2069</v>
      </c>
      <c r="Z65" s="1939"/>
      <c r="AI65" s="1940"/>
    </row>
    <row r="66" spans="1:35" ht="14.25" customHeight="1">
      <c r="A66" s="178" t="s">
        <v>772</v>
      </c>
      <c r="B66" s="179" t="s">
        <v>2072</v>
      </c>
      <c r="C66" s="2793"/>
      <c r="D66" s="179" t="s">
        <v>32</v>
      </c>
      <c r="E66" s="1510" t="s">
        <v>1337</v>
      </c>
      <c r="F66" s="1995"/>
      <c r="G66" s="1995"/>
      <c r="H66" s="1997"/>
      <c r="I66" s="134"/>
      <c r="J66" s="3323"/>
      <c r="K66" s="1502" t="s">
        <v>2073</v>
      </c>
      <c r="L66" s="1502" t="e">
        <f>M49*0.5%</f>
        <v>#VALUE!</v>
      </c>
      <c r="M66" s="308" t="e">
        <f>IF(L66&gt;0.5,0.5,ROUND(L66,0))</f>
        <v>#VALUE!</v>
      </c>
      <c r="N66" s="2770" t="s">
        <v>2074</v>
      </c>
      <c r="Z66" s="1939"/>
      <c r="AI66" s="1940"/>
    </row>
    <row r="67" spans="1:35" ht="14.25" customHeight="1">
      <c r="A67" s="178" t="s">
        <v>773</v>
      </c>
      <c r="B67" s="179" t="s">
        <v>2075</v>
      </c>
      <c r="C67" s="2794" t="e">
        <f ca="1">C63-C66</f>
        <v>#REF!</v>
      </c>
      <c r="D67" s="175" t="s">
        <v>32</v>
      </c>
      <c r="E67" s="177"/>
      <c r="F67" s="1995"/>
      <c r="G67" s="1995"/>
      <c r="H67" s="1997"/>
      <c r="I67" s="134"/>
      <c r="J67" s="3323"/>
      <c r="K67" s="1502" t="s">
        <v>2076</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9"/>
      <c r="AI67" s="1940"/>
    </row>
    <row r="68" spans="1:35" ht="14.25" customHeight="1" thickBot="1">
      <c r="A68" s="181" t="s">
        <v>774</v>
      </c>
      <c r="B68" s="182" t="s">
        <v>2077</v>
      </c>
      <c r="C68" s="2795" t="e">
        <f ca="1">IF(C67&lt;=0,0,ROUND(C67*D68,0))</f>
        <v>#REF!</v>
      </c>
      <c r="D68" s="2796">
        <f>'数据-取费表'!B41</f>
        <v>5.5000000000000007E-2</v>
      </c>
      <c r="E68" s="184"/>
      <c r="F68" s="1995"/>
      <c r="G68" s="1995"/>
      <c r="H68" s="1997"/>
      <c r="I68" s="134"/>
      <c r="J68" s="3323"/>
      <c r="K68" s="1502" t="s">
        <v>2078</v>
      </c>
      <c r="L68" s="1502" t="e">
        <f>IF(M49&gt;10000,M49*0.5%,IF(AND(M49&gt;5000,M49&lt;=10000),M49*1%,IF(AND(M49&gt;1000,M49&lt;=5000),M49*2%,IF(AND(M49&gt;200,M49&lt;=1000),M49*3%,M49*5%))))</f>
        <v>#VALUE!</v>
      </c>
      <c r="M68" s="308" t="e">
        <f>ROUND(L68,1)</f>
        <v>#VALUE!</v>
      </c>
      <c r="N68" s="2769"/>
      <c r="Z68" s="1939"/>
      <c r="AI68" s="1940"/>
    </row>
    <row r="69" spans="1:35" s="1959" customFormat="1" ht="16.5" customHeight="1">
      <c r="A69" s="1998"/>
      <c r="B69" s="1999"/>
      <c r="C69" s="2000"/>
      <c r="D69" s="2001"/>
      <c r="E69" s="2002"/>
      <c r="F69" s="1764"/>
      <c r="G69" s="1764"/>
      <c r="H69" s="1763"/>
      <c r="I69" s="1934"/>
      <c r="J69" s="3323"/>
      <c r="K69" s="1502" t="s">
        <v>2079</v>
      </c>
      <c r="L69" s="1502"/>
      <c r="M69" s="308" t="e">
        <f>ROUND(SUM(M63:M68),0)</f>
        <v>#VALUE!</v>
      </c>
      <c r="N69" s="2771"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82" t="s">
        <v>2080</v>
      </c>
      <c r="B70" s="3283"/>
      <c r="C70" s="3283"/>
      <c r="D70" s="3283"/>
      <c r="E70" s="3283"/>
      <c r="F70" s="3283"/>
      <c r="G70" s="3283"/>
      <c r="H70" s="3283"/>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61" t="s">
        <v>2061</v>
      </c>
      <c r="B71" s="3262"/>
      <c r="C71" s="2210"/>
      <c r="D71" s="2210"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t="e">
        <f ca="1">ROUND(D45/(1+'数据-取费表'!C42),0)</f>
        <v>#REF!</v>
      </c>
      <c r="D72" s="175" t="s">
        <v>32</v>
      </c>
      <c r="E72" s="2555"/>
      <c r="F72" s="2554"/>
      <c r="G72" s="2554"/>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256" t="s">
        <v>2088</v>
      </c>
      <c r="F76" s="3230"/>
      <c r="G76" s="3230"/>
      <c r="H76" s="328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t="e">
        <f ca="1">ROUND(D45*D78/(1+'数据-取费表'!C42),0)</f>
        <v>#REF!</v>
      </c>
      <c r="D78" s="2803">
        <f>'数据-取费表'!B43</f>
        <v>5.000000000000001E-3</v>
      </c>
      <c r="E78" s="3240" t="s">
        <v>2092</v>
      </c>
      <c r="F78" s="3241"/>
      <c r="G78" s="3241"/>
      <c r="H78" s="3250"/>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4"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82" t="s">
        <v>2096</v>
      </c>
      <c r="B83" s="3283"/>
      <c r="C83" s="3283"/>
      <c r="D83" s="3283"/>
      <c r="E83" s="3283"/>
      <c r="F83" s="3283"/>
      <c r="G83" s="3283"/>
      <c r="H83" s="328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61" t="s">
        <v>2061</v>
      </c>
      <c r="B84" s="3262"/>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t="e">
        <f ca="1">IF(H88="仅含出让金",C87+C90+C91+C92+C93+C94,C87+C91+C92+C93+C94)</f>
        <v>#REF!</v>
      </c>
      <c r="D86" s="2807"/>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0</v>
      </c>
      <c r="D87" s="2803"/>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c r="D88" s="2803"/>
      <c r="E88" s="199" t="s">
        <v>2099</v>
      </c>
      <c r="F88" s="2551"/>
      <c r="G88" s="200" t="s">
        <v>2100</v>
      </c>
      <c r="H88" s="2011"/>
      <c r="I88" s="2008"/>
      <c r="J88" s="2747" t="s">
        <v>3031</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0</v>
      </c>
      <c r="D89" s="2803">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2551"/>
      <c r="G90" s="3325" t="s">
        <v>2868</v>
      </c>
      <c r="H90" s="3326"/>
      <c r="I90" s="2008"/>
      <c r="J90" s="2747" t="s">
        <v>3032</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IF(H91="——",成本法!C33,I91)</f>
        <v>0</v>
      </c>
      <c r="D91" s="2803"/>
      <c r="E91" s="3240" t="s">
        <v>2105</v>
      </c>
      <c r="F91" s="3241"/>
      <c r="G91" s="3241"/>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ROUND((C87+C90+C91)*D92,0)</f>
        <v>0</v>
      </c>
      <c r="D92" s="2809"/>
      <c r="E92" s="3240" t="s">
        <v>2108</v>
      </c>
      <c r="F92" s="3241"/>
      <c r="G92" s="3241"/>
      <c r="H92" s="3250"/>
      <c r="I92" s="2008"/>
      <c r="J92" s="2748" t="s">
        <v>3033</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t="e">
        <f ca="1">ROUND(D45*D93/(1+'数据-取费表'!C42),0)</f>
        <v>#REF!</v>
      </c>
      <c r="D93" s="2803">
        <f>'数据-取费表'!B43</f>
        <v>5.000000000000001E-3</v>
      </c>
      <c r="E93" s="3240" t="s">
        <v>2092</v>
      </c>
      <c r="F93" s="3241"/>
      <c r="G93" s="3241"/>
      <c r="H93" s="3250"/>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ROUND((C87+C90+C91)*D94,0)</f>
        <v>0</v>
      </c>
      <c r="D94" s="2803">
        <v>0.2</v>
      </c>
      <c r="E94" s="3251" t="s">
        <v>2112</v>
      </c>
      <c r="F94" s="3252"/>
      <c r="G94" s="3252"/>
      <c r="H94" s="325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4"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224" t="s">
        <v>2114</v>
      </c>
      <c r="B100" s="3225"/>
      <c r="C100" s="3225"/>
      <c r="D100" s="3242"/>
      <c r="E100" s="3225" t="s">
        <v>2115</v>
      </c>
      <c r="F100" s="3225"/>
      <c r="G100" s="3225"/>
      <c r="H100" s="3242"/>
      <c r="I100" s="134"/>
    </row>
    <row r="101" spans="1:35" ht="18.75" customHeight="1">
      <c r="A101" s="3306" t="s">
        <v>2116</v>
      </c>
      <c r="B101" s="3307"/>
      <c r="C101" s="2811" t="str">
        <f>C4</f>
        <v>基准地价修正</v>
      </c>
      <c r="D101" s="2812" t="str">
        <f>D4</f>
        <v>基准地价修正</v>
      </c>
      <c r="E101" s="3320" t="s">
        <v>2117</v>
      </c>
      <c r="F101" s="3274"/>
      <c r="G101" s="2014" t="s">
        <v>2118</v>
      </c>
      <c r="H101" s="2821" t="e">
        <f ca="1">H118</f>
        <v>#REF!</v>
      </c>
      <c r="I101" s="134"/>
    </row>
    <row r="102" spans="1:35" ht="18.75" customHeight="1">
      <c r="A102" s="3276" t="s">
        <v>2119</v>
      </c>
      <c r="B102" s="2810" t="s">
        <v>2118</v>
      </c>
      <c r="C102" s="2811">
        <f ca="1">C19</f>
        <v>14211</v>
      </c>
      <c r="D102" s="2812">
        <f ca="1">D19</f>
        <v>14211</v>
      </c>
      <c r="E102" s="3320"/>
      <c r="F102" s="3274"/>
      <c r="G102" s="2014" t="s">
        <v>2120</v>
      </c>
      <c r="H102" s="2781" t="e">
        <f ca="1">I118</f>
        <v>#REF!</v>
      </c>
      <c r="I102" s="134"/>
    </row>
    <row r="103" spans="1:35" ht="42.75" customHeight="1">
      <c r="A103" s="3276"/>
      <c r="B103" s="2810" t="s">
        <v>2120</v>
      </c>
      <c r="C103" s="2813">
        <f ca="1">C20</f>
        <v>5088</v>
      </c>
      <c r="D103" s="2814">
        <f ca="1">D20</f>
        <v>5088</v>
      </c>
      <c r="E103" s="3314" t="s">
        <v>2121</v>
      </c>
      <c r="F103" s="3315"/>
      <c r="G103" s="2015" t="s">
        <v>2122</v>
      </c>
      <c r="H103" s="2821">
        <f>IF(D36="正常操作",H104+H105+H106,H105+H106)</f>
        <v>0</v>
      </c>
      <c r="I103" s="134"/>
    </row>
    <row r="104" spans="1:35" ht="18.75" customHeight="1">
      <c r="A104" s="3276" t="s">
        <v>2123</v>
      </c>
      <c r="B104" s="2815" t="s">
        <v>2118</v>
      </c>
      <c r="C104" s="2816" t="e">
        <f ca="1">H118</f>
        <v>#REF!</v>
      </c>
      <c r="D104" s="2817"/>
      <c r="E104" s="1861" t="s">
        <v>2124</v>
      </c>
      <c r="F104" s="1852"/>
      <c r="G104" s="2015" t="s">
        <v>2122</v>
      </c>
      <c r="H104" s="2822">
        <f>IF(D36="同一抵押权人同一抵押物续贷",C36&amp;"（续贷，未扣减，详见特别提示）",C36)</f>
        <v>0</v>
      </c>
      <c r="I104" s="134"/>
    </row>
    <row r="105" spans="1:35" ht="18.75" customHeight="1" thickBot="1">
      <c r="A105" s="3277"/>
      <c r="B105" s="2818" t="s">
        <v>2120</v>
      </c>
      <c r="C105" s="2819" t="e">
        <f ca="1">I118</f>
        <v>#REF!</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73" t="str">
        <f>IF(项目基本情况!E8="已注销","——","3.房地产抵押价值")</f>
        <v>3.房地产抵押价值</v>
      </c>
      <c r="F107" s="3274"/>
      <c r="G107" s="2014" t="s">
        <v>2118</v>
      </c>
      <c r="H107" s="2821" t="e">
        <f ca="1">IF(E107="——","——",H101-H103)</f>
        <v>#REF!</v>
      </c>
      <c r="I107" s="134"/>
    </row>
    <row r="108" spans="1:35" ht="18.75" customHeight="1">
      <c r="A108" s="134"/>
      <c r="B108" s="134"/>
      <c r="C108" s="134"/>
      <c r="D108" s="134"/>
      <c r="E108" s="3273"/>
      <c r="F108" s="3274"/>
      <c r="G108" s="2014" t="s">
        <v>2120</v>
      </c>
      <c r="H108" s="2781" t="e">
        <f ca="1">ROUND(H107*10000/'数据-汇总表'!E3,0)</f>
        <v>#REF!</v>
      </c>
      <c r="I108" s="134"/>
    </row>
    <row r="109" spans="1:35" ht="18.75" customHeight="1">
      <c r="A109" s="134"/>
      <c r="B109" s="134"/>
      <c r="C109" s="134"/>
      <c r="D109" s="134"/>
      <c r="E109" s="3273" t="str">
        <f>IF(项目基本情况!E8="已注销及未注销","4.抵押担保权已注销时的房地产抵押价值",IF(项目基本情况!E8="已注销","3.抵押担保权已注销时的房地产抵押价值","——"))</f>
        <v>——</v>
      </c>
      <c r="F109" s="3274"/>
      <c r="G109" s="2014" t="s">
        <v>2118</v>
      </c>
      <c r="H109" s="2824" t="str">
        <f>IF(E109="——","——",H101-H105-H106)</f>
        <v>——</v>
      </c>
      <c r="I109" s="134"/>
    </row>
    <row r="110" spans="1:35" ht="18.75" customHeight="1">
      <c r="A110" s="134"/>
      <c r="B110" s="134"/>
      <c r="C110" s="134"/>
      <c r="D110" s="134"/>
      <c r="E110" s="3273"/>
      <c r="F110" s="3274"/>
      <c r="G110" s="2014" t="s">
        <v>2120</v>
      </c>
      <c r="H110" s="2781" t="str">
        <f>IF(H109="——","——",ROUND(H109*10000/'数据-汇总表'!E3,0))</f>
        <v>——</v>
      </c>
      <c r="I110" s="134"/>
    </row>
    <row r="111" spans="1:35" ht="18.75" customHeight="1">
      <c r="A111" s="134"/>
      <c r="B111" s="134"/>
      <c r="C111" s="134"/>
      <c r="D111" s="134"/>
      <c r="E111" s="3308" t="str">
        <f>IF(项目基本情况!E9="抵押净值",IF(OR(项目基本情况!E8="已注销",项目基本情况!E8="房地产抵押价值"),"4.抵押净值","5.抵押净值"),"——")</f>
        <v>——</v>
      </c>
      <c r="F111" s="3275"/>
      <c r="G111" s="2014" t="s">
        <v>2118</v>
      </c>
      <c r="H111" s="2821" t="str">
        <f>IF(E111="——","——",N59)</f>
        <v>——</v>
      </c>
      <c r="I111" s="134"/>
    </row>
    <row r="112" spans="1:35" ht="18.75" customHeight="1" thickBot="1">
      <c r="A112" s="134"/>
      <c r="B112" s="134"/>
      <c r="C112" s="134"/>
      <c r="D112" s="134"/>
      <c r="E112" s="3309"/>
      <c r="F112" s="3310"/>
      <c r="G112" s="2017" t="s">
        <v>2120</v>
      </c>
      <c r="H112" s="2825" t="str">
        <f>IF(E111="——","——",N61)</f>
        <v>——</v>
      </c>
      <c r="I112" s="134"/>
    </row>
    <row r="113" spans="1:27" ht="18.75" customHeight="1">
      <c r="A113" s="134"/>
      <c r="B113" s="134"/>
      <c r="C113" s="134"/>
      <c r="D113" s="134"/>
      <c r="E113" s="3278" t="s">
        <v>2126</v>
      </c>
      <c r="F113" s="3278"/>
      <c r="G113" s="3278"/>
      <c r="H113" s="3278"/>
      <c r="I113" s="134"/>
    </row>
    <row r="114" spans="1:27" ht="3.75" customHeight="1">
      <c r="A114" s="1934"/>
      <c r="B114" s="1934"/>
      <c r="C114" s="1934"/>
      <c r="D114" s="1934"/>
      <c r="E114" s="1996"/>
      <c r="F114" s="1996"/>
      <c r="G114" s="1996"/>
      <c r="H114" s="1996"/>
      <c r="I114" s="1934"/>
    </row>
    <row r="115" spans="1:27" ht="18.75" customHeight="1">
      <c r="A115" s="3291" t="s">
        <v>2128</v>
      </c>
      <c r="B115" s="3292"/>
      <c r="C115" s="3292"/>
      <c r="D115" s="3292"/>
      <c r="E115" s="3292"/>
      <c r="F115" s="3292"/>
      <c r="G115" s="3292"/>
      <c r="H115" s="3292"/>
      <c r="I115" s="3293"/>
    </row>
    <row r="116" spans="1:27" ht="27" customHeight="1">
      <c r="A116" s="3244" t="s">
        <v>2129</v>
      </c>
      <c r="B116" s="3279" t="s">
        <v>2130</v>
      </c>
      <c r="C116" s="3279" t="s">
        <v>2131</v>
      </c>
      <c r="D116" s="3295" t="s">
        <v>2132</v>
      </c>
      <c r="E116" s="3296"/>
      <c r="F116" s="3287" t="s">
        <v>2133</v>
      </c>
      <c r="G116" s="3287"/>
      <c r="H116" s="3244" t="s">
        <v>2134</v>
      </c>
      <c r="I116" s="3244"/>
    </row>
    <row r="117" spans="1:27" ht="18.75" customHeight="1">
      <c r="A117" s="3244"/>
      <c r="B117" s="3280"/>
      <c r="C117" s="3280"/>
      <c r="D117" s="2553" t="s">
        <v>2135</v>
      </c>
      <c r="E117" s="2553" t="s">
        <v>2136</v>
      </c>
      <c r="F117" s="2553" t="s">
        <v>2135</v>
      </c>
      <c r="G117" s="2553" t="s">
        <v>2137</v>
      </c>
      <c r="H117" s="2553" t="s">
        <v>2135</v>
      </c>
      <c r="I117" s="2553" t="s">
        <v>2137</v>
      </c>
    </row>
    <row r="118" spans="1:27" ht="24.75" customHeight="1">
      <c r="A118" s="2826" t="str">
        <f>项目基本情况!S2</f>
        <v>北京市房地产</v>
      </c>
      <c r="B118" s="2553">
        <f>M18</f>
        <v>16732.060000000001</v>
      </c>
      <c r="C118" s="2553">
        <f>M19</f>
        <v>16732.060000000001</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244" t="s">
        <v>2138</v>
      </c>
      <c r="B119" s="3244"/>
      <c r="C119" s="3244"/>
      <c r="D119" s="3284" t="e">
        <f ca="1">NUMBERSTRING(INT(D118*10000),2)&amp;"元整"</f>
        <v>#REF!</v>
      </c>
      <c r="E119" s="3286"/>
      <c r="F119" s="3284" t="e">
        <f ca="1">NUMBERSTRING(INT(F118*10000),2)&amp;"元整"</f>
        <v>#REF!</v>
      </c>
      <c r="G119" s="3286"/>
      <c r="H119" s="3284" t="e">
        <f ca="1">NUMBERSTRING(INT(H118*10000),2)&amp;"元整"</f>
        <v>#REF!</v>
      </c>
      <c r="I119" s="3286"/>
    </row>
    <row r="120" spans="1:27" ht="18.75" customHeight="1">
      <c r="A120" s="3311" t="str">
        <f>IF(项目基本情况!B9="房地产市场价值","",MID(E103,3,LEN(E103)-2))</f>
        <v/>
      </c>
      <c r="B120" s="3312"/>
      <c r="C120" s="3313"/>
      <c r="D120" s="3311">
        <f>H103</f>
        <v>0</v>
      </c>
      <c r="E120" s="3312"/>
      <c r="F120" s="3312"/>
      <c r="G120" s="3312"/>
      <c r="H120" s="3312"/>
      <c r="I120" s="3313"/>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88" t="s">
        <v>2138</v>
      </c>
      <c r="B121" s="3289"/>
      <c r="C121" s="3290"/>
      <c r="D121" s="3284" t="str">
        <f>IF(D120=0,"零元整",NUMBERSTRING(INT(D120*10000),2)&amp;"元整")</f>
        <v>零元整</v>
      </c>
      <c r="E121" s="3285"/>
      <c r="F121" s="3285"/>
      <c r="G121" s="3285"/>
      <c r="H121" s="3285"/>
      <c r="I121" s="3286"/>
      <c r="AA121" s="734"/>
    </row>
    <row r="122" spans="1:27" ht="18.75" customHeight="1">
      <c r="A122" s="3275" t="str">
        <f>IF(项目基本情况!B9="房地产市场价值","",MID(E107,3,LEN(E107)-2))</f>
        <v/>
      </c>
      <c r="B122" s="3275"/>
      <c r="C122" s="3275"/>
      <c r="D122" s="3311" t="e">
        <f ca="1">H107</f>
        <v>#REF!</v>
      </c>
      <c r="E122" s="3312"/>
      <c r="F122" s="3312"/>
      <c r="G122" s="3312"/>
      <c r="H122" s="3312"/>
      <c r="I122" s="3313"/>
      <c r="AA122" s="734"/>
    </row>
    <row r="123" spans="1:27" ht="18.75" customHeight="1">
      <c r="A123" s="3244" t="s">
        <v>2138</v>
      </c>
      <c r="B123" s="3244"/>
      <c r="C123" s="3244"/>
      <c r="D123" s="3284" t="e">
        <f ca="1">NUMBERSTRING(INT(D122*10000),2)&amp;"元整"</f>
        <v>#REF!</v>
      </c>
      <c r="E123" s="3285"/>
      <c r="F123" s="3285"/>
      <c r="G123" s="3285"/>
      <c r="H123" s="3285"/>
      <c r="I123" s="3286"/>
      <c r="AA123" s="734"/>
    </row>
    <row r="124" spans="1:27" ht="18.75" customHeight="1">
      <c r="A124" s="3275" t="str">
        <f>IF(项目基本情况!B9="房地产市场价值","",MID(E109,3,LEN(E109)-2))</f>
        <v/>
      </c>
      <c r="B124" s="3275"/>
      <c r="C124" s="3275"/>
      <c r="D124" s="3311" t="str">
        <f>H109</f>
        <v>——</v>
      </c>
      <c r="E124" s="3312"/>
      <c r="F124" s="3312"/>
      <c r="G124" s="3312"/>
      <c r="H124" s="3312"/>
      <c r="I124" s="3313"/>
      <c r="AA124" s="734"/>
    </row>
    <row r="125" spans="1:27" ht="18.75" customHeight="1">
      <c r="A125" s="3244" t="s">
        <v>2138</v>
      </c>
      <c r="B125" s="3244"/>
      <c r="C125" s="3244"/>
      <c r="D125" s="3284" t="e">
        <f>NUMBERSTRING(INT(D124*10000),2)&amp;"元整"</f>
        <v>#VALUE!</v>
      </c>
      <c r="E125" s="3285"/>
      <c r="F125" s="3285"/>
      <c r="G125" s="3285"/>
      <c r="H125" s="3285"/>
      <c r="I125" s="3286"/>
      <c r="AA125" s="734"/>
    </row>
    <row r="126" spans="1:27" ht="18.75" customHeight="1">
      <c r="A126" s="3275" t="str">
        <f>IF(项目基本情况!B9="房地产市场价值","",MID(E111,3,LEN(E111)-2))</f>
        <v/>
      </c>
      <c r="B126" s="3275"/>
      <c r="C126" s="3275"/>
      <c r="D126" s="3311" t="str">
        <f>H111</f>
        <v>——</v>
      </c>
      <c r="E126" s="3312"/>
      <c r="F126" s="3312"/>
      <c r="G126" s="3312"/>
      <c r="H126" s="3312"/>
      <c r="I126" s="3313"/>
      <c r="AA126" s="734"/>
    </row>
    <row r="127" spans="1:27" ht="18.75" customHeight="1">
      <c r="A127" s="3244" t="s">
        <v>2138</v>
      </c>
      <c r="B127" s="3244"/>
      <c r="C127" s="3244"/>
      <c r="D127" s="3284" t="e">
        <f>NUMBERSTRING(INT(D126*10000),2)&amp;"元整"</f>
        <v>#VALUE!</v>
      </c>
      <c r="E127" s="3285"/>
      <c r="F127" s="3285"/>
      <c r="G127" s="3285"/>
      <c r="H127" s="3285"/>
      <c r="I127" s="3286"/>
      <c r="AA127" s="734"/>
    </row>
    <row r="128" spans="1:27" ht="21.75" customHeight="1">
      <c r="A128" s="3294" t="s">
        <v>2139</v>
      </c>
      <c r="B128" s="3294"/>
      <c r="C128" s="3294"/>
      <c r="D128" s="3294"/>
      <c r="E128" s="3294"/>
      <c r="F128" s="3294"/>
      <c r="G128" s="3294"/>
      <c r="H128" s="3294"/>
      <c r="I128" s="3294"/>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8" zoomScale="85" zoomScaleNormal="80" zoomScaleSheetLayoutView="85" workbookViewId="0">
      <selection activeCell="E38" activeCellId="1" sqref="E29 E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2623</v>
      </c>
      <c r="B1" s="203"/>
      <c r="C1" s="207" t="s">
        <v>2624</v>
      </c>
      <c r="D1" s="348">
        <f>SUM(D29:D30,D33:D39)</f>
        <v>27932.560000000001</v>
      </c>
      <c r="E1" s="2182"/>
      <c r="F1" s="2182"/>
      <c r="G1" s="2182"/>
      <c r="H1" s="2182"/>
      <c r="I1" s="2182"/>
      <c r="J1" s="2182"/>
      <c r="K1" s="1280"/>
      <c r="L1" s="2183" t="s">
        <v>2625</v>
      </c>
      <c r="M1" s="994">
        <f>SUMPRODUCT((区片价!B5:B9=I2)*(区片价!C3:F3=E2)*(区片价!C5:F9))</f>
        <v>0</v>
      </c>
      <c r="N1" s="997">
        <f>SUMPRODUCT((因素修正幅度!B5:B9=I2)*(因素修正幅度!C3:F3=E2)*(因素修正幅度!C5:F9))</f>
        <v>0</v>
      </c>
      <c r="O1" s="2184"/>
      <c r="P1" s="2184"/>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14211</v>
      </c>
      <c r="C2" s="2186" t="s">
        <v>2632</v>
      </c>
      <c r="D2" s="2187" t="s">
        <v>2633</v>
      </c>
      <c r="E2" s="2188" t="s">
        <v>3103</v>
      </c>
      <c r="F2" s="2187" t="s">
        <v>2634</v>
      </c>
      <c r="G2" s="2189" t="str">
        <f>IF(E2="商业",项目基本情况!B37,IF(E2="办公",项目基本情况!C37,IF(E2="住宅",项目基本情况!D37,项目基本情况!E37)))</f>
        <v>八级</v>
      </c>
      <c r="H2" s="2187" t="s">
        <v>2635</v>
      </c>
      <c r="I2" s="2189" t="str">
        <f>IF(E2="商业",项目基本情况!B38,IF(E2="办公",项目基本情况!C38,IF(E2="住宅",项目基本情况!D38,项目基本情况!E38)))</f>
        <v>Ⅷ-通1</v>
      </c>
      <c r="J2" s="2190"/>
      <c r="K2" s="1280"/>
      <c r="L2" s="2191"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 ca="1">ROUND($C$5*$C$18*$C$19*$C$20*S2*$C$24,0)</f>
        <v>20149</v>
      </c>
      <c r="U2" s="1375"/>
      <c r="V2" s="1374">
        <f ca="1">ROUND(T2*U2/10000,0)</f>
        <v>0</v>
      </c>
      <c r="W2" s="1378"/>
      <c r="X2" s="1378"/>
      <c r="Y2" s="1378"/>
      <c r="Z2" s="1378"/>
      <c r="AA2" s="1378"/>
      <c r="AB2" s="1378"/>
      <c r="AC2" s="1379"/>
      <c r="AD2" s="1380"/>
      <c r="AE2" s="1380"/>
      <c r="AF2" s="1380"/>
      <c r="AG2" s="1380"/>
      <c r="AH2" s="1380"/>
      <c r="AI2" s="1380"/>
      <c r="AJ2" s="1381"/>
    </row>
    <row r="3" spans="1:36" ht="25.5">
      <c r="A3" s="209" t="s">
        <v>2637</v>
      </c>
      <c r="B3" s="210">
        <f ca="1">ROUND(B2*10000/D1,0)</f>
        <v>5088</v>
      </c>
      <c r="C3" s="2186" t="s">
        <v>2638</v>
      </c>
      <c r="D3" s="2187" t="s">
        <v>2639</v>
      </c>
      <c r="E3" s="2192" t="s">
        <v>3276</v>
      </c>
      <c r="F3" s="2193" t="s">
        <v>3280</v>
      </c>
      <c r="G3" s="855">
        <f>IF(F3="宗地容积率",'数据-汇总表'!I4,IF(F3="估价对象容积率",'数据-汇总表'!I6,'数据-汇总表'!I7))</f>
        <v>1.61</v>
      </c>
      <c r="H3" s="175" t="s">
        <v>2640</v>
      </c>
      <c r="I3" s="881"/>
      <c r="J3" s="2190" t="s">
        <v>2641</v>
      </c>
      <c r="K3" s="1280"/>
      <c r="L3" s="2191"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ca="1" si="0">ROUND($C$5*$C$18*$C$19*$C$20*S3*$C$24,0)</f>
        <v>13280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30"/>
      <c r="B4" s="3331"/>
      <c r="C4" s="3331"/>
      <c r="D4" s="3332"/>
      <c r="E4" s="3332"/>
      <c r="F4" s="3332"/>
      <c r="G4" s="3332"/>
      <c r="H4" s="3332"/>
      <c r="I4" s="3332"/>
      <c r="J4" s="3333"/>
      <c r="K4" s="1280"/>
      <c r="L4" s="2191"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ca="1" si="0"/>
        <v>10450</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2644</v>
      </c>
      <c r="C5" s="856">
        <f>ROUND(IF(E2="商业",C6*C7+C16,(IF(E2="住宅",C6*C12+C16,C6+C16))),0)</f>
        <v>6119</v>
      </c>
      <c r="D5" s="1524">
        <f>ROUND(C6+C16,0)</f>
        <v>5567</v>
      </c>
      <c r="E5" s="1524"/>
      <c r="F5" s="2196"/>
      <c r="G5" s="2197"/>
      <c r="H5" s="2197"/>
      <c r="I5" s="2197"/>
      <c r="J5" s="2198"/>
      <c r="K5" s="2199"/>
      <c r="L5" s="2191"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ca="1" si="0"/>
        <v>7808</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2646</v>
      </c>
      <c r="B6" s="2205" t="s">
        <v>2647</v>
      </c>
      <c r="C6" s="857">
        <f>SUMIF(L1:L12,G2,M1:M12)</f>
        <v>5520</v>
      </c>
      <c r="D6" s="2206" t="s">
        <v>2648</v>
      </c>
      <c r="E6" s="2207"/>
      <c r="F6" s="2207"/>
      <c r="G6" s="2208"/>
      <c r="H6" s="2208"/>
      <c r="I6" s="2208"/>
      <c r="J6" s="2209"/>
      <c r="K6" s="1569"/>
      <c r="L6" s="2191"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ca="1" si="0"/>
        <v>5871</v>
      </c>
      <c r="U6" s="1375"/>
      <c r="V6" s="1374">
        <f t="shared" ca="1" si="1"/>
        <v>0</v>
      </c>
      <c r="W6" s="1378"/>
      <c r="X6" s="1378"/>
      <c r="Y6" s="1378"/>
      <c r="Z6" s="1378"/>
      <c r="AA6" s="1378"/>
      <c r="AB6" s="1378"/>
      <c r="AC6" s="2200"/>
      <c r="AD6" s="2201"/>
      <c r="AE6" s="2201"/>
      <c r="AF6" s="2201"/>
      <c r="AG6" s="2201"/>
      <c r="AH6" s="2201"/>
      <c r="AI6" s="2201"/>
      <c r="AJ6" s="2202"/>
    </row>
    <row r="7" spans="1:36" ht="24">
      <c r="A7" s="3334" t="str">
        <f>IF(E2="商业",IF(C8="不临58条商业街","",2),"")</f>
        <v/>
      </c>
      <c r="B7" s="2210" t="s">
        <v>2650</v>
      </c>
      <c r="C7" s="858" t="e">
        <f>IF(C8="不临58条商业街",1,ROUND(1+(1.6*E8+1.2*E9+0.8*E10+0.4*E11)*C9,4))</f>
        <v>#DIV/0!</v>
      </c>
      <c r="D7" s="2211" t="s">
        <v>2651</v>
      </c>
      <c r="E7" s="882"/>
      <c r="F7" s="2212"/>
      <c r="G7" s="2213"/>
      <c r="H7" s="2213"/>
      <c r="I7" s="2213"/>
      <c r="J7" s="2214"/>
      <c r="K7" s="1569"/>
      <c r="L7" s="2191"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ca="1" si="0"/>
        <v>4695</v>
      </c>
      <c r="U7" s="1375"/>
      <c r="V7" s="1374">
        <f t="shared" ca="1" si="1"/>
        <v>0</v>
      </c>
      <c r="W7" s="1543" t="s">
        <v>2653</v>
      </c>
      <c r="X7" s="1376" t="str">
        <f>G2</f>
        <v>八级</v>
      </c>
      <c r="Y7" s="1376" t="s">
        <v>2654</v>
      </c>
      <c r="Z7" s="1377">
        <f>G3</f>
        <v>1.61</v>
      </c>
      <c r="AA7" s="1378"/>
      <c r="AB7" s="1378"/>
      <c r="AC7" s="1379"/>
      <c r="AD7" s="1380"/>
      <c r="AE7" s="1380"/>
      <c r="AF7" s="1380"/>
      <c r="AG7" s="1380"/>
      <c r="AH7" s="1380"/>
      <c r="AI7" s="1380"/>
      <c r="AJ7" s="1381"/>
    </row>
    <row r="8" spans="1:36" ht="15">
      <c r="A8" s="3335"/>
      <c r="B8" s="175" t="s">
        <v>2655</v>
      </c>
      <c r="C8" s="2215"/>
      <c r="D8" s="859" t="s">
        <v>139</v>
      </c>
      <c r="E8" s="860" t="e">
        <f>ROUND(C11/E7,4)</f>
        <v>#DIV/0!</v>
      </c>
      <c r="F8" s="2216" t="s">
        <v>2656</v>
      </c>
      <c r="G8" s="2217"/>
      <c r="H8" s="2217"/>
      <c r="I8" s="2217"/>
      <c r="J8" s="2218"/>
      <c r="K8" s="1280"/>
      <c r="L8" s="2191" t="s">
        <v>2657</v>
      </c>
      <c r="M8" s="995">
        <f>SUMPRODUCT((区片价!B206:B244=I2)*(区片价!C3:F3=E2)*(区片价!C206:F244))</f>
        <v>5520</v>
      </c>
      <c r="N8" s="997">
        <f>SUMPRODUCT((因素修正幅度!B206:B244=I2)*(因素修正幅度!C3:F3=E2)*(因素修正幅度!C206:F244))</f>
        <v>0.15</v>
      </c>
      <c r="O8" s="1280"/>
      <c r="P8" s="1280"/>
      <c r="Q8" s="1280"/>
      <c r="R8" s="1374">
        <v>7</v>
      </c>
      <c r="S8" s="1375"/>
      <c r="T8" s="1374">
        <f t="shared" ca="1" si="0"/>
        <v>0</v>
      </c>
      <c r="U8" s="1375"/>
      <c r="V8" s="1374">
        <f t="shared" ca="1" si="1"/>
        <v>0</v>
      </c>
      <c r="W8" s="3327" t="s">
        <v>2658</v>
      </c>
      <c r="X8" s="3328"/>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35"/>
      <c r="B9" s="175" t="s">
        <v>2671</v>
      </c>
      <c r="C9" s="861">
        <f>SUMIF(修正!C59:C119,C8,修正!E59:E119)</f>
        <v>0</v>
      </c>
      <c r="D9" s="176" t="s">
        <v>140</v>
      </c>
      <c r="E9" s="176" t="e">
        <f>ROUND(C11/E7,4)</f>
        <v>#DIV/0!</v>
      </c>
      <c r="F9" s="2216" t="s">
        <v>2672</v>
      </c>
      <c r="G9" s="2217"/>
      <c r="H9" s="2217"/>
      <c r="I9" s="2217"/>
      <c r="J9" s="2218"/>
      <c r="K9" s="1280"/>
      <c r="L9" s="2191"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29" t="s">
        <v>2674</v>
      </c>
      <c r="X9" s="1383" t="s">
        <v>2675</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35"/>
      <c r="B10" s="175" t="s">
        <v>2676</v>
      </c>
      <c r="C10" s="176">
        <f>SUMIF(修正!C59:C119,C8,修正!F59:F119)</f>
        <v>0</v>
      </c>
      <c r="D10" s="176" t="s">
        <v>141</v>
      </c>
      <c r="E10" s="176" t="e">
        <f>ROUND(C11/E7,4)</f>
        <v>#DIV/0!</v>
      </c>
      <c r="F10" s="2216" t="s">
        <v>2677</v>
      </c>
      <c r="G10" s="2217"/>
      <c r="H10" s="2217"/>
      <c r="I10" s="2217"/>
      <c r="J10" s="2218"/>
      <c r="K10" s="1280"/>
      <c r="L10" s="2191"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2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35"/>
      <c r="B11" s="2219" t="s">
        <v>2679</v>
      </c>
      <c r="C11" s="862">
        <f>C10/4</f>
        <v>0</v>
      </c>
      <c r="D11" s="862" t="s">
        <v>142</v>
      </c>
      <c r="E11" s="862" t="e">
        <f>ROUND(C11/E7,4)</f>
        <v>#DIV/0!</v>
      </c>
      <c r="F11" s="2220" t="s">
        <v>2680</v>
      </c>
      <c r="G11" s="2221"/>
      <c r="H11" s="2221"/>
      <c r="I11" s="2221"/>
      <c r="J11" s="2222"/>
      <c r="K11" s="1280"/>
      <c r="L11" s="2191"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29" t="s">
        <v>2682</v>
      </c>
      <c r="X11" s="1386" t="s">
        <v>2683</v>
      </c>
      <c r="Y11" s="1387">
        <f>$G$3</f>
        <v>1.61</v>
      </c>
      <c r="Z11" s="1387">
        <f t="shared" ref="Z11:AJ11" si="3">$G$3</f>
        <v>1.61</v>
      </c>
      <c r="AA11" s="1387">
        <f t="shared" si="3"/>
        <v>1.61</v>
      </c>
      <c r="AB11" s="1387">
        <f t="shared" si="3"/>
        <v>1.61</v>
      </c>
      <c r="AC11" s="1387">
        <f t="shared" si="3"/>
        <v>1.61</v>
      </c>
      <c r="AD11" s="1387">
        <f t="shared" si="3"/>
        <v>1.61</v>
      </c>
      <c r="AE11" s="1387">
        <f t="shared" si="3"/>
        <v>1.61</v>
      </c>
      <c r="AF11" s="1387">
        <f t="shared" si="3"/>
        <v>1.61</v>
      </c>
      <c r="AG11" s="1387">
        <f t="shared" si="3"/>
        <v>1.61</v>
      </c>
      <c r="AH11" s="1387">
        <f t="shared" si="3"/>
        <v>1.61</v>
      </c>
      <c r="AI11" s="1387">
        <f t="shared" si="3"/>
        <v>1.61</v>
      </c>
      <c r="AJ11" s="1387">
        <f t="shared" si="3"/>
        <v>1.61</v>
      </c>
    </row>
    <row r="12" spans="1:36" ht="25.5" thickBot="1">
      <c r="A12" s="3334" t="s">
        <v>2684</v>
      </c>
      <c r="B12" s="2223" t="s">
        <v>2685</v>
      </c>
      <c r="C12" s="858">
        <f>ROUND(C15*D15*E15*F15*G15*H15*I15*J15,4)</f>
        <v>1.1000000000000001</v>
      </c>
      <c r="D12" s="2224" t="s">
        <v>2686</v>
      </c>
      <c r="E12" s="2225"/>
      <c r="F12" s="2225"/>
      <c r="G12" s="2226"/>
      <c r="H12" s="2226"/>
      <c r="I12" s="2226"/>
      <c r="J12" s="2227"/>
      <c r="K12" s="1280"/>
      <c r="L12" s="2228"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29"/>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36"/>
      <c r="B13" s="2229" t="s">
        <v>2689</v>
      </c>
      <c r="C13" s="2230" t="s">
        <v>2690</v>
      </c>
      <c r="D13" s="1535" t="s">
        <v>2691</v>
      </c>
      <c r="E13" s="1535" t="s">
        <v>2692</v>
      </c>
      <c r="F13" s="30" t="s">
        <v>2693</v>
      </c>
      <c r="G13" s="2231" t="s">
        <v>2694</v>
      </c>
      <c r="H13" s="2231" t="s">
        <v>2694</v>
      </c>
      <c r="I13" s="2231" t="s">
        <v>2694</v>
      </c>
      <c r="J13" s="2232" t="s">
        <v>2694</v>
      </c>
      <c r="K13" s="1280"/>
      <c r="L13" s="1280"/>
      <c r="M13" s="1280"/>
      <c r="N13" s="1280"/>
      <c r="O13" s="1280"/>
      <c r="P13" s="1280"/>
      <c r="Q13" s="1280"/>
      <c r="R13" s="1374">
        <v>12</v>
      </c>
      <c r="S13" s="1375"/>
      <c r="T13" s="1374">
        <f t="shared" ca="1" si="0"/>
        <v>0</v>
      </c>
      <c r="U13" s="1375"/>
      <c r="V13" s="1374">
        <f t="shared" ca="1" si="1"/>
        <v>0</v>
      </c>
      <c r="W13" s="3329"/>
      <c r="X13" s="1388"/>
      <c r="Y13" s="1385">
        <f>(-0.163*(Y12^2)-0.59*Y12+7617)*(10^(-4))/Y11</f>
        <v>0.47310559006211178</v>
      </c>
      <c r="Z13" s="1385">
        <f t="shared" ref="Z13:AJ13" si="5">(-0.163*(Z12^2)-0.59*Z12+7617)*(10^(-4))/Z11</f>
        <v>0.47310559006211178</v>
      </c>
      <c r="AA13" s="1385">
        <f t="shared" si="5"/>
        <v>0.47310559006211178</v>
      </c>
      <c r="AB13" s="1385">
        <f t="shared" si="5"/>
        <v>0.47310559006211178</v>
      </c>
      <c r="AC13" s="1385">
        <f t="shared" si="5"/>
        <v>0.47310559006211178</v>
      </c>
      <c r="AD13" s="1385">
        <f t="shared" si="5"/>
        <v>0.47310559006211178</v>
      </c>
      <c r="AE13" s="1385">
        <f t="shared" si="5"/>
        <v>0.47310559006211178</v>
      </c>
      <c r="AF13" s="1385">
        <f t="shared" si="5"/>
        <v>0.47310559006211178</v>
      </c>
      <c r="AG13" s="1385">
        <f t="shared" si="5"/>
        <v>0.47310559006211178</v>
      </c>
      <c r="AH13" s="1385">
        <f t="shared" si="5"/>
        <v>0.47310559006211178</v>
      </c>
      <c r="AI13" s="1385">
        <f t="shared" si="5"/>
        <v>0.47310559006211178</v>
      </c>
      <c r="AJ13" s="1385">
        <f t="shared" si="5"/>
        <v>0.47310559006211178</v>
      </c>
    </row>
    <row r="14" spans="1:36" ht="15">
      <c r="A14" s="3336"/>
      <c r="B14" s="2233"/>
      <c r="C14" s="2234" t="s">
        <v>3277</v>
      </c>
      <c r="D14" s="2235" t="s">
        <v>3283</v>
      </c>
      <c r="E14" s="2235"/>
      <c r="F14" s="2236"/>
      <c r="G14" s="2237" t="s">
        <v>2695</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37"/>
      <c r="B15" s="2241" t="s">
        <v>2696</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34" t="s">
        <v>2701</v>
      </c>
      <c r="B16" s="2210" t="s">
        <v>2702</v>
      </c>
      <c r="C16" s="2372">
        <f>ROUND(IF(F17="与级别开发程度一致",0,(G17-E17)/C17),0)</f>
        <v>47</v>
      </c>
      <c r="D16" s="3350" t="s">
        <v>2706</v>
      </c>
      <c r="E16" s="3351"/>
      <c r="F16" s="3350" t="s">
        <v>2703</v>
      </c>
      <c r="G16" s="3351"/>
      <c r="H16" s="2242" t="s">
        <v>3285</v>
      </c>
      <c r="I16" s="2242" t="s">
        <v>3286</v>
      </c>
      <c r="J16" s="2376" t="s">
        <v>3287</v>
      </c>
      <c r="K16" s="2242" t="s">
        <v>3288</v>
      </c>
      <c r="L16" s="2242" t="s">
        <v>3289</v>
      </c>
      <c r="M16" s="2242" t="s">
        <v>3290</v>
      </c>
      <c r="N16" s="2242" t="s">
        <v>3291</v>
      </c>
      <c r="O16" s="2243" t="s">
        <v>3292</v>
      </c>
      <c r="P16" s="2184"/>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338"/>
      <c r="B17" s="2383" t="s">
        <v>2705</v>
      </c>
      <c r="C17" s="2384">
        <f>SUMPRODUCT((修正!A2:A5=E2)*(修正!B1:M1=G2)*(修正!B2:M5))</f>
        <v>1.5</v>
      </c>
      <c r="D17" s="193" t="str">
        <f>IF(OR(G2="八级",G2="九级",G2="十级",G2="十一级",G2="十二级"),"五通一平","七通一平")</f>
        <v>五通一平</v>
      </c>
      <c r="E17" s="2373">
        <f>SUMPRODUCT((修正!B1:M1=G2)*(修正!B15:M15))</f>
        <v>155</v>
      </c>
      <c r="F17" s="2374" t="s">
        <v>3284</v>
      </c>
      <c r="G17" s="2375">
        <f>SUM(H17:O17)</f>
        <v>225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40</v>
      </c>
      <c r="N17" s="2384">
        <f>SUMPRODUCT((七通一平=N16)*(修正!B1:M1=G2)*(修正!B6:M14))</f>
        <v>30</v>
      </c>
      <c r="O17" s="2386">
        <f>SUMPRODUCT((七通一平=O16)*(修正!B1:M1=G2)*(修正!B6:M14))</f>
        <v>10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2708</v>
      </c>
      <c r="C18" s="2379">
        <f>SUMIF(修正!C18:C39,E3,修正!E18:E39)</f>
        <v>1</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9.25" thickBot="1">
      <c r="A19" s="2247" t="s">
        <v>809</v>
      </c>
      <c r="B19" s="2248" t="s">
        <v>2709</v>
      </c>
      <c r="C19" s="863">
        <f>ROUND(IF(H19="按公示增长率计算",SUMPRODUCT((地价!A3:A33=YEAR(G19)&amp;"-"&amp;ROUNDUP(MONTH(G19)/3,0))*(地价!X2:AB2=E2)*(地价!X3:AB33)),IF(H19="地价指数",M20/M19,(1+I19)^O19)),4)</f>
        <v>1.6415999999999999</v>
      </c>
      <c r="D19" s="2252" t="s">
        <v>2710</v>
      </c>
      <c r="E19" s="864">
        <v>41640</v>
      </c>
      <c r="F19" s="2252" t="s">
        <v>2711</v>
      </c>
      <c r="G19" s="865">
        <f>'数据-取费表'!B2</f>
        <v>44256</v>
      </c>
      <c r="H19" s="2253" t="s">
        <v>3278</v>
      </c>
      <c r="I19" s="866" t="str">
        <f>IF(H19="季度增幅（自定义）",SUMIF(N21:N24,E2,O21:O24),"")</f>
        <v/>
      </c>
      <c r="J19" s="2250"/>
      <c r="K19" s="1287"/>
      <c r="L19" s="2254" t="s">
        <v>2712</v>
      </c>
      <c r="M19" s="1497">
        <f>ROUND(SUMIF(地价!B2:F2,E2,地价!B33:F33),0)</f>
        <v>423</v>
      </c>
      <c r="N19" s="2255"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810</v>
      </c>
      <c r="B20" s="2258" t="s">
        <v>2714</v>
      </c>
      <c r="C20" s="868">
        <f ca="1">ROUND(POWER(1+G20,J20-I20)*(POWER(1+G20,I20)-1)/(POWER(1+G20,J20)-1),4)</f>
        <v>1</v>
      </c>
      <c r="D20" s="2259" t="s">
        <v>2715</v>
      </c>
      <c r="E20" s="1506">
        <f ca="1">存贷款利率!D4/100</f>
        <v>3.85E-2</v>
      </c>
      <c r="F20" s="2259" t="s">
        <v>2707</v>
      </c>
      <c r="G20" s="873">
        <f ca="1">SUMIF(M26:P26,E2,M28:P28)</f>
        <v>4.3999999999999997E-2</v>
      </c>
      <c r="H20" s="2259" t="s">
        <v>2716</v>
      </c>
      <c r="I20" s="874">
        <f>SUMIF('数据-取费表'!C6:C15,E2,'数据-取费表'!F6:F15)/COUNTIF('数据-取费表'!C6:C15,E2)</f>
        <v>70</v>
      </c>
      <c r="J20" s="875">
        <f>IF(E2="住宅",70,IF(E2="商业",40,50))</f>
        <v>70</v>
      </c>
      <c r="K20" s="1287"/>
      <c r="L20" s="2260" t="s">
        <v>2717</v>
      </c>
      <c r="M20" s="1498">
        <f>ROUND(SUMPRODUCT((地价!A4:A33=YEAR(G19)&amp;"-"&amp;ROUNDUP(MONTH(G19)/3,0))*(地价!B2:F2=E2)*(地价!B4:F33)),0)</f>
        <v>694</v>
      </c>
      <c r="N20" s="2261" t="s">
        <v>2718</v>
      </c>
      <c r="O20" s="2262" t="s">
        <v>2719</v>
      </c>
      <c r="P20" s="2263" t="s">
        <v>2720</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811</v>
      </c>
      <c r="B21" s="2265" t="s">
        <v>3279</v>
      </c>
      <c r="C21" s="876">
        <f>IF(B21="容积率修正",IF(G3&lt;=10,D22,J22),C23)</f>
        <v>0.98070000000000002</v>
      </c>
      <c r="D21" s="2266"/>
      <c r="E21" s="2266"/>
      <c r="F21" s="2266"/>
      <c r="G21" s="2266"/>
      <c r="H21" s="2266"/>
      <c r="I21" s="2266"/>
      <c r="J21" s="2267"/>
      <c r="K21" s="1287"/>
      <c r="L21" s="3019"/>
      <c r="M21" s="3019"/>
      <c r="N21" s="2268" t="s">
        <v>2721</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2722</v>
      </c>
      <c r="B22" s="2269" t="s">
        <v>2723</v>
      </c>
      <c r="C22" s="1537" t="s">
        <v>2724</v>
      </c>
      <c r="D22" s="1537">
        <f>IF(E22=G22,F22,IF(G3&lt;=10,ROUND(F22+(H22-F22)*(G3-E22)/(G22-E22),4),"——"))</f>
        <v>0.98070000000000002</v>
      </c>
      <c r="E22" s="855">
        <f>ROUNDDOWN(G3,1)</f>
        <v>1.6</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855">
        <f>ROUNDUP(G3,1)</f>
        <v>1.7000000000000002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0.96579999999999999</v>
      </c>
      <c r="I22" s="1537" t="s">
        <v>155</v>
      </c>
      <c r="J22" s="877" t="str">
        <f>IF(G3&gt;10,D113,"——")</f>
        <v>——</v>
      </c>
      <c r="K22" s="1287"/>
      <c r="L22" s="3019"/>
      <c r="M22" s="3019"/>
      <c r="N22" s="2268" t="s">
        <v>2725</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2726</v>
      </c>
      <c r="B23" s="2270" t="s">
        <v>2727</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2728</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2729</v>
      </c>
      <c r="C24" s="863">
        <f>SUMIF(A45:A88,E2,B45:B88)</f>
        <v>1.0328999999999999</v>
      </c>
      <c r="D24" s="2249"/>
      <c r="E24" s="2276"/>
      <c r="F24" s="2276"/>
      <c r="G24" s="2276"/>
      <c r="H24" s="2276"/>
      <c r="I24" s="2276"/>
      <c r="J24" s="2277"/>
      <c r="K24" s="1287"/>
      <c r="L24" s="3019"/>
      <c r="M24" s="3019"/>
      <c r="N24" s="2278" t="s">
        <v>2730</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813</v>
      </c>
      <c r="B25" s="2279" t="s">
        <v>2731</v>
      </c>
      <c r="C25" s="869"/>
      <c r="D25" s="2213"/>
      <c r="E25" s="2213"/>
      <c r="F25" s="2280"/>
      <c r="G25" s="2213"/>
      <c r="H25" s="2213"/>
      <c r="I25" s="2213"/>
      <c r="J25" s="2214"/>
      <c r="K25" s="1280"/>
      <c r="L25" s="2184"/>
      <c r="M25" s="2184"/>
      <c r="N25" s="3014" t="s">
        <v>2732</v>
      </c>
      <c r="O25" s="3015"/>
      <c r="P25" s="3016">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2733</v>
      </c>
      <c r="C26" s="2543">
        <f ca="1">IF(B21="容积率修正",E29+SUM(E33:E39),SUM(V2:V16)+SUM(E33:E39))</f>
        <v>14211</v>
      </c>
      <c r="D26" s="2282"/>
      <c r="E26" s="2238"/>
      <c r="F26" s="2283"/>
      <c r="G26" s="2238"/>
      <c r="H26" s="2238"/>
      <c r="I26" s="2238"/>
      <c r="J26" s="2284"/>
      <c r="K26" s="1280"/>
      <c r="L26" s="3017" t="s">
        <v>2633</v>
      </c>
      <c r="M26" s="2211" t="s">
        <v>2697</v>
      </c>
      <c r="N26" s="2211" t="s">
        <v>2698</v>
      </c>
      <c r="O26" s="2211" t="s">
        <v>2699</v>
      </c>
      <c r="P26" s="3018" t="s">
        <v>2700</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2734</v>
      </c>
      <c r="C27" s="870">
        <f ca="1">E30+SUM(I33:I39)</f>
        <v>3553</v>
      </c>
      <c r="D27" s="2286"/>
      <c r="E27" s="2287"/>
      <c r="F27" s="2288"/>
      <c r="G27" s="2287"/>
      <c r="H27" s="2287"/>
      <c r="I27" s="2287"/>
      <c r="J27" s="2289"/>
      <c r="K27" s="1280"/>
      <c r="L27" s="2244"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2735</v>
      </c>
      <c r="C28" s="2292" t="s">
        <v>2736</v>
      </c>
      <c r="D28" s="2292" t="s">
        <v>2737</v>
      </c>
      <c r="E28" s="2293" t="s">
        <v>2738</v>
      </c>
      <c r="F28" s="2294"/>
      <c r="G28" s="2226"/>
      <c r="H28" s="2226"/>
      <c r="I28" s="2226"/>
      <c r="J28" s="2227"/>
      <c r="K28" s="1280"/>
      <c r="L28" s="2245" t="s">
        <v>2707</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2739</v>
      </c>
      <c r="C29" s="180">
        <f ca="1">ROUND(C5*C18*C19*C20*C21*C24,0)</f>
        <v>10175</v>
      </c>
      <c r="D29" s="2297">
        <f>'数据-基础表'!I5</f>
        <v>13966.28</v>
      </c>
      <c r="E29" s="879">
        <f ca="1">ROUND(C29*D29/10000,0)</f>
        <v>14211</v>
      </c>
      <c r="F29" s="2298" t="s">
        <v>2740</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2741</v>
      </c>
      <c r="C30" s="193">
        <f ca="1">ROUND(IF(E2="工业",C29*M39,C29*M38),0)</f>
        <v>2544</v>
      </c>
      <c r="D30" s="2303">
        <f>D29</f>
        <v>13966.28</v>
      </c>
      <c r="E30" s="879">
        <f ca="1">ROUND(C30*D30/10000,0)</f>
        <v>3553</v>
      </c>
      <c r="F30" s="2304" t="s">
        <v>2742</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2743</v>
      </c>
      <c r="C31" s="2309" t="s">
        <v>2744</v>
      </c>
      <c r="D31" s="2226"/>
      <c r="E31" s="2309"/>
      <c r="F31" s="2309"/>
      <c r="G31" s="2224" t="s">
        <v>2745</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2736</v>
      </c>
      <c r="D32" s="455" t="s">
        <v>2737</v>
      </c>
      <c r="E32" s="455" t="s">
        <v>2738</v>
      </c>
      <c r="F32" s="348" t="s">
        <v>2746</v>
      </c>
      <c r="G32" s="2312" t="s">
        <v>2736</v>
      </c>
      <c r="H32" s="2312" t="s">
        <v>2737</v>
      </c>
      <c r="I32" s="2312"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47"/>
      <c r="B33" s="2313" t="s">
        <v>2747</v>
      </c>
      <c r="C33" s="180">
        <f ca="1">ROUND(D5*C19*C20*C24*F33,0)</f>
        <v>5664</v>
      </c>
      <c r="D33" s="2297"/>
      <c r="E33" s="176">
        <f ca="1">ROUND(C33*D33/10000,0)</f>
        <v>0</v>
      </c>
      <c r="F33" s="176">
        <f>SUMIF(修正!A45:A56,G2,修正!B45:B56)</f>
        <v>0.6</v>
      </c>
      <c r="G33" s="176">
        <f t="shared" ref="G33" ca="1" si="6">ROUND(IF(E2="工业",C33*$M$39,C33*$M$38),0)</f>
        <v>1416</v>
      </c>
      <c r="H33" s="176">
        <f>D33</f>
        <v>0</v>
      </c>
      <c r="I33" s="176">
        <f ca="1">ROUND(G33*H33/10000,0)</f>
        <v>0</v>
      </c>
      <c r="J33" s="3352"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48"/>
      <c r="B34" s="2230" t="s">
        <v>2748</v>
      </c>
      <c r="C34" s="180">
        <f ca="1">ROUND(D5*C19*C20*C24*F34,0)</f>
        <v>2832</v>
      </c>
      <c r="D34" s="2297"/>
      <c r="E34" s="176">
        <f t="shared" ref="E34:E39" ca="1" si="7">ROUND(C34*D34/10000,0)</f>
        <v>0</v>
      </c>
      <c r="F34" s="176">
        <f>SUMIF(修正!A45:A56,G2,修正!C45:C56)</f>
        <v>0.3</v>
      </c>
      <c r="G34" s="176">
        <f ca="1">ROUND(IF(E2="工业",C34*$M$39,C34*$M$38),0)</f>
        <v>708</v>
      </c>
      <c r="H34" s="176">
        <f t="shared" ref="H34:H39" si="8">D34</f>
        <v>0</v>
      </c>
      <c r="I34" s="176">
        <f t="shared" ref="I34:I39" ca="1" si="9">ROUND(G34*H34/10000,0)</f>
        <v>0</v>
      </c>
      <c r="J34" s="334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48"/>
      <c r="B35" s="2230" t="s">
        <v>2749</v>
      </c>
      <c r="C35" s="180">
        <f ca="1">ROUND(D5*C19*C20*C24*F35,0)</f>
        <v>1888</v>
      </c>
      <c r="D35" s="2297"/>
      <c r="E35" s="176">
        <f t="shared" ca="1" si="7"/>
        <v>0</v>
      </c>
      <c r="F35" s="176">
        <f>SUMIF(修正!A45:A56,G2,修正!D45:D56)</f>
        <v>0.2</v>
      </c>
      <c r="G35" s="176">
        <f ca="1">ROUND(IF(E2="工业",C35*$M$39,C35*$M$38),0)</f>
        <v>472</v>
      </c>
      <c r="H35" s="176">
        <f t="shared" si="8"/>
        <v>0</v>
      </c>
      <c r="I35" s="176">
        <f t="shared" ca="1" si="9"/>
        <v>0</v>
      </c>
      <c r="J35" s="334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49"/>
      <c r="B36" s="2230" t="s">
        <v>2750</v>
      </c>
      <c r="C36" s="180">
        <f ca="1">ROUND(D5*C19*C20*C24*F36,0)</f>
        <v>1888</v>
      </c>
      <c r="D36" s="2297"/>
      <c r="E36" s="176">
        <f t="shared" ca="1" si="7"/>
        <v>0</v>
      </c>
      <c r="F36" s="176">
        <f>SUMIF(修正!A45:A56,G2,修正!E45:E56)</f>
        <v>0.2</v>
      </c>
      <c r="G36" s="176">
        <f ca="1">ROUND(IF(E2="工业",C36*$M$39,C36*$M$38),0)</f>
        <v>472</v>
      </c>
      <c r="H36" s="176">
        <f t="shared" si="8"/>
        <v>0</v>
      </c>
      <c r="I36" s="176">
        <f t="shared" ca="1" si="9"/>
        <v>0</v>
      </c>
      <c r="J36" s="334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2751</v>
      </c>
      <c r="C37" s="176">
        <f ca="1">ROUND(D5*C19*C20*C24*F37,0)</f>
        <v>1888</v>
      </c>
      <c r="D37" s="2297"/>
      <c r="E37" s="176">
        <f t="shared" ca="1" si="7"/>
        <v>0</v>
      </c>
      <c r="F37" s="180">
        <f>SUMIF(修正!A45:A56,G2,修正!F45:F56)</f>
        <v>0.2</v>
      </c>
      <c r="G37" s="176">
        <f ca="1">ROUND(IF(E2="工业",C37*$M$39,C37*$M$38),0)</f>
        <v>472</v>
      </c>
      <c r="H37" s="176">
        <f t="shared" si="8"/>
        <v>0</v>
      </c>
      <c r="I37" s="176">
        <f t="shared" ca="1" si="9"/>
        <v>0</v>
      </c>
      <c r="J37" s="2314"/>
      <c r="K37" s="1280"/>
      <c r="L37" s="2316" t="s">
        <v>2752</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2753</v>
      </c>
      <c r="C38" s="176">
        <f ca="1">ROUND(D5*C19*C41*C24*F38,0)</f>
        <v>1888</v>
      </c>
      <c r="D38" s="2297">
        <f>'数据-取费表'!K7</f>
        <v>0</v>
      </c>
      <c r="E38" s="176">
        <f t="shared" ca="1" si="7"/>
        <v>0</v>
      </c>
      <c r="F38" s="180">
        <f>SUMIF(修正!A45:A56,G2,修正!G45:G56)</f>
        <v>0.2</v>
      </c>
      <c r="G38" s="176">
        <f ca="1">ROUND(IF(E2="工业",C38*$M$39,C38*$M$38),0)</f>
        <v>472</v>
      </c>
      <c r="H38" s="176">
        <f t="shared" si="8"/>
        <v>0</v>
      </c>
      <c r="I38" s="176">
        <f t="shared" ca="1" si="9"/>
        <v>0</v>
      </c>
      <c r="J38" s="2314"/>
      <c r="K38" s="1280"/>
      <c r="L38" s="1606" t="s">
        <v>2754</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2755</v>
      </c>
      <c r="C39" s="193">
        <f ca="1">ROUND(D5*C19*C41*C24*F39,0)</f>
        <v>1416</v>
      </c>
      <c r="D39" s="2303"/>
      <c r="E39" s="193">
        <f t="shared" ca="1" si="7"/>
        <v>0</v>
      </c>
      <c r="F39" s="871">
        <f>SUMIF(修正!A45:A56,G2,修正!H45:H56)</f>
        <v>0.15</v>
      </c>
      <c r="G39" s="193">
        <f ca="1">ROUND(IF(E2="工业",C39*$M$39,C39*$M$38),0)</f>
        <v>354</v>
      </c>
      <c r="H39" s="193">
        <f t="shared" si="8"/>
        <v>0</v>
      </c>
      <c r="I39" s="193">
        <f t="shared" ca="1" si="9"/>
        <v>0</v>
      </c>
      <c r="J39" s="2320"/>
      <c r="K39" s="1280"/>
      <c r="L39" s="2321" t="s">
        <v>2700</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2860</v>
      </c>
      <c r="C41" s="348">
        <f ca="1">ROUND(POWER(1+E41,H41-G41)*(POWER(1+E41,G41)-1)/(POWER(1+E41,H41)-1),4)</f>
        <v>1</v>
      </c>
      <c r="D41" s="176" t="s">
        <v>2707</v>
      </c>
      <c r="E41" s="2370">
        <f ca="1">G20</f>
        <v>4.3999999999999997E-2</v>
      </c>
      <c r="F41" s="176" t="s">
        <v>2716</v>
      </c>
      <c r="G41" s="189">
        <v>50</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2756</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2757</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2758</v>
      </c>
      <c r="B47" s="1536" t="s">
        <v>2759</v>
      </c>
      <c r="C47" s="1536" t="s">
        <v>2760</v>
      </c>
      <c r="D47" s="1536" t="s">
        <v>2761</v>
      </c>
      <c r="E47" s="758" t="s">
        <v>2762</v>
      </c>
      <c r="F47" s="2331" t="s">
        <v>2763</v>
      </c>
      <c r="G47" s="1536" t="s">
        <v>754</v>
      </c>
      <c r="H47" s="2332" t="s">
        <v>2764</v>
      </c>
      <c r="I47" s="1536"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0" t="s">
        <v>2766</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2767</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2768</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2769</v>
      </c>
      <c r="B51" s="2335" t="s">
        <v>2770</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2771</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2772</v>
      </c>
      <c r="B53" s="2336" t="s">
        <v>2773</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2774</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2775</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2776</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2777</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2758</v>
      </c>
      <c r="B58" s="1536"/>
      <c r="C58" s="1536" t="s">
        <v>2760</v>
      </c>
      <c r="D58" s="1536" t="s">
        <v>2761</v>
      </c>
      <c r="E58" s="758" t="s">
        <v>2762</v>
      </c>
      <c r="F58" s="2331" t="s">
        <v>2778</v>
      </c>
      <c r="G58" s="1536" t="s">
        <v>754</v>
      </c>
      <c r="H58" s="2332" t="s">
        <v>2764</v>
      </c>
      <c r="I58" s="1536"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0" t="s">
        <v>2779</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2767</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2768</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2769</v>
      </c>
      <c r="B62" s="2335" t="s">
        <v>2770</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2771</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2772</v>
      </c>
      <c r="B64" s="2336" t="s">
        <v>2773</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2774</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2775</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2776</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2780</v>
      </c>
      <c r="B68" s="2327">
        <f>1+E70</f>
        <v>1.0328999999999999</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2758</v>
      </c>
      <c r="B69" s="1536"/>
      <c r="C69" s="1536" t="s">
        <v>2760</v>
      </c>
      <c r="D69" s="1536" t="s">
        <v>2761</v>
      </c>
      <c r="E69" s="758" t="s">
        <v>2762</v>
      </c>
      <c r="F69" s="2331" t="s">
        <v>2778</v>
      </c>
      <c r="G69" s="1536" t="s">
        <v>754</v>
      </c>
      <c r="H69" s="2332" t="s">
        <v>2764</v>
      </c>
      <c r="I69" s="1536"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0" t="s">
        <v>2781</v>
      </c>
      <c r="B70" s="2333" t="str">
        <f>估价对象房地状况!C15</f>
        <v>估价对象周边居住用地比例、居住小区规模和社区发展完善程度，综合评价居住社区成熟度一般</v>
      </c>
      <c r="C70" s="2235" t="s">
        <v>3136</v>
      </c>
      <c r="D70" s="1196">
        <f t="shared" ref="D70:D78" si="20">SUMIF($J$69:$N$69,C70,J70:N70)</f>
        <v>0</v>
      </c>
      <c r="E70" s="760">
        <f>ROUND(SUM(D70:D78),4)</f>
        <v>3.2899999999999999E-2</v>
      </c>
      <c r="F70" s="2001">
        <f>IF(E2="住宅",SUMIF(L1:L12,G2,N1:N12),"——")</f>
        <v>0.15</v>
      </c>
      <c r="G70" s="1194">
        <f>H70</f>
        <v>1.0500000000000001E-2</v>
      </c>
      <c r="H70" s="1198">
        <f t="shared" ref="H70:H78" si="21">IFERROR(ROUNDDOWN($F$70*I70/2,4),"——")</f>
        <v>1.0500000000000001E-2</v>
      </c>
      <c r="I70" s="759">
        <v>0.14000000000000001</v>
      </c>
      <c r="J70" s="1195">
        <f t="shared" ref="J70:J78" si="22">K70+$G70</f>
        <v>2.1000000000000001E-2</v>
      </c>
      <c r="K70" s="1195">
        <f t="shared" ref="K70:K78" si="23">$L70+$G70</f>
        <v>1.0500000000000001E-2</v>
      </c>
      <c r="L70" s="1195">
        <v>0</v>
      </c>
      <c r="M70" s="1195">
        <f t="shared" ref="M70:N78" si="24">L70-$G70</f>
        <v>-1.0500000000000001E-2</v>
      </c>
      <c r="N70" s="1195">
        <f t="shared" si="24"/>
        <v>-2.1000000000000001E-2</v>
      </c>
      <c r="AA70" s="1281"/>
      <c r="AB70" s="1281"/>
      <c r="AC70" s="1281"/>
      <c r="AD70" s="1281"/>
      <c r="AE70" s="1281"/>
      <c r="AF70" s="1281"/>
      <c r="AG70" s="1281"/>
      <c r="AH70" s="1281"/>
      <c r="AI70" s="1281"/>
      <c r="AJ70" s="1281"/>
      <c r="AK70" s="1281"/>
    </row>
    <row r="71" spans="1:37" s="1280" customFormat="1" ht="51">
      <c r="A71" s="2330" t="s">
        <v>2767</v>
      </c>
      <c r="B71" s="2334" t="str">
        <f>估价对象房地状况!C18</f>
        <v>估价对象周边道路状况、公共交通通达情况、停车便捷程度，综合评价交通便捷度较好</v>
      </c>
      <c r="C71" s="2235" t="s">
        <v>3136</v>
      </c>
      <c r="D71" s="1196">
        <f t="shared" si="20"/>
        <v>0</v>
      </c>
      <c r="E71" s="765"/>
      <c r="F71" s="2001"/>
      <c r="G71" s="1194">
        <f t="shared" ref="G71:G78" si="25">H71</f>
        <v>2.2499999999999999E-2</v>
      </c>
      <c r="H71" s="1198">
        <f t="shared" si="21"/>
        <v>2.2499999999999999E-2</v>
      </c>
      <c r="I71" s="759">
        <v>0.3</v>
      </c>
      <c r="J71" s="1195">
        <f t="shared" si="22"/>
        <v>4.4999999999999998E-2</v>
      </c>
      <c r="K71" s="1195">
        <f t="shared" si="23"/>
        <v>2.2499999999999999E-2</v>
      </c>
      <c r="L71" s="1195">
        <v>0</v>
      </c>
      <c r="M71" s="1195">
        <f t="shared" si="24"/>
        <v>-2.2499999999999999E-2</v>
      </c>
      <c r="N71" s="1195">
        <f t="shared" si="24"/>
        <v>-4.4999999999999998E-2</v>
      </c>
      <c r="AA71" s="1281"/>
      <c r="AB71" s="1281"/>
      <c r="AC71" s="1281"/>
      <c r="AD71" s="1281"/>
      <c r="AE71" s="1281"/>
      <c r="AF71" s="1281"/>
      <c r="AG71" s="1281"/>
      <c r="AH71" s="1281"/>
      <c r="AI71" s="1281"/>
      <c r="AJ71" s="1281"/>
      <c r="AK71" s="1281"/>
    </row>
    <row r="72" spans="1:37" s="1280" customFormat="1" ht="24">
      <c r="A72" s="2330" t="s">
        <v>2768</v>
      </c>
      <c r="B72" s="2334">
        <f>估价对象房地状况!C19</f>
        <v>0</v>
      </c>
      <c r="C72" s="2235" t="s">
        <v>3136</v>
      </c>
      <c r="D72" s="1196">
        <f t="shared" si="20"/>
        <v>0</v>
      </c>
      <c r="E72" s="765"/>
      <c r="F72" s="2001"/>
      <c r="G72" s="1194">
        <f t="shared" si="25"/>
        <v>6.0000000000000001E-3</v>
      </c>
      <c r="H72" s="1198">
        <f t="shared" si="21"/>
        <v>6.0000000000000001E-3</v>
      </c>
      <c r="I72" s="759">
        <v>0.08</v>
      </c>
      <c r="J72" s="1195">
        <f t="shared" si="22"/>
        <v>1.2E-2</v>
      </c>
      <c r="K72" s="1195">
        <f t="shared" si="23"/>
        <v>6.0000000000000001E-3</v>
      </c>
      <c r="L72" s="1195">
        <v>0</v>
      </c>
      <c r="M72" s="1195">
        <f t="shared" si="24"/>
        <v>-6.0000000000000001E-3</v>
      </c>
      <c r="N72" s="1195">
        <f t="shared" si="24"/>
        <v>-1.2E-2</v>
      </c>
      <c r="AA72" s="1281"/>
      <c r="AB72" s="1281"/>
      <c r="AC72" s="1281"/>
      <c r="AD72" s="1281"/>
      <c r="AE72" s="1281"/>
      <c r="AF72" s="1281"/>
      <c r="AG72" s="1281"/>
      <c r="AH72" s="1281"/>
      <c r="AI72" s="1281"/>
      <c r="AJ72" s="1281"/>
      <c r="AK72" s="1281"/>
    </row>
    <row r="73" spans="1:37" s="1280" customFormat="1" ht="14.25">
      <c r="A73" s="2330" t="s">
        <v>2782</v>
      </c>
      <c r="B73" s="2334">
        <f>估价对象房地状况!C24</f>
        <v>0</v>
      </c>
      <c r="C73" s="2235" t="s">
        <v>3136</v>
      </c>
      <c r="D73" s="1196">
        <f t="shared" si="20"/>
        <v>0</v>
      </c>
      <c r="E73" s="765"/>
      <c r="F73" s="2001"/>
      <c r="G73" s="1194">
        <f t="shared" si="25"/>
        <v>3.0000000000000001E-3</v>
      </c>
      <c r="H73" s="1198">
        <f t="shared" si="21"/>
        <v>3.0000000000000001E-3</v>
      </c>
      <c r="I73" s="759">
        <v>0.04</v>
      </c>
      <c r="J73" s="1195">
        <f t="shared" si="22"/>
        <v>6.0000000000000001E-3</v>
      </c>
      <c r="K73" s="1195">
        <f t="shared" si="23"/>
        <v>3.0000000000000001E-3</v>
      </c>
      <c r="L73" s="1195">
        <v>0</v>
      </c>
      <c r="M73" s="1195">
        <f t="shared" si="24"/>
        <v>-3.0000000000000001E-3</v>
      </c>
      <c r="N73" s="1195">
        <f t="shared" si="24"/>
        <v>-6.0000000000000001E-3</v>
      </c>
      <c r="AA73" s="1281"/>
      <c r="AB73" s="1281"/>
      <c r="AC73" s="1281"/>
      <c r="AD73" s="1281"/>
      <c r="AE73" s="1281"/>
      <c r="AF73" s="1281"/>
      <c r="AG73" s="1281"/>
      <c r="AH73" s="1281"/>
      <c r="AI73" s="1281"/>
      <c r="AJ73" s="1281"/>
      <c r="AK73" s="1281"/>
    </row>
    <row r="74" spans="1:37" s="1280" customFormat="1" ht="25.5">
      <c r="A74" s="2330" t="s">
        <v>2774</v>
      </c>
      <c r="B74" s="1495" t="str">
        <f>估价对象房地状况!C21</f>
        <v>估价对象所在区域公共配套设施齐备情况</v>
      </c>
      <c r="C74" s="2235" t="s">
        <v>3136</v>
      </c>
      <c r="D74" s="1196">
        <f t="shared" si="20"/>
        <v>0</v>
      </c>
      <c r="E74" s="765"/>
      <c r="F74" s="2001"/>
      <c r="G74" s="1194">
        <f t="shared" si="25"/>
        <v>6.0000000000000001E-3</v>
      </c>
      <c r="H74" s="1198">
        <f t="shared" si="21"/>
        <v>6.0000000000000001E-3</v>
      </c>
      <c r="I74" s="759">
        <v>0.08</v>
      </c>
      <c r="J74" s="1195">
        <f t="shared" si="22"/>
        <v>1.2E-2</v>
      </c>
      <c r="K74" s="1195">
        <f t="shared" si="23"/>
        <v>6.0000000000000001E-3</v>
      </c>
      <c r="L74" s="1195">
        <v>0</v>
      </c>
      <c r="M74" s="1195">
        <f t="shared" si="24"/>
        <v>-6.0000000000000001E-3</v>
      </c>
      <c r="N74" s="1195">
        <f t="shared" si="24"/>
        <v>-1.2E-2</v>
      </c>
      <c r="AA74" s="1281"/>
      <c r="AB74" s="1281"/>
      <c r="AC74" s="1281"/>
      <c r="AD74" s="1281"/>
      <c r="AE74" s="1281"/>
      <c r="AF74" s="1281"/>
      <c r="AG74" s="1281"/>
      <c r="AH74" s="1281"/>
      <c r="AI74" s="1281"/>
      <c r="AJ74" s="1281"/>
      <c r="AK74" s="1281"/>
    </row>
    <row r="75" spans="1:37" s="1280" customFormat="1" ht="25.5">
      <c r="A75" s="2330" t="s">
        <v>2775</v>
      </c>
      <c r="B75" s="1495" t="str">
        <f>估价对象房地状况!C22</f>
        <v>估价对象所在区域基础设施水平</v>
      </c>
      <c r="C75" s="2235" t="s">
        <v>3293</v>
      </c>
      <c r="D75" s="1196">
        <f t="shared" si="20"/>
        <v>1.7999999999999999E-2</v>
      </c>
      <c r="E75" s="765"/>
      <c r="F75" s="2001"/>
      <c r="G75" s="1194">
        <f t="shared" si="25"/>
        <v>8.9999999999999993E-3</v>
      </c>
      <c r="H75" s="1198">
        <f t="shared" si="21"/>
        <v>8.9999999999999993E-3</v>
      </c>
      <c r="I75" s="759">
        <v>0.12</v>
      </c>
      <c r="J75" s="1195">
        <f t="shared" si="22"/>
        <v>1.7999999999999999E-2</v>
      </c>
      <c r="K75" s="1195">
        <f t="shared" si="23"/>
        <v>8.9999999999999993E-3</v>
      </c>
      <c r="L75" s="1195">
        <v>0</v>
      </c>
      <c r="M75" s="1195">
        <f t="shared" si="24"/>
        <v>-8.9999999999999993E-3</v>
      </c>
      <c r="N75" s="1195">
        <f t="shared" si="24"/>
        <v>-1.7999999999999999E-2</v>
      </c>
      <c r="AA75" s="1281"/>
      <c r="AB75" s="1281"/>
      <c r="AC75" s="1281"/>
      <c r="AD75" s="1281"/>
      <c r="AE75" s="1281"/>
      <c r="AF75" s="1281"/>
      <c r="AG75" s="1281"/>
      <c r="AH75" s="1281"/>
      <c r="AI75" s="1281"/>
      <c r="AJ75" s="1281"/>
      <c r="AK75" s="1281"/>
    </row>
    <row r="76" spans="1:37" s="2184" customFormat="1" ht="24">
      <c r="A76" s="2330" t="s">
        <v>2772</v>
      </c>
      <c r="B76" s="2336" t="s">
        <v>2773</v>
      </c>
      <c r="C76" s="2235" t="s">
        <v>3137</v>
      </c>
      <c r="D76" s="1196">
        <f t="shared" si="20"/>
        <v>3.7000000000000002E-3</v>
      </c>
      <c r="E76" s="765"/>
      <c r="F76" s="2001"/>
      <c r="G76" s="1194">
        <f t="shared" si="25"/>
        <v>3.7000000000000002E-3</v>
      </c>
      <c r="H76" s="1198">
        <f t="shared" si="21"/>
        <v>3.7000000000000002E-3</v>
      </c>
      <c r="I76" s="759">
        <v>0.05</v>
      </c>
      <c r="J76" s="1195">
        <f t="shared" si="22"/>
        <v>7.4000000000000003E-3</v>
      </c>
      <c r="K76" s="1195">
        <f t="shared" si="23"/>
        <v>3.7000000000000002E-3</v>
      </c>
      <c r="L76" s="1195">
        <v>0</v>
      </c>
      <c r="M76" s="1195">
        <f t="shared" si="24"/>
        <v>-3.7000000000000002E-3</v>
      </c>
      <c r="N76" s="1195">
        <f t="shared" si="24"/>
        <v>-7.4000000000000003E-3</v>
      </c>
      <c r="AA76" s="2341"/>
      <c r="AB76" s="1281"/>
      <c r="AC76" s="1281"/>
      <c r="AD76" s="1281"/>
      <c r="AE76" s="1281"/>
      <c r="AF76" s="1281"/>
      <c r="AG76" s="1281"/>
      <c r="AH76" s="2341"/>
      <c r="AI76" s="2341"/>
      <c r="AJ76" s="2341"/>
      <c r="AK76" s="2341"/>
    </row>
    <row r="77" spans="1:37" ht="38.25">
      <c r="A77" s="2330" t="s">
        <v>2776</v>
      </c>
      <c r="B77" s="2333" t="str">
        <f>估价对象房地状况!C20</f>
        <v>区域自然环境：；人文环境；综合评价环境状况一般</v>
      </c>
      <c r="C77" s="2235" t="s">
        <v>3137</v>
      </c>
      <c r="D77" s="1196">
        <f t="shared" si="20"/>
        <v>1.12E-2</v>
      </c>
      <c r="E77" s="765"/>
      <c r="F77" s="2001"/>
      <c r="G77" s="1194">
        <f t="shared" si="25"/>
        <v>1.12E-2</v>
      </c>
      <c r="H77" s="1198">
        <f t="shared" si="21"/>
        <v>1.12E-2</v>
      </c>
      <c r="I77" s="759">
        <v>0.15</v>
      </c>
      <c r="J77" s="1195">
        <f t="shared" si="22"/>
        <v>2.24E-2</v>
      </c>
      <c r="K77" s="1195">
        <f t="shared" si="23"/>
        <v>1.12E-2</v>
      </c>
      <c r="L77" s="1195">
        <v>0</v>
      </c>
      <c r="M77" s="1195">
        <f t="shared" si="24"/>
        <v>-1.12E-2</v>
      </c>
      <c r="N77" s="1195">
        <f t="shared" si="24"/>
        <v>-2.24E-2</v>
      </c>
      <c r="Z77" s="2185"/>
      <c r="AA77" s="2251"/>
      <c r="AG77" s="1282"/>
      <c r="AK77" s="2251"/>
    </row>
    <row r="78" spans="1:37" ht="24.75" thickBot="1">
      <c r="A78" s="2338" t="s">
        <v>2783</v>
      </c>
      <c r="B78" s="2342"/>
      <c r="C78" s="2235" t="s">
        <v>3136</v>
      </c>
      <c r="D78" s="1196">
        <f t="shared" si="20"/>
        <v>0</v>
      </c>
      <c r="E78" s="766"/>
      <c r="F78" s="2001"/>
      <c r="G78" s="1194">
        <f t="shared" si="25"/>
        <v>3.0000000000000001E-3</v>
      </c>
      <c r="H78" s="1198">
        <f t="shared" si="21"/>
        <v>3.0000000000000001E-3</v>
      </c>
      <c r="I78" s="763">
        <v>0.04</v>
      </c>
      <c r="J78" s="1195">
        <f t="shared" si="22"/>
        <v>6.0000000000000001E-3</v>
      </c>
      <c r="K78" s="1195">
        <f t="shared" si="23"/>
        <v>3.0000000000000001E-3</v>
      </c>
      <c r="L78" s="1195">
        <v>0</v>
      </c>
      <c r="M78" s="1195">
        <f t="shared" si="24"/>
        <v>-3.0000000000000001E-3</v>
      </c>
      <c r="N78" s="1195">
        <f t="shared" si="24"/>
        <v>-6.0000000000000001E-3</v>
      </c>
      <c r="Z78" s="2185"/>
      <c r="AA78" s="2251"/>
      <c r="AG78" s="1282"/>
      <c r="AK78" s="2251"/>
    </row>
    <row r="79" spans="1:37" ht="15">
      <c r="A79" s="2326" t="s">
        <v>2784</v>
      </c>
      <c r="B79" s="2327">
        <f>1+E81</f>
        <v>1</v>
      </c>
      <c r="C79" s="753"/>
      <c r="D79" s="753"/>
      <c r="E79" s="754"/>
      <c r="F79" s="2329"/>
      <c r="G79" s="6"/>
      <c r="H79" s="6"/>
      <c r="I79" s="6"/>
      <c r="J79" s="7"/>
      <c r="K79" s="7"/>
      <c r="L79" s="7"/>
      <c r="M79" s="7"/>
      <c r="N79" s="7"/>
      <c r="Z79" s="2185"/>
      <c r="AA79" s="2251"/>
      <c r="AG79" s="1282"/>
      <c r="AK79" s="2251"/>
    </row>
    <row r="80" spans="1:37" ht="24.75">
      <c r="A80" s="2330" t="s">
        <v>2758</v>
      </c>
      <c r="B80" s="1536"/>
      <c r="C80" s="1536" t="s">
        <v>2760</v>
      </c>
      <c r="D80" s="1536" t="s">
        <v>2761</v>
      </c>
      <c r="E80" s="758" t="s">
        <v>2762</v>
      </c>
      <c r="F80" s="2331" t="s">
        <v>2778</v>
      </c>
      <c r="G80" s="1536" t="s">
        <v>754</v>
      </c>
      <c r="H80" s="2332" t="s">
        <v>2764</v>
      </c>
      <c r="I80" s="1536" t="s">
        <v>2765</v>
      </c>
      <c r="J80" s="560" t="s">
        <v>2416</v>
      </c>
      <c r="K80" s="560" t="s">
        <v>2417</v>
      </c>
      <c r="L80" s="560" t="s">
        <v>2418</v>
      </c>
      <c r="M80" s="560" t="s">
        <v>2419</v>
      </c>
      <c r="N80" s="560" t="s">
        <v>2420</v>
      </c>
      <c r="Z80" s="2185"/>
      <c r="AA80" s="2251"/>
      <c r="AG80" s="1282"/>
      <c r="AK80" s="2251"/>
    </row>
    <row r="81" spans="1:37" ht="38.25">
      <c r="A81" s="2330" t="s">
        <v>2785</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2767</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2768</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2782</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2774</v>
      </c>
      <c r="B85" s="1495"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2775</v>
      </c>
      <c r="B86" s="1495"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2772</v>
      </c>
      <c r="B87" s="2336" t="s">
        <v>2786</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2787</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339" t="s">
        <v>2788</v>
      </c>
      <c r="B90" s="3339"/>
      <c r="C90" s="3339"/>
      <c r="D90" s="3339"/>
      <c r="E90" s="3339"/>
      <c r="F90" s="3339"/>
      <c r="G90" s="3339"/>
      <c r="H90" s="3339"/>
      <c r="I90" s="3339"/>
      <c r="J90" s="3339"/>
      <c r="K90" s="2344"/>
      <c r="L90" s="2344"/>
      <c r="M90" s="2344"/>
      <c r="N90" s="2344"/>
    </row>
    <row r="91" spans="1:37">
      <c r="A91" s="3341" t="s">
        <v>2789</v>
      </c>
      <c r="B91" s="3341" t="s">
        <v>2790</v>
      </c>
      <c r="C91" s="2298" t="s">
        <v>2791</v>
      </c>
      <c r="D91" s="2299"/>
      <c r="E91" s="2299"/>
      <c r="F91" s="2299"/>
      <c r="G91" s="2299"/>
      <c r="H91" s="2299"/>
      <c r="I91" s="2299"/>
      <c r="J91" s="2345"/>
      <c r="K91" s="2346"/>
      <c r="L91" s="2346"/>
      <c r="M91" s="2346"/>
      <c r="N91" s="2346"/>
    </row>
    <row r="92" spans="1:37">
      <c r="A92" s="3341"/>
      <c r="B92" s="3341"/>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42" t="s">
        <v>2792</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4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4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4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4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4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43"/>
      <c r="B99" s="2347" t="s">
        <v>2675</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4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42" t="s">
        <v>2793</v>
      </c>
      <c r="B101" s="2351" t="s">
        <v>2794</v>
      </c>
      <c r="C101" s="2352">
        <f>$G$3</f>
        <v>1.61</v>
      </c>
      <c r="D101" s="2352">
        <f t="shared" ref="D101:N101" si="32">$G$3</f>
        <v>1.61</v>
      </c>
      <c r="E101" s="2352">
        <f t="shared" si="32"/>
        <v>1.61</v>
      </c>
      <c r="F101" s="2352">
        <f t="shared" si="32"/>
        <v>1.61</v>
      </c>
      <c r="G101" s="2352">
        <f t="shared" si="32"/>
        <v>1.61</v>
      </c>
      <c r="H101" s="2352">
        <f t="shared" si="32"/>
        <v>1.61</v>
      </c>
      <c r="I101" s="2352">
        <f t="shared" si="32"/>
        <v>1.61</v>
      </c>
      <c r="J101" s="2352">
        <f t="shared" si="32"/>
        <v>1.61</v>
      </c>
      <c r="K101" s="2352">
        <f t="shared" si="32"/>
        <v>1.61</v>
      </c>
      <c r="L101" s="2352">
        <f t="shared" si="32"/>
        <v>1.61</v>
      </c>
      <c r="M101" s="2352">
        <f t="shared" si="32"/>
        <v>1.61</v>
      </c>
      <c r="N101" s="2352">
        <f t="shared" si="32"/>
        <v>1.61</v>
      </c>
    </row>
    <row r="102" spans="1:14">
      <c r="A102" s="3343"/>
      <c r="B102" s="2347">
        <v>1</v>
      </c>
      <c r="C102" s="2348">
        <f>1.9362/C101</f>
        <v>1.2026086956521738</v>
      </c>
      <c r="D102" s="2348">
        <f>1.9362/D101</f>
        <v>1.2026086956521738</v>
      </c>
      <c r="E102" s="2348">
        <f>1.8629/E101</f>
        <v>1.1570807453416148</v>
      </c>
      <c r="F102" s="2348">
        <f>1.8629/F101</f>
        <v>1.1570807453416148</v>
      </c>
      <c r="G102" s="2348">
        <f>1.8629/G101</f>
        <v>1.1570807453416148</v>
      </c>
      <c r="H102" s="2348">
        <f>1.8629/H101</f>
        <v>1.1570807453416148</v>
      </c>
      <c r="I102" s="2348">
        <f>1.8629/I101</f>
        <v>1.1570807453416148</v>
      </c>
      <c r="J102" s="2348">
        <f>1.942/J101</f>
        <v>1.2062111801242235</v>
      </c>
      <c r="K102" s="2348">
        <f>1.942/K101</f>
        <v>1.2062111801242235</v>
      </c>
      <c r="L102" s="2348">
        <f>1.942/L101</f>
        <v>1.2062111801242235</v>
      </c>
      <c r="M102" s="2348">
        <f>1.942/M101</f>
        <v>1.2062111801242235</v>
      </c>
      <c r="N102" s="2348">
        <f>1.942/N101</f>
        <v>1.2062111801242235</v>
      </c>
    </row>
    <row r="103" spans="1:14">
      <c r="A103" s="3343"/>
      <c r="B103" s="2347">
        <v>2</v>
      </c>
      <c r="C103" s="2348">
        <f>1.4198/C101</f>
        <v>0.88186335403726701</v>
      </c>
      <c r="D103" s="2348">
        <f>1.4198/D101</f>
        <v>0.88186335403726701</v>
      </c>
      <c r="E103" s="2348">
        <f>1.3372/E101</f>
        <v>0.83055900621118006</v>
      </c>
      <c r="F103" s="2348">
        <f>1.3372/F101</f>
        <v>0.83055900621118006</v>
      </c>
      <c r="G103" s="2348">
        <f>1.3372/G101</f>
        <v>0.83055900621118006</v>
      </c>
      <c r="H103" s="2348">
        <f>1.3372/H101</f>
        <v>0.83055900621118006</v>
      </c>
      <c r="I103" s="2348">
        <f>1.3372/I101</f>
        <v>0.83055900621118006</v>
      </c>
      <c r="J103" s="2348">
        <f>1.2799/J101</f>
        <v>0.7949689440993789</v>
      </c>
      <c r="K103" s="2348">
        <f>1.2799/K101</f>
        <v>0.7949689440993789</v>
      </c>
      <c r="L103" s="2348">
        <f>1.2799/L101</f>
        <v>0.7949689440993789</v>
      </c>
      <c r="M103" s="2348">
        <f>1.2799/M101</f>
        <v>0.7949689440993789</v>
      </c>
      <c r="N103" s="2348">
        <f>1.2799/N101</f>
        <v>0.7949689440993789</v>
      </c>
    </row>
    <row r="104" spans="1:14">
      <c r="A104" s="3343"/>
      <c r="B104" s="2347">
        <v>3</v>
      </c>
      <c r="C104" s="2348">
        <f>1.1594/C101</f>
        <v>0.7201242236024844</v>
      </c>
      <c r="D104" s="2348">
        <f>1.1594/D101</f>
        <v>0.7201242236024844</v>
      </c>
      <c r="E104" s="2348">
        <f>1.0788/E101</f>
        <v>0.6700621118012422</v>
      </c>
      <c r="F104" s="2348">
        <f>1.0788/F101</f>
        <v>0.6700621118012422</v>
      </c>
      <c r="G104" s="2348">
        <f>1.0788/G101</f>
        <v>0.6700621118012422</v>
      </c>
      <c r="H104" s="2348">
        <f>1.0788/H101</f>
        <v>0.6700621118012422</v>
      </c>
      <c r="I104" s="2348">
        <f>1.0788/I101</f>
        <v>0.6700621118012422</v>
      </c>
      <c r="J104" s="2348">
        <f>1.0072/J101</f>
        <v>0.62559006211180124</v>
      </c>
      <c r="K104" s="2348">
        <f>1.0072/K101</f>
        <v>0.62559006211180124</v>
      </c>
      <c r="L104" s="2348">
        <f>1.0072/L101</f>
        <v>0.62559006211180124</v>
      </c>
      <c r="M104" s="2348">
        <f>1.0072/M101</f>
        <v>0.62559006211180124</v>
      </c>
      <c r="N104" s="2348">
        <f>1.0072/N101</f>
        <v>0.62559006211180124</v>
      </c>
    </row>
    <row r="105" spans="1:14">
      <c r="A105" s="3343"/>
      <c r="B105" s="2347">
        <v>4</v>
      </c>
      <c r="C105" s="2348">
        <f>0.9622/C101</f>
        <v>0.59763975155279503</v>
      </c>
      <c r="D105" s="2348">
        <f>0.9622/D101</f>
        <v>0.59763975155279503</v>
      </c>
      <c r="E105" s="2348">
        <f>0.8656/E101</f>
        <v>0.53763975155279498</v>
      </c>
      <c r="F105" s="2348">
        <f>0.8656/F101</f>
        <v>0.53763975155279498</v>
      </c>
      <c r="G105" s="2348">
        <f>0.8656/G101</f>
        <v>0.53763975155279498</v>
      </c>
      <c r="H105" s="2348">
        <f>0.8656/H101</f>
        <v>0.53763975155279498</v>
      </c>
      <c r="I105" s="2348">
        <f>0.8656/I101</f>
        <v>0.53763975155279498</v>
      </c>
      <c r="J105" s="2348">
        <f>0.7525/J101</f>
        <v>0.46739130434782605</v>
      </c>
      <c r="K105" s="2348">
        <f>0.7525/K101</f>
        <v>0.46739130434782605</v>
      </c>
      <c r="L105" s="2348">
        <f>0.7525/L101</f>
        <v>0.46739130434782605</v>
      </c>
      <c r="M105" s="2348">
        <f>0.7525/M101</f>
        <v>0.46739130434782605</v>
      </c>
      <c r="N105" s="2348">
        <f>0.7525/N101</f>
        <v>0.46739130434782605</v>
      </c>
    </row>
    <row r="106" spans="1:14">
      <c r="A106" s="3343"/>
      <c r="B106" s="2347">
        <v>5</v>
      </c>
      <c r="C106" s="2348">
        <f>0.8417/C101</f>
        <v>0.52279503105590064</v>
      </c>
      <c r="D106" s="2348">
        <f>0.8417/D101</f>
        <v>0.52279503105590064</v>
      </c>
      <c r="E106" s="2348">
        <f>0.7371/E101</f>
        <v>0.45782608695652172</v>
      </c>
      <c r="F106" s="2348">
        <f>0.7371/F101</f>
        <v>0.45782608695652172</v>
      </c>
      <c r="G106" s="2348">
        <f>0.7371/G101</f>
        <v>0.45782608695652172</v>
      </c>
      <c r="H106" s="2348">
        <f>0.7371/H101</f>
        <v>0.45782608695652172</v>
      </c>
      <c r="I106" s="2348">
        <f>0.7371/I101</f>
        <v>0.45782608695652172</v>
      </c>
      <c r="J106" s="2348">
        <f>0.5659/J101</f>
        <v>0.35149068322981364</v>
      </c>
      <c r="K106" s="2348">
        <f>0.5659/K101</f>
        <v>0.35149068322981364</v>
      </c>
      <c r="L106" s="2348">
        <f>0.5659/L101</f>
        <v>0.35149068322981364</v>
      </c>
      <c r="M106" s="2348">
        <f>0.5659/M101</f>
        <v>0.35149068322981364</v>
      </c>
      <c r="N106" s="2348">
        <f>0.5659/N101</f>
        <v>0.35149068322981364</v>
      </c>
    </row>
    <row r="107" spans="1:14">
      <c r="A107" s="3343"/>
      <c r="B107" s="2347">
        <v>6</v>
      </c>
      <c r="C107" s="2348">
        <f>0.7608/C101</f>
        <v>0.47254658385093168</v>
      </c>
      <c r="D107" s="2348">
        <f>0.7608/D101</f>
        <v>0.47254658385093168</v>
      </c>
      <c r="E107" s="2348">
        <f>0.6482/E101</f>
        <v>0.40260869565217389</v>
      </c>
      <c r="F107" s="2348">
        <f>0.6482/F101</f>
        <v>0.40260869565217389</v>
      </c>
      <c r="G107" s="2348">
        <f>0.6482/G101</f>
        <v>0.40260869565217389</v>
      </c>
      <c r="H107" s="2348">
        <f>0.6482/H101</f>
        <v>0.40260869565217389</v>
      </c>
      <c r="I107" s="2348">
        <f>0.6482/I101</f>
        <v>0.40260869565217389</v>
      </c>
      <c r="J107" s="2348">
        <f>0.4525/J101</f>
        <v>0.28105590062111802</v>
      </c>
      <c r="K107" s="2348">
        <f>0.4525/K101</f>
        <v>0.28105590062111802</v>
      </c>
      <c r="L107" s="2348">
        <f>0.4525/L101</f>
        <v>0.28105590062111802</v>
      </c>
      <c r="M107" s="2348">
        <f>0.4525/M101</f>
        <v>0.28105590062111802</v>
      </c>
      <c r="N107" s="2348">
        <f>0.4525/N101</f>
        <v>0.28105590062111802</v>
      </c>
    </row>
    <row r="108" spans="1:14">
      <c r="A108" s="3343"/>
      <c r="B108" s="3345" t="s">
        <v>2795</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44"/>
      <c r="B109" s="3346"/>
      <c r="C109" s="2350">
        <f>(-0.163*(C108^2)-0.59*C108+7617)*(10^(-4))/C101</f>
        <v>0.47310559006211178</v>
      </c>
      <c r="D109" s="2350">
        <f>(-0.163*(D108^2)-0.59*D108+7617)*(10^(-4))/D101</f>
        <v>0.47310559006211178</v>
      </c>
      <c r="E109" s="2350">
        <f>(-0.161*(E108^2)-7.509*E108+6533)*(10^(-4))/E101</f>
        <v>0.40577639751552791</v>
      </c>
      <c r="F109" s="2350">
        <f>(-0.161*(F108^2)-7.509*F108+6533)*(10^(-4))/F101</f>
        <v>0.40577639751552791</v>
      </c>
      <c r="G109" s="2350">
        <f>(-0.161*(G108^2)-7.509*G108+6533)*(10^(-4))/G101</f>
        <v>0.40577639751552791</v>
      </c>
      <c r="H109" s="2350">
        <f>(-0.161*(H108^2)-7.509*H108+6533)*(10^(-4))/H101</f>
        <v>0.40577639751552791</v>
      </c>
      <c r="I109" s="2350">
        <f>(-0.161*(I108^2)-7.509*I108+6533)*(10^(-4))/I101</f>
        <v>0.40577639751552791</v>
      </c>
      <c r="J109" s="2350">
        <f>(-0.214*(J108^2)-21.991*J108+4665)*(10^(-4))/J101</f>
        <v>0.28975155279503106</v>
      </c>
      <c r="K109" s="2350">
        <f>(-0.214*(K108^2)-21.991*K108+4665)*(10^(-4))/K101</f>
        <v>0.28975155279503106</v>
      </c>
      <c r="L109" s="2350">
        <f>(-0.214*(L108^2)-21.991*L108+4665)*(10^(-4))/L101</f>
        <v>0.28975155279503106</v>
      </c>
      <c r="M109" s="2350">
        <f>(-0.214*(M108^2)-21.991*M108+4665)*(10^(-4))/M101</f>
        <v>0.28975155279503106</v>
      </c>
      <c r="N109" s="2350">
        <f>(-0.214*(N108^2)-21.991*N108+4665)*(10^(-4))/N101</f>
        <v>0.28975155279503106</v>
      </c>
    </row>
    <row r="110" spans="1:14">
      <c r="A110" s="3340" t="s">
        <v>2796</v>
      </c>
      <c r="B110" s="3340"/>
      <c r="C110" s="3340"/>
      <c r="D110" s="3340"/>
      <c r="E110" s="3340"/>
      <c r="F110" s="3340"/>
      <c r="G110" s="3340"/>
      <c r="H110" s="3340"/>
      <c r="I110" s="3340"/>
      <c r="J110" s="3340"/>
      <c r="K110" s="2353"/>
      <c r="L110" s="2353"/>
      <c r="M110" s="2353"/>
      <c r="N110" s="2353"/>
    </row>
    <row r="112" spans="1:14" ht="13.5" thickBot="1"/>
    <row r="113" spans="1:13" ht="25.5" thickBot="1">
      <c r="A113" s="842" t="s">
        <v>2797</v>
      </c>
      <c r="B113" s="1197">
        <f>G3</f>
        <v>1.61</v>
      </c>
      <c r="C113" s="843" t="s">
        <v>2798</v>
      </c>
      <c r="D113" s="844">
        <f>SUMPRODUCT((A115:A118=F113)*(B114:M114=H113)*B115:M118)</f>
        <v>0.72589999999999999</v>
      </c>
      <c r="E113" s="2189" t="s">
        <v>2633</v>
      </c>
      <c r="F113" s="2355" t="str">
        <f>E2</f>
        <v>住宅</v>
      </c>
      <c r="G113" s="2189" t="s">
        <v>2634</v>
      </c>
      <c r="H113" s="2355" t="str">
        <f>G2</f>
        <v>八级</v>
      </c>
      <c r="I113" s="2189"/>
      <c r="J113" s="2356"/>
      <c r="K113" s="2356"/>
      <c r="L113" s="2356"/>
      <c r="M113" s="2356"/>
    </row>
    <row r="114" spans="1:13">
      <c r="A114" s="847"/>
      <c r="B114" s="2357" t="s">
        <v>2799</v>
      </c>
      <c r="C114" s="2357" t="s">
        <v>2800</v>
      </c>
      <c r="D114" s="2357" t="s">
        <v>2801</v>
      </c>
      <c r="E114" s="2358" t="s">
        <v>2802</v>
      </c>
      <c r="F114" s="2358" t="s">
        <v>2803</v>
      </c>
      <c r="G114" s="2358" t="s">
        <v>2804</v>
      </c>
      <c r="H114" s="2359" t="s">
        <v>2805</v>
      </c>
      <c r="I114" s="2359" t="s">
        <v>2806</v>
      </c>
      <c r="J114" s="2360" t="s">
        <v>2807</v>
      </c>
      <c r="K114" s="2360" t="s">
        <v>2808</v>
      </c>
      <c r="L114" s="2360" t="s">
        <v>2809</v>
      </c>
      <c r="M114" s="2361" t="s">
        <v>2810</v>
      </c>
    </row>
    <row r="115" spans="1:13">
      <c r="A115" s="848" t="s">
        <v>2697</v>
      </c>
      <c r="B115" s="849">
        <f>ROUND(0.9335-0.0094*B113,4)</f>
        <v>0.91839999999999999</v>
      </c>
      <c r="C115" s="849">
        <f>B115</f>
        <v>0.91839999999999999</v>
      </c>
      <c r="D115" s="849">
        <f>ROUND(0.8331-0.0109*B113,4)</f>
        <v>0.81559999999999999</v>
      </c>
      <c r="E115" s="849">
        <f>D115</f>
        <v>0.81559999999999999</v>
      </c>
      <c r="F115" s="849">
        <f>E115</f>
        <v>0.81559999999999999</v>
      </c>
      <c r="G115" s="849">
        <f>F115</f>
        <v>0.81559999999999999</v>
      </c>
      <c r="H115" s="849">
        <f>G115</f>
        <v>0.81559999999999999</v>
      </c>
      <c r="I115" s="849">
        <f>ROUND(0.689-0.0155*B113,4)</f>
        <v>0.66400000000000003</v>
      </c>
      <c r="J115" s="849">
        <f t="shared" ref="J115:M118" si="34">I115</f>
        <v>0.66400000000000003</v>
      </c>
      <c r="K115" s="849">
        <f t="shared" si="34"/>
        <v>0.66400000000000003</v>
      </c>
      <c r="L115" s="849">
        <f t="shared" si="34"/>
        <v>0.66400000000000003</v>
      </c>
      <c r="M115" s="850">
        <f t="shared" si="34"/>
        <v>0.66400000000000003</v>
      </c>
    </row>
    <row r="116" spans="1:13">
      <c r="A116" s="848" t="s">
        <v>2698</v>
      </c>
      <c r="B116" s="849">
        <f>ROUND(0.949-0.012*B113,4)</f>
        <v>0.92969999999999997</v>
      </c>
      <c r="C116" s="849">
        <f>B116</f>
        <v>0.92969999999999997</v>
      </c>
      <c r="D116" s="849">
        <f>ROUND(0.8567-0.013*B113,4)</f>
        <v>0.83579999999999999</v>
      </c>
      <c r="E116" s="849">
        <f t="shared" ref="E116:H117" si="35">D116</f>
        <v>0.83579999999999999</v>
      </c>
      <c r="F116" s="849">
        <f t="shared" si="35"/>
        <v>0.83579999999999999</v>
      </c>
      <c r="G116" s="849">
        <f t="shared" si="35"/>
        <v>0.83579999999999999</v>
      </c>
      <c r="H116" s="849">
        <f t="shared" si="35"/>
        <v>0.83579999999999999</v>
      </c>
      <c r="I116" s="849">
        <f>ROUND(0.7694-0.014*B113,4)</f>
        <v>0.74690000000000001</v>
      </c>
      <c r="J116" s="849">
        <f t="shared" si="34"/>
        <v>0.74690000000000001</v>
      </c>
      <c r="K116" s="849">
        <f t="shared" si="34"/>
        <v>0.74690000000000001</v>
      </c>
      <c r="L116" s="849">
        <f t="shared" si="34"/>
        <v>0.74690000000000001</v>
      </c>
      <c r="M116" s="850">
        <f t="shared" si="34"/>
        <v>0.74690000000000001</v>
      </c>
    </row>
    <row r="117" spans="1:13">
      <c r="A117" s="848" t="s">
        <v>2699</v>
      </c>
      <c r="B117" s="849">
        <f>ROUND(0.8808-0.006*B113,4)</f>
        <v>0.87109999999999999</v>
      </c>
      <c r="C117" s="849">
        <f>B117</f>
        <v>0.87109999999999999</v>
      </c>
      <c r="D117" s="849">
        <f>ROUND(0.8748-0.008*B113,4)</f>
        <v>0.8619</v>
      </c>
      <c r="E117" s="849">
        <f t="shared" si="35"/>
        <v>0.8619</v>
      </c>
      <c r="F117" s="849">
        <f t="shared" si="35"/>
        <v>0.8619</v>
      </c>
      <c r="G117" s="849">
        <f t="shared" si="35"/>
        <v>0.8619</v>
      </c>
      <c r="H117" s="849">
        <f t="shared" si="35"/>
        <v>0.8619</v>
      </c>
      <c r="I117" s="849">
        <f>ROUND(0.7412-0.0095*B113,4)</f>
        <v>0.72589999999999999</v>
      </c>
      <c r="J117" s="849">
        <f t="shared" si="34"/>
        <v>0.72589999999999999</v>
      </c>
      <c r="K117" s="849">
        <f t="shared" si="34"/>
        <v>0.72589999999999999</v>
      </c>
      <c r="L117" s="849">
        <f t="shared" si="34"/>
        <v>0.72589999999999999</v>
      </c>
      <c r="M117" s="850">
        <f t="shared" si="34"/>
        <v>0.72589999999999999</v>
      </c>
    </row>
    <row r="118" spans="1:13" ht="13.5" thickBot="1">
      <c r="A118" s="670" t="s">
        <v>2700</v>
      </c>
      <c r="B118" s="851">
        <f>ROUND(0.7275-0.01*B113,4)</f>
        <v>0.71140000000000003</v>
      </c>
      <c r="C118" s="851">
        <f>B118</f>
        <v>0.71140000000000003</v>
      </c>
      <c r="D118" s="851">
        <f>ROUND(0.7043-0.012*B113,4)</f>
        <v>0.68500000000000005</v>
      </c>
      <c r="E118" s="851">
        <f>D118</f>
        <v>0.68500000000000005</v>
      </c>
      <c r="F118" s="851">
        <f>E118</f>
        <v>0.68500000000000005</v>
      </c>
      <c r="G118" s="851">
        <f>ROUND(0.6299-0.0122*B113,4)</f>
        <v>0.61029999999999995</v>
      </c>
      <c r="H118" s="851">
        <f>G118</f>
        <v>0.61029999999999995</v>
      </c>
      <c r="I118" s="851">
        <f>ROUND(0.5667-0.0136*B113,4)</f>
        <v>0.54479999999999995</v>
      </c>
      <c r="J118" s="851">
        <f t="shared" si="34"/>
        <v>0.54479999999999995</v>
      </c>
      <c r="K118" s="851">
        <f t="shared" si="34"/>
        <v>0.54479999999999995</v>
      </c>
      <c r="L118" s="851">
        <f t="shared" si="34"/>
        <v>0.54479999999999995</v>
      </c>
      <c r="M118" s="852">
        <f t="shared" si="34"/>
        <v>0.54479999999999995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8" t="str">
        <f>项目基本情况!B1</f>
        <v>北京市房地产市场价值预评估</v>
      </c>
      <c r="C37" s="3138"/>
      <c r="D37" s="3138"/>
      <c r="E37" s="3138"/>
      <c r="F37" s="3138"/>
      <c r="G37" s="3138"/>
      <c r="H37" s="3138"/>
      <c r="I37" s="3138"/>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F27" sqref="F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8</v>
      </c>
    </row>
    <row r="2" spans="1:9" s="206" customFormat="1" ht="18" customHeight="1">
      <c r="A2" s="207" t="s">
        <v>2148</v>
      </c>
      <c r="B2" s="208">
        <f ca="1">IF(D2="——",C52,C52-E2)</f>
        <v>21110</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12616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10983</v>
      </c>
      <c r="D5" s="217" t="s">
        <v>2155</v>
      </c>
      <c r="E5" s="218" t="s">
        <v>2156</v>
      </c>
      <c r="F5" s="218" t="s">
        <v>2157</v>
      </c>
      <c r="G5" s="219"/>
    </row>
    <row r="6" spans="1:9" s="220" customFormat="1" ht="13.5" customHeight="1">
      <c r="A6" s="886" t="s">
        <v>2158</v>
      </c>
      <c r="B6" s="221" t="s">
        <v>2159</v>
      </c>
      <c r="C6" s="222">
        <f ca="1">基准地价修正!E29-基准地价修正!E30</f>
        <v>10658</v>
      </c>
      <c r="D6" s="223"/>
      <c r="E6" s="224"/>
      <c r="F6" s="224"/>
      <c r="G6" s="225"/>
    </row>
    <row r="7" spans="1:9" s="220" customFormat="1" ht="13.5" customHeight="1">
      <c r="A7" s="886" t="s">
        <v>2160</v>
      </c>
      <c r="B7" s="221" t="s">
        <v>2161</v>
      </c>
      <c r="C7" s="226">
        <f ca="1">ROUND(C6*F7,0)</f>
        <v>325</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3" t="s">
        <v>3273</v>
      </c>
    </row>
    <row r="9" spans="1:9" s="220" customFormat="1" ht="13.5" customHeight="1">
      <c r="A9" s="887" t="s">
        <v>800</v>
      </c>
      <c r="B9" s="230" t="s">
        <v>2164</v>
      </c>
      <c r="C9" s="231">
        <f ca="1">ROUND(D9*E9/10000,0)</f>
        <v>237</v>
      </c>
      <c r="D9" s="954">
        <f ca="1">IF(B1="",'数据-汇总表'!E5,IF(INDIRECT("'数据-取费表'!c"&amp;$G$1)="住宅",INDIRECT("'数据-取费表'!k"&amp;$G$1),0))</f>
        <v>13966.28</v>
      </c>
      <c r="E9" s="231">
        <f>'数据-取费表'!B27</f>
        <v>170</v>
      </c>
      <c r="F9" s="227"/>
      <c r="G9" s="2044" t="s">
        <v>3274</v>
      </c>
      <c r="H9" s="1299">
        <v>0</v>
      </c>
      <c r="I9" s="2045" t="s">
        <v>2165</v>
      </c>
    </row>
    <row r="10" spans="1:9" s="220" customFormat="1" ht="13.5" customHeight="1">
      <c r="A10" s="887" t="s">
        <v>801</v>
      </c>
      <c r="B10" s="230" t="s">
        <v>2166</v>
      </c>
      <c r="C10" s="231">
        <f ca="1">ROUND(D10*E10/10000,0)</f>
        <v>55</v>
      </c>
      <c r="D10" s="954">
        <f ca="1">IF(B1="",'数据-汇总表'!E6,IF(INDIRECT("'数据-取费表'!c"&amp;$G$1)="住宅",INDIRECT("'数据-取费表'!s"&amp;$G$1),INDIRECT("'数据-取费表'!k"&amp;$G$1)+INDIRECT("'数据-取费表'!s"&amp;$G$1)))</f>
        <v>2765.7800000000007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16732.060000000001</v>
      </c>
      <c r="E19" s="217">
        <f>'数据-取费表'!B31</f>
        <v>200</v>
      </c>
      <c r="F19" s="237"/>
      <c r="G19" s="2043" t="s">
        <v>3275</v>
      </c>
    </row>
    <row r="20" spans="1:7" s="220" customFormat="1" ht="13.5" customHeight="1">
      <c r="A20" s="261" t="s">
        <v>2179</v>
      </c>
      <c r="B20" s="216" t="s">
        <v>2180</v>
      </c>
      <c r="C20" s="238">
        <f ca="1">ROUND((C5+C19)*F20,0)</f>
        <v>329</v>
      </c>
      <c r="D20" s="238"/>
      <c r="E20" s="238"/>
      <c r="F20" s="239">
        <f>'数据-取费表'!B37</f>
        <v>0.03</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875</v>
      </c>
      <c r="D22" s="241">
        <f ca="1">C26</f>
        <v>4.0000000000000002E-4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862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13</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1131</v>
      </c>
      <c r="D27" s="241">
        <f ca="1">C29</f>
        <v>1E-3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1131</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14226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5784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4888</v>
      </c>
      <c r="D34" s="223"/>
      <c r="E34" s="226"/>
      <c r="F34" s="263">
        <f ca="1">IF('数据-取费表'!B24=0,1,IF(B1="",'数据-取费表'!N16,INDIRECT("'数据-取费表'!n"&amp;$G$1)))</f>
        <v>1</v>
      </c>
      <c r="G34" s="225" t="s">
        <v>2212</v>
      </c>
    </row>
    <row r="35" spans="1:7" ht="13.5" customHeight="1">
      <c r="A35" s="888" t="s">
        <v>796</v>
      </c>
      <c r="B35" s="221" t="s">
        <v>2213</v>
      </c>
      <c r="C35" s="226">
        <f ca="1">ROUND(C34*F35,0)</f>
        <v>244</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244</v>
      </c>
      <c r="D36" s="226"/>
      <c r="E36" s="226"/>
      <c r="F36" s="265">
        <f>'数据-取费表'!B34</f>
        <v>0.05</v>
      </c>
      <c r="G36" s="266" t="s">
        <v>2216</v>
      </c>
    </row>
    <row r="37" spans="1:7" s="264" customFormat="1" ht="13.5" customHeight="1">
      <c r="A37" s="888" t="s">
        <v>798</v>
      </c>
      <c r="B37" s="221" t="s">
        <v>2217</v>
      </c>
      <c r="C37" s="255">
        <f ca="1">ROUND(E37*D37*F34/10000,0)</f>
        <v>335</v>
      </c>
      <c r="D37" s="223">
        <f ca="1">D19</f>
        <v>16732.060000000001</v>
      </c>
      <c r="E37" s="255">
        <f>'数据-取费表'!B35</f>
        <v>200</v>
      </c>
      <c r="F37" s="265"/>
      <c r="G37" s="267" t="s">
        <v>2218</v>
      </c>
    </row>
    <row r="38" spans="1:7" ht="13.5" customHeight="1">
      <c r="A38" s="888" t="s">
        <v>799</v>
      </c>
      <c r="B38" s="221" t="s">
        <v>2219</v>
      </c>
      <c r="C38" s="226">
        <f ca="1">ROUND(C34*F38,0)</f>
        <v>73</v>
      </c>
      <c r="D38" s="226"/>
      <c r="E38" s="226"/>
      <c r="F38" s="265">
        <f>'数据-取费表'!B36</f>
        <v>1.4999999999999999E-2</v>
      </c>
      <c r="G38" s="225" t="s">
        <v>2214</v>
      </c>
    </row>
    <row r="39" spans="1:7" s="220" customFormat="1" ht="13.5" customHeight="1">
      <c r="A39" s="261" t="s">
        <v>2220</v>
      </c>
      <c r="B39" s="216" t="s">
        <v>2221</v>
      </c>
      <c r="C39" s="238">
        <f ca="1">ROUND(C33*F20,0)</f>
        <v>174</v>
      </c>
      <c r="D39" s="238"/>
      <c r="E39" s="238"/>
      <c r="F39" s="2536">
        <f>F20</f>
        <v>0.03</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230</v>
      </c>
      <c r="D41" s="241">
        <f ca="1">C44</f>
        <v>4.0000000000000002E-4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223</v>
      </c>
      <c r="D42" s="244"/>
      <c r="E42" s="244"/>
      <c r="F42" s="245"/>
      <c r="G42" s="3353" t="s">
        <v>2230</v>
      </c>
    </row>
    <row r="43" spans="1:7" ht="13.5" customHeight="1">
      <c r="A43" s="888" t="s">
        <v>792</v>
      </c>
      <c r="B43" s="221" t="s">
        <v>2231</v>
      </c>
      <c r="C43" s="244">
        <f ca="1">ROUND(IF('数据-取费表'!B22&lt;=1,C39*F22*'数据-取费表'!B21/2,C39*(POWER((1+F22),'数据-取费表'!B21/2)-1)),0)</f>
        <v>7</v>
      </c>
      <c r="D43" s="244"/>
      <c r="E43" s="244"/>
      <c r="F43" s="245"/>
      <c r="G43" s="3354"/>
    </row>
    <row r="44" spans="1:7" ht="13.5" customHeight="1">
      <c r="A44" s="888" t="s">
        <v>793</v>
      </c>
      <c r="B44" s="221" t="s">
        <v>2232</v>
      </c>
      <c r="C44" s="244">
        <f ca="1">ROUND(IF('数据-取费表'!B22&lt;=1,C40*F22*'数据-取费表'!B21/2,C40*(POWER((1+F22),'数据-取费表'!B21/2)-1)),4)</f>
        <v>4.0000000000000002E-4</v>
      </c>
      <c r="D44" s="244"/>
      <c r="E44" s="244"/>
      <c r="F44" s="245"/>
      <c r="G44" s="3355"/>
    </row>
    <row r="45" spans="1:7" s="220" customFormat="1" ht="13.5" customHeight="1">
      <c r="A45" s="261" t="s">
        <v>2233</v>
      </c>
      <c r="B45" s="250" t="s">
        <v>2199</v>
      </c>
      <c r="C45" s="251">
        <f ca="1">C46</f>
        <v>596</v>
      </c>
      <c r="D45" s="241">
        <f ca="1">C47</f>
        <v>1E-3</v>
      </c>
      <c r="E45" s="242" t="s">
        <v>2225</v>
      </c>
      <c r="F45" s="2538">
        <f ca="1">F27</f>
        <v>0.1</v>
      </c>
      <c r="G45" s="253" t="s">
        <v>2234</v>
      </c>
    </row>
    <row r="46" spans="1:7" s="220" customFormat="1" ht="13.5" customHeight="1">
      <c r="A46" s="888" t="s">
        <v>791</v>
      </c>
      <c r="B46" s="254" t="s">
        <v>2235</v>
      </c>
      <c r="C46" s="255">
        <f ca="1">ROUND((C33+C39)*F27,0)</f>
        <v>596</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7246</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6884</v>
      </c>
      <c r="D51" s="238"/>
      <c r="E51" s="238"/>
      <c r="F51" s="270"/>
      <c r="G51" s="240" t="s">
        <v>2246</v>
      </c>
    </row>
    <row r="52" spans="1:7" s="214" customFormat="1" ht="16.5" thickBot="1">
      <c r="A52" s="271" t="s">
        <v>2247</v>
      </c>
      <c r="B52" s="272"/>
      <c r="C52" s="273">
        <f ca="1">C31+C51</f>
        <v>21110</v>
      </c>
      <c r="D52" s="272"/>
      <c r="E52" s="272"/>
      <c r="F52" s="272"/>
      <c r="G52" s="274"/>
    </row>
    <row r="55" spans="1:7" ht="15">
      <c r="B55" s="276" t="s">
        <v>2248</v>
      </c>
      <c r="C55" s="277"/>
    </row>
    <row r="56" spans="1:7">
      <c r="B56" s="279" t="s">
        <v>1478</v>
      </c>
      <c r="C56" s="281">
        <f ca="1">1-C57</f>
        <v>0.67399999999999993</v>
      </c>
    </row>
    <row r="57" spans="1:7">
      <c r="B57" s="279" t="s">
        <v>1479</v>
      </c>
      <c r="C57" s="280">
        <f ca="1">ROUND(C51/C52,3)</f>
        <v>0.32600000000000001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7696</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4600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2927424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2927424</v>
      </c>
      <c r="D8" s="228"/>
      <c r="E8" s="226"/>
      <c r="F8" s="227"/>
      <c r="G8" s="2043"/>
    </row>
    <row r="9" spans="1:8" s="220" customFormat="1" ht="13.5" customHeight="1">
      <c r="A9" s="887" t="s">
        <v>800</v>
      </c>
      <c r="B9" s="230" t="s">
        <v>2164</v>
      </c>
      <c r="C9" s="231">
        <f ca="1">ROUND(D9*E9,0)</f>
        <v>2374268</v>
      </c>
      <c r="D9" s="954">
        <f ca="1">IF(B1="",'数据-汇总表'!E5,IF(INDIRECT("'数据-取费表'!c"&amp;$G$1)="住宅",INDIRECT("'数据-取费表'!k"&amp;$G$1),0))</f>
        <v>13966.28</v>
      </c>
      <c r="E9" s="231">
        <f>'数据-取费表'!B27</f>
        <v>170</v>
      </c>
      <c r="F9" s="227"/>
      <c r="G9" s="232"/>
    </row>
    <row r="10" spans="1:8" s="220" customFormat="1" ht="13.5" customHeight="1">
      <c r="A10" s="887" t="s">
        <v>801</v>
      </c>
      <c r="B10" s="230" t="s">
        <v>2166</v>
      </c>
      <c r="C10" s="231">
        <f ca="1">ROUND(D10*E10,0)</f>
        <v>553156</v>
      </c>
      <c r="D10" s="954">
        <f ca="1">IF(B1="",'数据-汇总表'!E6,IF(INDIRECT("'数据-取费表'!c"&amp;$G$1)="住宅",INDIRECT("'数据-取费表'!s"&amp;$G$1),INDIRECT("'数据-取费表'!k"&amp;$G$1)+INDIRECT("'数据-取费表'!s"&amp;$G$1)))</f>
        <v>2765.7800000000007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3346412</v>
      </c>
      <c r="D19" s="958">
        <f ca="1">D9+D10</f>
        <v>16732.060000000001</v>
      </c>
      <c r="E19" s="217">
        <f>'数据-取费表'!B31</f>
        <v>200</v>
      </c>
      <c r="F19" s="237"/>
      <c r="G19" s="2043"/>
    </row>
    <row r="20" spans="1:7" s="220" customFormat="1" ht="13.5" customHeight="1">
      <c r="A20" s="261" t="s">
        <v>2260</v>
      </c>
      <c r="B20" s="216" t="s">
        <v>2261</v>
      </c>
      <c r="C20" s="238">
        <f ca="1">ROUND((C5+C19)*F20,0)</f>
        <v>188215</v>
      </c>
      <c r="D20" s="238"/>
      <c r="E20" s="238"/>
      <c r="F20" s="239">
        <f>'数据-取费表'!B37</f>
        <v>0.03</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499631</v>
      </c>
      <c r="D22" s="241">
        <f ca="1">C26</f>
        <v>4.0000000000000002E-4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229751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262634</v>
      </c>
      <c r="D24" s="244"/>
      <c r="E24" s="244"/>
      <c r="F24" s="245"/>
      <c r="G24" s="246" t="s">
        <v>2272</v>
      </c>
    </row>
    <row r="25" spans="1:7" s="220" customFormat="1" ht="24">
      <c r="A25" s="888" t="s">
        <v>2162</v>
      </c>
      <c r="B25" s="221" t="s">
        <v>2273</v>
      </c>
      <c r="C25" s="1290">
        <f ca="1">ROUND(IF('数据-取费表'!B22&lt;=1,C20*F22*'数据-取费表'!B22/2,C20*(POWER((1+F22),'数据-取费表'!B22/2)-1)),0)</f>
        <v>7246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646205</v>
      </c>
      <c r="D27" s="241">
        <f ca="1">C29</f>
        <v>1E-3</v>
      </c>
      <c r="E27" s="242" t="s">
        <v>2200</v>
      </c>
      <c r="F27" s="252">
        <f ca="1">IF(B1="",'数据-取费表'!Q16,INDIRECT("'数据-取费表'!q"&amp;$G$1))</f>
        <v>0.1</v>
      </c>
      <c r="G27" s="253" t="s">
        <v>2201</v>
      </c>
    </row>
    <row r="28" spans="1:7" s="220" customFormat="1" ht="13.5" customHeight="1">
      <c r="A28" s="888" t="s">
        <v>791</v>
      </c>
      <c r="B28" s="254" t="s">
        <v>2202</v>
      </c>
      <c r="C28" s="255">
        <f ca="1">ROUND((C5+C19+C20)*F27,0)</f>
        <v>646205</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8126348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57849820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48881980</v>
      </c>
      <c r="D34" s="223"/>
      <c r="E34" s="226"/>
      <c r="F34" s="263"/>
      <c r="G34" s="225"/>
    </row>
    <row r="35" spans="1:7" ht="13.5" customHeight="1">
      <c r="A35" s="888" t="s">
        <v>796</v>
      </c>
      <c r="B35" s="221" t="s">
        <v>2213</v>
      </c>
      <c r="C35" s="226">
        <f ca="1">ROUND(C34*F35,0)</f>
        <v>2444099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2444099</v>
      </c>
      <c r="D36" s="226"/>
      <c r="E36" s="226"/>
      <c r="F36" s="265">
        <f>'数据-取费表'!B34</f>
        <v>0.05</v>
      </c>
      <c r="G36" s="266" t="s">
        <v>2216</v>
      </c>
    </row>
    <row r="37" spans="1:7" s="264" customFormat="1" ht="13.5" customHeight="1">
      <c r="A37" s="888" t="s">
        <v>798</v>
      </c>
      <c r="B37" s="221" t="s">
        <v>2217</v>
      </c>
      <c r="C37" s="255">
        <f ca="1">ROUND(E37*D37,0)</f>
        <v>3346412</v>
      </c>
      <c r="D37" s="223">
        <f ca="1">D19</f>
        <v>16732.060000000001</v>
      </c>
      <c r="E37" s="255">
        <f>'数据-取费表'!B35</f>
        <v>200</v>
      </c>
      <c r="F37" s="265"/>
      <c r="G37" s="267"/>
    </row>
    <row r="38" spans="1:7" ht="13.5" customHeight="1">
      <c r="A38" s="888" t="s">
        <v>799</v>
      </c>
      <c r="B38" s="221" t="s">
        <v>2219</v>
      </c>
      <c r="C38" s="226">
        <f ca="1">ROUND(C34*F38,0)</f>
        <v>733230</v>
      </c>
      <c r="D38" s="226"/>
      <c r="E38" s="226"/>
      <c r="F38" s="265">
        <f>'数据-取费表'!B36</f>
        <v>1.4999999999999999E-2</v>
      </c>
      <c r="G38" s="225" t="s">
        <v>2214</v>
      </c>
    </row>
    <row r="39" spans="1:7" s="220" customFormat="1" ht="13.5" customHeight="1">
      <c r="A39" s="261" t="s">
        <v>2220</v>
      </c>
      <c r="B39" s="216" t="s">
        <v>2221</v>
      </c>
      <c r="C39" s="238">
        <f ca="1">ROUND(C33*F20,0)</f>
        <v>1735495</v>
      </c>
      <c r="D39" s="238"/>
      <c r="E39" s="238"/>
      <c r="F39" s="2536">
        <f>F20</f>
        <v>0.03</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2294035</v>
      </c>
      <c r="D41" s="241">
        <f ca="1">C44</f>
        <v>4.0000000000000002E-4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2227218</v>
      </c>
      <c r="D42" s="244"/>
      <c r="E42" s="244"/>
      <c r="F42" s="245"/>
      <c r="G42" s="3353" t="s">
        <v>2277</v>
      </c>
    </row>
    <row r="43" spans="1:7" ht="13.5" customHeight="1">
      <c r="A43" s="888" t="s">
        <v>792</v>
      </c>
      <c r="B43" s="221" t="s">
        <v>2231</v>
      </c>
      <c r="C43" s="244">
        <f ca="1">ROUND(IF('数据-取费表'!B22&lt;=1,C39*F22*'数据-取费表'!B20/2,C39*(POWER((1+F22),'数据-取费表'!B20/2)-1)),0)</f>
        <v>66817</v>
      </c>
      <c r="D43" s="244"/>
      <c r="E43" s="244"/>
      <c r="F43" s="245"/>
      <c r="G43" s="3354"/>
    </row>
    <row r="44" spans="1:7" ht="13.5" customHeight="1">
      <c r="A44" s="888" t="s">
        <v>793</v>
      </c>
      <c r="B44" s="221" t="s">
        <v>2232</v>
      </c>
      <c r="C44" s="244">
        <f ca="1">ROUND(IF('数据-取费表'!B22&lt;=1,C40*F22*'数据-取费表'!B20/2,C40*(POWER((1+F22),'数据-取费表'!B20/2)-1)),4)</f>
        <v>4.0000000000000002E-4</v>
      </c>
      <c r="D44" s="244"/>
      <c r="E44" s="244"/>
      <c r="F44" s="245"/>
      <c r="G44" s="3355"/>
    </row>
    <row r="45" spans="1:7" s="220" customFormat="1" ht="13.5" customHeight="1">
      <c r="A45" s="261" t="s">
        <v>2233</v>
      </c>
      <c r="B45" s="250" t="s">
        <v>2199</v>
      </c>
      <c r="C45" s="251">
        <f ca="1">C46</f>
        <v>5958532</v>
      </c>
      <c r="D45" s="241">
        <f ca="1">C47</f>
        <v>1E-3</v>
      </c>
      <c r="E45" s="242" t="s">
        <v>2225</v>
      </c>
      <c r="F45" s="2538">
        <f ca="1">F27</f>
        <v>0.1</v>
      </c>
      <c r="G45" s="253" t="s">
        <v>2234</v>
      </c>
    </row>
    <row r="46" spans="1:7" s="220" customFormat="1" ht="13.5" customHeight="1">
      <c r="A46" s="888" t="s">
        <v>791</v>
      </c>
      <c r="B46" s="254" t="s">
        <v>2235</v>
      </c>
      <c r="C46" s="255">
        <f ca="1">ROUND((C33+C39)*F27,0)</f>
        <v>5958532</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72460887</v>
      </c>
      <c r="D49" s="238"/>
      <c r="E49" s="238"/>
      <c r="F49" s="270"/>
      <c r="G49" s="240" t="s">
        <v>2240</v>
      </c>
    </row>
    <row r="50" spans="1:7" s="264" customFormat="1">
      <c r="A50" s="261" t="s">
        <v>2241</v>
      </c>
      <c r="B50" s="216" t="s">
        <v>2242</v>
      </c>
      <c r="C50" s="238"/>
      <c r="D50" s="238"/>
      <c r="E50" s="238"/>
      <c r="F50" s="270">
        <f>IF('数据-取费表'!B24=0,'数据-取费表'!N16,1)</f>
        <v>0.95</v>
      </c>
      <c r="G50" s="253"/>
    </row>
    <row r="51" spans="1:7" ht="16.5" customHeight="1">
      <c r="A51" s="261" t="s">
        <v>2244</v>
      </c>
      <c r="B51" s="216" t="s">
        <v>2279</v>
      </c>
      <c r="C51" s="238">
        <f ca="1">ROUND(C49*F50,0)</f>
        <v>68837843</v>
      </c>
      <c r="D51" s="238"/>
      <c r="E51" s="238"/>
      <c r="F51" s="270"/>
      <c r="G51" s="240" t="s">
        <v>2246</v>
      </c>
    </row>
    <row r="52" spans="1:7" s="214" customFormat="1" ht="16.5" thickBot="1">
      <c r="A52" s="271" t="s">
        <v>2247</v>
      </c>
      <c r="B52" s="272"/>
      <c r="C52" s="273">
        <f ca="1">C31+C51</f>
        <v>76964191</v>
      </c>
      <c r="D52" s="272"/>
      <c r="E52" s="272"/>
      <c r="F52" s="272"/>
      <c r="G52" s="274"/>
    </row>
    <row r="55" spans="1:7" ht="15">
      <c r="B55" s="276" t="s">
        <v>2248</v>
      </c>
      <c r="C55" s="277"/>
    </row>
    <row r="56" spans="1:7">
      <c r="B56" s="279" t="s">
        <v>1478</v>
      </c>
      <c r="C56" s="281">
        <f ca="1">1-C57</f>
        <v>0.10599999999999998</v>
      </c>
    </row>
    <row r="57" spans="1:7">
      <c r="B57" s="279" t="s">
        <v>1479</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-322</v>
      </c>
      <c r="C2" s="282" t="s">
        <v>2281</v>
      </c>
      <c r="D2" s="282"/>
      <c r="E2" s="3037"/>
      <c r="F2" s="3037"/>
      <c r="G2" s="3037"/>
      <c r="H2" s="3037"/>
      <c r="I2" s="3037"/>
      <c r="J2" s="3037"/>
      <c r="K2" s="3037"/>
    </row>
    <row r="3" spans="1:33" ht="18" customHeight="1" thickBot="1">
      <c r="A3" s="209" t="s">
        <v>2150</v>
      </c>
      <c r="B3" s="210">
        <f ca="1">ROUND(B2*10000/IF(C1="",'数据-汇总表'!E3,INDIRECT("'数据-取费表'!K"&amp;$K$1)),0)</f>
        <v>-192</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16732.060000000001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16732.060000000001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292</v>
      </c>
      <c r="D18" s="955"/>
      <c r="E18" s="24"/>
      <c r="F18" s="913"/>
      <c r="G18" s="2049"/>
      <c r="H18" s="1349"/>
      <c r="I18" s="2050" t="s">
        <v>2314</v>
      </c>
      <c r="J18" s="916"/>
      <c r="K18" s="917"/>
    </row>
    <row r="19" spans="1:33" s="912" customFormat="1" ht="13.5" customHeight="1">
      <c r="A19" s="908" t="s">
        <v>805</v>
      </c>
      <c r="B19" s="909" t="s">
        <v>2315</v>
      </c>
      <c r="C19" s="24">
        <f ca="1">ROUND(D19*E19/10000,0)</f>
        <v>237</v>
      </c>
      <c r="D19" s="955">
        <f ca="1">IF(C1="",'数据-汇总表'!E5,IF(INDIRECT("'数据-取费表'!c"&amp;$K$1)="住宅",INDIRECT("'数据-取费表'!k"&amp;$K$1),0))</f>
        <v>13966.28</v>
      </c>
      <c r="E19" s="24">
        <f>'数据-取费表'!B27</f>
        <v>170</v>
      </c>
      <c r="F19" s="913"/>
      <c r="G19" s="15"/>
      <c r="H19" s="1351"/>
      <c r="I19" s="918"/>
      <c r="J19" s="918"/>
      <c r="K19" s="919"/>
    </row>
    <row r="20" spans="1:33" s="912" customFormat="1" ht="13.5" customHeight="1">
      <c r="A20" s="908" t="s">
        <v>806</v>
      </c>
      <c r="B20" s="909" t="s">
        <v>2316</v>
      </c>
      <c r="C20" s="24">
        <f ca="1">ROUND(D20*E20/10000,0)</f>
        <v>55</v>
      </c>
      <c r="D20" s="955">
        <f ca="1">IF(C1="",'数据-汇总表'!E6,IF(INDIRECT("'数据-取费表'!c"&amp;$K$1)="住宅",INDIRECT("'数据-取费表'!s"&amp;$K$1),INDIRECT("'数据-取费表'!k"&amp;$K$1)+INDIRECT("'数据-取费表'!s"&amp;$K$1)))</f>
        <v>2765.7800000000007</v>
      </c>
      <c r="E20" s="24">
        <f>'数据-取费表'!B28</f>
        <v>200</v>
      </c>
      <c r="F20" s="913"/>
      <c r="G20" s="15"/>
      <c r="H20" s="918"/>
      <c r="I20" s="918"/>
      <c r="J20" s="918"/>
      <c r="K20" s="919"/>
    </row>
    <row r="21" spans="1:33" s="912" customFormat="1" ht="13.5" customHeight="1">
      <c r="A21" s="898" t="s">
        <v>802</v>
      </c>
      <c r="B21" s="922" t="s">
        <v>2317</v>
      </c>
      <c r="C21" s="923">
        <f ca="1">C16+C17+C18</f>
        <v>292</v>
      </c>
      <c r="D21" s="924"/>
      <c r="E21" s="287"/>
      <c r="F21" s="287"/>
      <c r="G21" s="136" t="s">
        <v>2318</v>
      </c>
      <c r="H21" s="916"/>
      <c r="I21" s="916"/>
      <c r="J21" s="916"/>
      <c r="K21" s="917"/>
    </row>
    <row r="22" spans="1:33" s="912" customFormat="1" ht="13.5" customHeight="1">
      <c r="A22" s="898" t="s">
        <v>2290</v>
      </c>
      <c r="B22" s="922" t="s">
        <v>2319</v>
      </c>
      <c r="C22" s="923">
        <f ca="1">ROUND(C21*F22,0)</f>
        <v>9</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30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-322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5"/>
      <c r="H2" s="2924"/>
      <c r="I2" s="2924"/>
      <c r="J2" s="2924"/>
      <c r="K2" s="2925"/>
      <c r="L2" s="2924"/>
      <c r="M2" s="2924"/>
    </row>
    <row r="3" spans="1:37" ht="18" customHeight="1" thickBot="1">
      <c r="A3" s="1575" t="s">
        <v>1482</v>
      </c>
      <c r="B3" s="1576">
        <f ca="1">IF(ISERROR(B2*10000/F43),0,ROUND(B2*10000/F43,0))</f>
        <v>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0</v>
      </c>
      <c r="D5" s="1549" t="s">
        <v>1367</v>
      </c>
      <c r="E5" s="1203"/>
      <c r="F5" s="1204"/>
      <c r="G5" s="1569"/>
      <c r="H5" s="305">
        <v>1</v>
      </c>
      <c r="I5" s="306" t="s">
        <v>1366</v>
      </c>
      <c r="J5" s="1202">
        <f ca="1">J6+J10+J12</f>
        <v>0</v>
      </c>
      <c r="K5" s="1549" t="s">
        <v>1367</v>
      </c>
      <c r="L5" s="1203"/>
      <c r="M5" s="1204"/>
    </row>
    <row r="6" spans="1:37" ht="18" customHeight="1">
      <c r="A6" s="1201" t="s">
        <v>1003</v>
      </c>
      <c r="B6" s="3358" t="s">
        <v>1368</v>
      </c>
      <c r="C6" s="1206">
        <f ca="1">ROUND(F6*F8*F7*(1-F9)/10000,0)</f>
        <v>0</v>
      </c>
      <c r="D6" s="160" t="s">
        <v>2847</v>
      </c>
      <c r="E6" s="308" t="s">
        <v>1370</v>
      </c>
      <c r="F6" s="309">
        <f ca="1">INDIRECT("'数据-取费表'!u"&amp;$G$1)</f>
        <v>0</v>
      </c>
      <c r="G6" s="1569"/>
      <c r="H6" s="1201" t="s">
        <v>1003</v>
      </c>
      <c r="I6" s="3358" t="s">
        <v>1368</v>
      </c>
      <c r="J6" s="307">
        <f ca="1">ROUND(M6*M8*M7*(1-M9)/10000,0)</f>
        <v>0</v>
      </c>
      <c r="K6" s="160" t="s">
        <v>2846</v>
      </c>
      <c r="L6" s="308" t="s">
        <v>1370</v>
      </c>
      <c r="M6" s="309">
        <f ca="1">INDIRECT("'数据-取费表'!z"&amp;$G$1)</f>
        <v>0</v>
      </c>
    </row>
    <row r="7" spans="1:37" ht="18" customHeight="1">
      <c r="A7" s="1205"/>
      <c r="B7" s="3359"/>
      <c r="C7" s="1207"/>
      <c r="D7" s="313"/>
      <c r="E7" s="1208" t="s">
        <v>1371</v>
      </c>
      <c r="F7" s="309">
        <f ca="1">IF(INDIRECT("'数据-取费表'!ah"&amp;$G$1)="",INDIRECT("'数据-取费表'!k"&amp;$G$1),INDIRECT("'数据-取费表'!ah"&amp;$G$1))</f>
        <v>0</v>
      </c>
      <c r="G7" s="1569"/>
      <c r="H7" s="310"/>
      <c r="I7" s="3359"/>
      <c r="J7" s="312"/>
      <c r="K7" s="313"/>
      <c r="L7" s="308" t="s">
        <v>1371</v>
      </c>
      <c r="M7" s="309">
        <f ca="1">F7</f>
        <v>0</v>
      </c>
    </row>
    <row r="8" spans="1:37" ht="18" customHeight="1">
      <c r="A8" s="310"/>
      <c r="B8" s="3359"/>
      <c r="C8" s="312"/>
      <c r="D8" s="313"/>
      <c r="E8" s="308" t="s">
        <v>1372</v>
      </c>
      <c r="F8" s="309">
        <f ca="1">INDIRECT("'数据-取费表'!ai"&amp;$G$1)</f>
        <v>0</v>
      </c>
      <c r="G8" s="1569"/>
      <c r="H8" s="310"/>
      <c r="I8" s="3359"/>
      <c r="J8" s="312"/>
      <c r="K8" s="313"/>
      <c r="L8" s="308" t="s">
        <v>1372</v>
      </c>
      <c r="M8" s="309">
        <f ca="1">INDIRECT("'数据-取费表'!ai"&amp;$G$1)</f>
        <v>0</v>
      </c>
    </row>
    <row r="9" spans="1:37" ht="18" customHeight="1">
      <c r="A9" s="310"/>
      <c r="B9" s="3360"/>
      <c r="C9" s="312"/>
      <c r="D9" s="313"/>
      <c r="E9" s="308" t="s">
        <v>1373</v>
      </c>
      <c r="F9" s="318">
        <f ca="1">INDIRECT("'数据-取费表'!w"&amp;$G$1)</f>
        <v>0</v>
      </c>
      <c r="G9" s="1569"/>
      <c r="H9" s="310"/>
      <c r="I9" s="336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51" t="s">
        <v>2854</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ROUND(M20*M21/10000,2)</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3054</v>
      </c>
      <c r="I31" s="1583"/>
      <c r="J31" s="1584"/>
      <c r="K31" s="2701"/>
      <c r="L31" s="2927"/>
      <c r="M31" s="2928"/>
    </row>
    <row r="32" spans="1:37" ht="18" customHeight="1">
      <c r="A32" s="1113" t="s">
        <v>1002</v>
      </c>
      <c r="B32" s="308" t="s">
        <v>1398</v>
      </c>
      <c r="C32" s="24">
        <f ca="1">IF(项目基本情况!B11="自然人","——",ROUND(C6*F32/(1+'数据-取费表'!C42),2))</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ROUND(C29*F36,1)</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ROUND(C13*F37,1)</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1512</v>
      </c>
      <c r="J53" s="2387">
        <f ca="1">IF(M47="住宅",IF(D1="——",MAX(J51,L48),MAX(J51,L48-'数据-取费表'!B24)),IF(D1="——",MIN(J51,L48),MIN(J51,L48-'数据-取费表'!B24)))</f>
        <v>0</v>
      </c>
      <c r="K53" s="3356" t="s">
        <v>1513</v>
      </c>
      <c r="L53" s="3357"/>
      <c r="O53" s="1603" t="s">
        <v>1014</v>
      </c>
      <c r="P53" s="1604" t="s">
        <v>1514</v>
      </c>
      <c r="Q53" s="1605" t="e">
        <f ca="1">Q47+Q48</f>
        <v>#DIV/0!</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c r="K56" s="1606" t="s">
        <v>1520</v>
      </c>
      <c r="L56" s="1609">
        <f ca="1">IF(L48&lt;J51,"——",L48-J53)</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1522</v>
      </c>
      <c r="L57" s="1609">
        <f ca="1">IF(L48&lt;J51,"——",IF(L55="比较法",L49,IF(L55="基准地价",L50,L51)))</f>
        <v>0</v>
      </c>
      <c r="O57" s="1603" t="s">
        <v>1009</v>
      </c>
      <c r="P57" s="1604" t="s">
        <v>1523</v>
      </c>
      <c r="Q57" s="1605" t="e">
        <f ca="1">L60</f>
        <v>#DIV/0!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ROUND(C48*F66,1)</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58" t="s">
        <v>1368</v>
      </c>
      <c r="C6" s="1206">
        <f ca="1">ROUND(F6*F8*F7*(1-F9),0)</f>
        <v>0</v>
      </c>
      <c r="D6" s="160" t="s">
        <v>2844</v>
      </c>
      <c r="E6" s="308" t="s">
        <v>1370</v>
      </c>
      <c r="F6" s="309">
        <f ca="1">INDIRECT("'数据-取费表'!u"&amp;$G$1)</f>
        <v>0</v>
      </c>
      <c r="G6" s="1569"/>
      <c r="H6" s="1201" t="s">
        <v>1003</v>
      </c>
      <c r="I6" s="3358" t="s">
        <v>1368</v>
      </c>
      <c r="J6" s="307">
        <f ca="1">ROUND(M6*M8*M7*(1-M9),0)</f>
        <v>0</v>
      </c>
      <c r="K6" s="1561" t="s">
        <v>2845</v>
      </c>
      <c r="L6" s="308" t="s">
        <v>1370</v>
      </c>
      <c r="M6" s="309">
        <f ca="1">INDIRECT("'数据-取费表'!z"&amp;$G$1)</f>
        <v>0</v>
      </c>
    </row>
    <row r="7" spans="1:37" ht="18" customHeight="1">
      <c r="A7" s="1205"/>
      <c r="B7" s="3359"/>
      <c r="C7" s="1207"/>
      <c r="D7" s="313"/>
      <c r="E7" s="1208" t="s">
        <v>1371</v>
      </c>
      <c r="F7" s="309">
        <f ca="1">IF(INDIRECT("'数据-取费表'!ah"&amp;$G$1)="",INDIRECT("'数据-取费表'!k"&amp;$G$1),INDIRECT("'数据-取费表'!ah"&amp;$G$1))</f>
        <v>0</v>
      </c>
      <c r="G7" s="1569"/>
      <c r="H7" s="310"/>
      <c r="I7" s="3359"/>
      <c r="J7" s="312"/>
      <c r="K7" s="313"/>
      <c r="L7" s="308" t="s">
        <v>1371</v>
      </c>
      <c r="M7" s="309">
        <f ca="1">F7</f>
        <v>0</v>
      </c>
    </row>
    <row r="8" spans="1:37" ht="18" customHeight="1">
      <c r="A8" s="310"/>
      <c r="B8" s="3359"/>
      <c r="C8" s="312"/>
      <c r="D8" s="313"/>
      <c r="E8" s="308" t="s">
        <v>1372</v>
      </c>
      <c r="F8" s="309">
        <f ca="1">INDIRECT("'数据-取费表'!ai"&amp;$G$1)</f>
        <v>0</v>
      </c>
      <c r="G8" s="1569"/>
      <c r="H8" s="310"/>
      <c r="I8" s="3359"/>
      <c r="J8" s="312"/>
      <c r="K8" s="313"/>
      <c r="L8" s="308" t="s">
        <v>1372</v>
      </c>
      <c r="M8" s="309">
        <f ca="1">INDIRECT("'数据-取费表'!ai"&amp;$G$1)</f>
        <v>0</v>
      </c>
    </row>
    <row r="9" spans="1:37" ht="18" customHeight="1">
      <c r="A9" s="310"/>
      <c r="B9" s="3360"/>
      <c r="C9" s="312"/>
      <c r="D9" s="313"/>
      <c r="E9" s="308" t="s">
        <v>1373</v>
      </c>
      <c r="F9" s="318">
        <f ca="1">INDIRECT("'数据-取费表'!w"&amp;$G$1)</f>
        <v>0</v>
      </c>
      <c r="G9" s="1569"/>
      <c r="H9" s="310"/>
      <c r="I9" s="3360"/>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c r="G10" s="1569"/>
      <c r="H10" s="1201" t="s">
        <v>1007</v>
      </c>
      <c r="I10" s="1550" t="s">
        <v>1374</v>
      </c>
      <c r="J10" s="307">
        <f ca="1">ROUND(IF(M10="押一",J6/12*M11,IF(M10="押二",J6/12*2*M11,IF(M10="押三",J6/12*3*M11,J11*M11))),0)</f>
        <v>0</v>
      </c>
      <c r="K10" s="1562" t="s">
        <v>2856</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3054</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0</v>
      </c>
      <c r="K53" s="3356" t="s">
        <v>1513</v>
      </c>
      <c r="L53" s="3357"/>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6"/>
      <c r="G1" s="1675"/>
      <c r="H1" s="1675"/>
      <c r="I1" s="1675"/>
      <c r="J1" s="1675"/>
      <c r="K1" s="1675"/>
      <c r="L1" s="1675"/>
      <c r="M1" s="1675"/>
      <c r="N1" s="1675"/>
      <c r="O1" s="1675"/>
      <c r="P1" s="1675"/>
      <c r="Q1" s="1675"/>
      <c r="R1" s="1675"/>
      <c r="S1" s="1675"/>
    </row>
    <row r="2" spans="1:22" ht="15.75">
      <c r="A2" s="2057" t="s">
        <v>2148</v>
      </c>
      <c r="B2" s="2058" t="e">
        <f ca="1">SUMIF(B6:B13,"&lt;&gt;#ref!",B6:B13)</f>
        <v>#DIV/0!</v>
      </c>
      <c r="C2" s="2059" t="s">
        <v>2340</v>
      </c>
      <c r="D2" s="2060" t="s">
        <v>2341</v>
      </c>
      <c r="E2" s="2833">
        <f>SUM(E6:E13)</f>
        <v>16732.060000000001</v>
      </c>
      <c r="F2" s="2936"/>
      <c r="G2" s="1675"/>
      <c r="H2" s="1675"/>
      <c r="I2" s="1675"/>
      <c r="J2" s="1675"/>
      <c r="K2" s="1675"/>
      <c r="L2" s="1675"/>
      <c r="M2" s="1675"/>
      <c r="N2" s="1675"/>
      <c r="O2" s="1675"/>
      <c r="P2" s="1675"/>
      <c r="Q2" s="1675"/>
      <c r="R2" s="1675"/>
      <c r="S2" s="1675"/>
    </row>
    <row r="3" spans="1:22" ht="15.75">
      <c r="A3" s="2057" t="s">
        <v>1360</v>
      </c>
      <c r="B3" s="2827" t="e">
        <f ca="1">ROUND(B2*10000/E2,0)</f>
        <v>#DIV/0!</v>
      </c>
      <c r="C3" s="2059"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61" t="s">
        <v>2343</v>
      </c>
      <c r="C5" s="3362"/>
      <c r="D5" s="2937"/>
      <c r="E5" s="2061" t="s">
        <v>2344</v>
      </c>
      <c r="F5" s="2062" t="s">
        <v>2345</v>
      </c>
      <c r="G5" s="1675"/>
      <c r="H5" s="1675"/>
      <c r="I5" s="1675"/>
      <c r="J5" s="1675"/>
      <c r="K5" s="1675"/>
      <c r="L5" s="1675"/>
      <c r="M5" s="1675"/>
      <c r="N5" s="1675"/>
      <c r="O5" s="1675"/>
      <c r="P5" s="1675"/>
      <c r="Q5" s="1675"/>
      <c r="R5" s="1675"/>
      <c r="S5" s="1675"/>
    </row>
    <row r="6" spans="1:22">
      <c r="A6" s="2830" t="str">
        <f>'数据-取费表'!AN6</f>
        <v>收益法</v>
      </c>
      <c r="B6" s="2828" t="e">
        <f ca="1">IF(F6="是",'数据-取费表'!AO6,0)</f>
        <v>#DIV/0!</v>
      </c>
      <c r="C6" s="2059" t="s">
        <v>2340</v>
      </c>
      <c r="D6" s="2938"/>
      <c r="E6" s="2832">
        <f>IF(OR(A6=0,F6="否"),0,'数据-取费表'!K6+'数据-取费表'!S6)</f>
        <v>16732.060000000001</v>
      </c>
      <c r="F6" s="2063" t="s">
        <v>2346</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9" t="s">
        <v>2340</v>
      </c>
      <c r="D7" s="2938"/>
      <c r="E7" s="2832">
        <f>IF(OR(A7=0,F7="否"),0,'数据-取费表'!K7+'数据-取费表'!S7)</f>
        <v>0</v>
      </c>
      <c r="F7" s="2063" t="s">
        <v>2346</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2340</v>
      </c>
      <c r="D8" s="2938"/>
      <c r="E8" s="2832">
        <f>IF(OR(A8=0,F8="否"),0,'数据-取费表'!K8+'数据-取费表'!S8)</f>
        <v>0</v>
      </c>
      <c r="F8" s="2063"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2340</v>
      </c>
      <c r="D9" s="2938"/>
      <c r="E9" s="2832">
        <f>IF(OR(A9=0,F9="否"),0,'数据-取费表'!K9+'数据-取费表'!S9)</f>
        <v>0</v>
      </c>
      <c r="F9" s="2063"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2340</v>
      </c>
      <c r="D10" s="2938"/>
      <c r="E10" s="2832">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2340</v>
      </c>
      <c r="D11" s="2938"/>
      <c r="E11" s="2832">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2340</v>
      </c>
      <c r="D12" s="2938"/>
      <c r="E12" s="2832">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2340</v>
      </c>
      <c r="D13" s="2939"/>
      <c r="E13" s="2832">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379" t="s">
        <v>1044</v>
      </c>
      <c r="B1" s="3380"/>
      <c r="C1" s="3381"/>
      <c r="D1" s="3382">
        <f>SUM(I10,I15,I20,I21,I23)</f>
        <v>0</v>
      </c>
      <c r="E1" s="3382"/>
      <c r="F1" s="3382"/>
      <c r="G1" s="3382"/>
      <c r="H1" s="3382"/>
      <c r="I1" s="3383"/>
    </row>
    <row r="2" spans="1:9">
      <c r="A2" s="3369" t="s">
        <v>1045</v>
      </c>
      <c r="B2" s="3370" t="s">
        <v>1046</v>
      </c>
      <c r="C2" s="3370"/>
      <c r="D2" s="1211" t="s">
        <v>1047</v>
      </c>
      <c r="E2" s="1211" t="s">
        <v>1048</v>
      </c>
      <c r="F2" s="1211" t="s">
        <v>1049</v>
      </c>
      <c r="G2" s="1211" t="s">
        <v>1050</v>
      </c>
      <c r="H2" s="1211" t="s">
        <v>1051</v>
      </c>
      <c r="I2" s="1212" t="s">
        <v>1052</v>
      </c>
    </row>
    <row r="3" spans="1:9">
      <c r="A3" s="3369"/>
      <c r="B3" s="3370" t="s">
        <v>1053</v>
      </c>
      <c r="C3" s="3370"/>
      <c r="D3" s="1213"/>
      <c r="E3" s="1211"/>
      <c r="F3" s="1214"/>
      <c r="G3" s="1214"/>
      <c r="H3" s="1215"/>
      <c r="I3" s="1216">
        <f>ROUND(D3*E3*F3*G3*H3/10000,0)</f>
        <v>0</v>
      </c>
    </row>
    <row r="4" spans="1:9">
      <c r="A4" s="3369"/>
      <c r="B4" s="3370" t="s">
        <v>1054</v>
      </c>
      <c r="C4" s="3370"/>
      <c r="D4" s="1213"/>
      <c r="E4" s="1211"/>
      <c r="F4" s="1214"/>
      <c r="G4" s="1214"/>
      <c r="H4" s="1215"/>
      <c r="I4" s="1216">
        <f t="shared" ref="I4:I9" si="0">ROUND(D4*E4*F4*G4*H4/10000,0)</f>
        <v>0</v>
      </c>
    </row>
    <row r="5" spans="1:9">
      <c r="A5" s="3369"/>
      <c r="B5" s="3370" t="s">
        <v>1055</v>
      </c>
      <c r="C5" s="3370"/>
      <c r="D5" s="1213"/>
      <c r="E5" s="1211"/>
      <c r="F5" s="1214"/>
      <c r="G5" s="1214"/>
      <c r="H5" s="1215"/>
      <c r="I5" s="1216">
        <f t="shared" si="0"/>
        <v>0</v>
      </c>
    </row>
    <row r="6" spans="1:9">
      <c r="A6" s="3369"/>
      <c r="B6" s="3370" t="s">
        <v>1056</v>
      </c>
      <c r="C6" s="3370"/>
      <c r="D6" s="1213"/>
      <c r="E6" s="1211"/>
      <c r="F6" s="1214"/>
      <c r="G6" s="1214"/>
      <c r="H6" s="1215"/>
      <c r="I6" s="1216">
        <f t="shared" si="0"/>
        <v>0</v>
      </c>
    </row>
    <row r="7" spans="1:9">
      <c r="A7" s="3369"/>
      <c r="B7" s="3370" t="s">
        <v>1057</v>
      </c>
      <c r="C7" s="3370"/>
      <c r="D7" s="1213"/>
      <c r="E7" s="1211"/>
      <c r="F7" s="1214"/>
      <c r="G7" s="1214"/>
      <c r="H7" s="1215"/>
      <c r="I7" s="1216">
        <f t="shared" si="0"/>
        <v>0</v>
      </c>
    </row>
    <row r="8" spans="1:9">
      <c r="A8" s="3369"/>
      <c r="B8" s="3370" t="s">
        <v>1058</v>
      </c>
      <c r="C8" s="3370"/>
      <c r="D8" s="1213"/>
      <c r="E8" s="1211"/>
      <c r="F8" s="1214"/>
      <c r="G8" s="1214"/>
      <c r="H8" s="1215"/>
      <c r="I8" s="1216">
        <f t="shared" si="0"/>
        <v>0</v>
      </c>
    </row>
    <row r="9" spans="1:9">
      <c r="A9" s="3369"/>
      <c r="B9" s="3370" t="s">
        <v>1059</v>
      </c>
      <c r="C9" s="3370"/>
      <c r="D9" s="1213"/>
      <c r="E9" s="1211"/>
      <c r="F9" s="1214"/>
      <c r="G9" s="1214"/>
      <c r="H9" s="1215"/>
      <c r="I9" s="1216">
        <f t="shared" si="0"/>
        <v>0</v>
      </c>
    </row>
    <row r="10" spans="1:9">
      <c r="A10" s="3369"/>
      <c r="B10" s="3371" t="s">
        <v>1060</v>
      </c>
      <c r="C10" s="3371"/>
      <c r="D10" s="1217"/>
      <c r="E10" s="1217" t="e">
        <f>ROUND(D1*10000/D10/H9,0)</f>
        <v>#DIV/0!</v>
      </c>
      <c r="F10" s="1218"/>
      <c r="G10" s="1218"/>
      <c r="H10" s="1219"/>
      <c r="I10" s="1220">
        <f>SUM(I3:I9)</f>
        <v>0</v>
      </c>
    </row>
    <row r="11" spans="1:9" ht="14.25">
      <c r="A11" s="3369" t="s">
        <v>1061</v>
      </c>
      <c r="B11" s="3370" t="s">
        <v>1062</v>
      </c>
      <c r="C11" s="3370"/>
      <c r="D11" s="1213" t="s">
        <v>1063</v>
      </c>
      <c r="E11" s="1213" t="s">
        <v>1064</v>
      </c>
      <c r="F11" s="1214" t="s">
        <v>1065</v>
      </c>
      <c r="G11" s="1214" t="s">
        <v>1051</v>
      </c>
      <c r="H11" s="1221" t="s">
        <v>1066</v>
      </c>
      <c r="I11" s="1212" t="s">
        <v>1052</v>
      </c>
    </row>
    <row r="12" spans="1:9">
      <c r="A12" s="3369"/>
      <c r="B12" s="3370" t="s">
        <v>1067</v>
      </c>
      <c r="C12" s="3370"/>
      <c r="D12" s="1213"/>
      <c r="E12" s="1213"/>
      <c r="F12" s="1214"/>
      <c r="G12" s="1215"/>
      <c r="H12" s="1222"/>
      <c r="I12" s="1212">
        <f>ROUND(D12*E12*F12*G12/10000,0)</f>
        <v>0</v>
      </c>
    </row>
    <row r="13" spans="1:9">
      <c r="A13" s="3369"/>
      <c r="B13" s="3370" t="s">
        <v>1068</v>
      </c>
      <c r="C13" s="3370"/>
      <c r="D13" s="1213"/>
      <c r="E13" s="1213"/>
      <c r="F13" s="1214"/>
      <c r="G13" s="1215"/>
      <c r="H13" s="1222"/>
      <c r="I13" s="1212">
        <f>ROUND(D13*E13*F13*G13/10000,0)</f>
        <v>0</v>
      </c>
    </row>
    <row r="14" spans="1:9">
      <c r="A14" s="3369"/>
      <c r="B14" s="3370" t="s">
        <v>1069</v>
      </c>
      <c r="C14" s="3370"/>
      <c r="D14" s="1213"/>
      <c r="E14" s="1213"/>
      <c r="F14" s="1214"/>
      <c r="G14" s="1215"/>
      <c r="H14" s="1222"/>
      <c r="I14" s="1212">
        <f>ROUND(D14*E14*F14*G14/10000,0)</f>
        <v>0</v>
      </c>
    </row>
    <row r="15" spans="1:9">
      <c r="A15" s="3369"/>
      <c r="B15" s="3371" t="s">
        <v>1060</v>
      </c>
      <c r="C15" s="3371"/>
      <c r="D15" s="1217"/>
      <c r="E15" s="1217">
        <f>SUM(E12:E14)</f>
        <v>0</v>
      </c>
      <c r="F15" s="1218"/>
      <c r="G15" s="1215"/>
      <c r="H15" s="1222"/>
      <c r="I15" s="1223">
        <f>SUM(I12:I14)</f>
        <v>0</v>
      </c>
    </row>
    <row r="16" spans="1:9" ht="24">
      <c r="A16" s="3369" t="s">
        <v>1070</v>
      </c>
      <c r="B16" s="3370" t="s">
        <v>1071</v>
      </c>
      <c r="C16" s="3370"/>
      <c r="D16" s="1213" t="s">
        <v>1047</v>
      </c>
      <c r="E16" s="1224" t="s">
        <v>1072</v>
      </c>
      <c r="F16" s="1214" t="s">
        <v>1073</v>
      </c>
      <c r="G16" s="1215" t="s">
        <v>1051</v>
      </c>
      <c r="H16" s="1221" t="s">
        <v>1066</v>
      </c>
      <c r="I16" s="1212" t="s">
        <v>1052</v>
      </c>
    </row>
    <row r="17" spans="1:9" ht="14.25">
      <c r="A17" s="3369"/>
      <c r="B17" s="3370" t="s">
        <v>1074</v>
      </c>
      <c r="C17" s="3370"/>
      <c r="D17" s="1213"/>
      <c r="E17" s="1213"/>
      <c r="F17" s="1214"/>
      <c r="G17" s="1215"/>
      <c r="H17" s="1225"/>
      <c r="I17" s="1226">
        <f>ROUND(D17*E17*F17*G17/10000,0)</f>
        <v>0</v>
      </c>
    </row>
    <row r="18" spans="1:9" ht="14.25">
      <c r="A18" s="3369"/>
      <c r="B18" s="3370" t="s">
        <v>1075</v>
      </c>
      <c r="C18" s="3370"/>
      <c r="D18" s="1213"/>
      <c r="E18" s="1213"/>
      <c r="F18" s="1214"/>
      <c r="G18" s="1215"/>
      <c r="H18" s="1225"/>
      <c r="I18" s="1226">
        <f>ROUND(D18*E18*F18*G18/10000,0)</f>
        <v>0</v>
      </c>
    </row>
    <row r="19" spans="1:9" ht="14.25">
      <c r="A19" s="3369"/>
      <c r="B19" s="3370" t="s">
        <v>1076</v>
      </c>
      <c r="C19" s="3370"/>
      <c r="D19" s="1213"/>
      <c r="E19" s="1213"/>
      <c r="F19" s="1214"/>
      <c r="G19" s="1215"/>
      <c r="H19" s="1225"/>
      <c r="I19" s="1226">
        <f>ROUND(D19*E19*F19*G19/10000,0)</f>
        <v>0</v>
      </c>
    </row>
    <row r="20" spans="1:9">
      <c r="A20" s="3369"/>
      <c r="B20" s="3371" t="s">
        <v>1060</v>
      </c>
      <c r="C20" s="3371"/>
      <c r="D20" s="1217">
        <f>SUM(D17:D19)</f>
        <v>0</v>
      </c>
      <c r="E20" s="1217"/>
      <c r="F20" s="1218"/>
      <c r="G20" s="1215"/>
      <c r="H20" s="1222"/>
      <c r="I20" s="1223">
        <f>SUM(I17:I19)</f>
        <v>0</v>
      </c>
    </row>
    <row r="21" spans="1:9">
      <c r="A21" s="3369" t="s">
        <v>1077</v>
      </c>
      <c r="B21" s="3372"/>
      <c r="C21" s="3372"/>
      <c r="D21" s="3372"/>
      <c r="E21" s="3372"/>
      <c r="F21" s="3372"/>
      <c r="G21" s="3372"/>
      <c r="H21" s="1503">
        <v>0.1</v>
      </c>
      <c r="I21" s="1220">
        <f>ROUND(I10*H21,0)</f>
        <v>0</v>
      </c>
    </row>
    <row r="22" spans="1:9" ht="14.25">
      <c r="A22" s="3373" t="s">
        <v>1078</v>
      </c>
      <c r="B22" s="3374"/>
      <c r="C22" s="3375"/>
      <c r="D22" s="1227" t="s">
        <v>1079</v>
      </c>
      <c r="E22" s="1227" t="s">
        <v>1080</v>
      </c>
      <c r="F22" s="1228" t="s">
        <v>1081</v>
      </c>
      <c r="G22" s="1228" t="s">
        <v>1082</v>
      </c>
      <c r="H22" s="1221" t="s">
        <v>1083</v>
      </c>
      <c r="I22" s="1212" t="s">
        <v>1084</v>
      </c>
    </row>
    <row r="23" spans="1:9" ht="14.25" thickBot="1">
      <c r="A23" s="3376"/>
      <c r="B23" s="3377"/>
      <c r="C23" s="3378"/>
      <c r="D23" s="1229"/>
      <c r="E23" s="1229"/>
      <c r="F23" s="1229"/>
      <c r="G23" s="1230"/>
      <c r="H23" s="1231"/>
      <c r="I23" s="1232">
        <f>ROUND(E23*D23*F23*(1-G23)/10000,0)</f>
        <v>0</v>
      </c>
    </row>
    <row r="26" spans="1:9">
      <c r="A26" s="1233" t="s">
        <v>1085</v>
      </c>
      <c r="B26" s="1233"/>
      <c r="C26" s="1233"/>
      <c r="D26" s="1233"/>
      <c r="E26" s="3366">
        <f>C27-C30-C31-C32</f>
        <v>0</v>
      </c>
      <c r="F26" s="3366"/>
      <c r="G26" s="3366"/>
      <c r="H26" s="1500" t="s">
        <v>1306</v>
      </c>
    </row>
    <row r="27" spans="1:9">
      <c r="A27" s="1234">
        <v>1</v>
      </c>
      <c r="B27" s="1235" t="s">
        <v>1086</v>
      </c>
      <c r="C27" s="1235">
        <f>C28+C29</f>
        <v>0</v>
      </c>
      <c r="D27" s="1235"/>
      <c r="E27" s="3367"/>
      <c r="F27" s="3367"/>
      <c r="G27" s="3367"/>
    </row>
    <row r="28" spans="1:9">
      <c r="A28" s="1236" t="s">
        <v>1087</v>
      </c>
      <c r="B28" s="1235" t="s">
        <v>1088</v>
      </c>
      <c r="C28" s="1235"/>
      <c r="D28" s="1235"/>
      <c r="E28" s="3367"/>
      <c r="F28" s="3367"/>
      <c r="G28" s="336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68"/>
      <c r="F32" s="3368"/>
      <c r="G32" s="3368"/>
    </row>
    <row r="33" spans="1:7" hidden="1">
      <c r="A33" s="3363" t="s">
        <v>1097</v>
      </c>
      <c r="B33" s="3364"/>
      <c r="C33" s="3364"/>
      <c r="D33" s="3365"/>
      <c r="E33" s="3366"/>
      <c r="F33" s="3366"/>
      <c r="G33" s="3366"/>
    </row>
    <row r="34" spans="1:7" hidden="1">
      <c r="A34" s="1238">
        <v>1</v>
      </c>
      <c r="B34" s="1235" t="s">
        <v>1098</v>
      </c>
      <c r="C34" s="1235"/>
      <c r="D34" s="1235"/>
      <c r="E34" s="3367"/>
      <c r="F34" s="3367"/>
      <c r="G34" s="3367"/>
    </row>
    <row r="35" spans="1:7" hidden="1">
      <c r="A35" s="1238">
        <v>2</v>
      </c>
      <c r="B35" s="1235" t="s">
        <v>1099</v>
      </c>
      <c r="C35" s="1235"/>
      <c r="D35" s="1235"/>
      <c r="E35" s="3367"/>
      <c r="F35" s="3367"/>
      <c r="G35" s="3367"/>
    </row>
    <row r="36" spans="1:7" hidden="1">
      <c r="A36" s="1238">
        <v>3</v>
      </c>
      <c r="B36" s="1235" t="s">
        <v>1100</v>
      </c>
      <c r="C36" s="1235"/>
      <c r="D36" s="1235"/>
      <c r="E36" s="3367"/>
      <c r="F36" s="3367"/>
      <c r="G36" s="3367"/>
    </row>
    <row r="37" spans="1:7" hidden="1">
      <c r="A37" s="1238">
        <v>4</v>
      </c>
      <c r="B37" s="1235" t="s">
        <v>1101</v>
      </c>
      <c r="C37" s="1235"/>
      <c r="D37" s="1235"/>
      <c r="E37" s="3367"/>
      <c r="F37" s="3367"/>
      <c r="G37" s="3367"/>
    </row>
    <row r="38" spans="1:7" hidden="1">
      <c r="A38" s="3363" t="s">
        <v>1102</v>
      </c>
      <c r="B38" s="3364"/>
      <c r="C38" s="3364"/>
      <c r="D38" s="3365"/>
      <c r="E38" s="3366"/>
      <c r="F38" s="3366"/>
      <c r="G38" s="33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3104</v>
      </c>
      <c r="C1" s="204"/>
      <c r="D1" s="204"/>
      <c r="E1" s="204"/>
      <c r="F1" s="204"/>
      <c r="G1" s="1288">
        <f>MATCH(B1,'数据-取费表'!A6:A16,0)+5</f>
        <v>7</v>
      </c>
    </row>
    <row r="2" spans="1:9" s="206" customFormat="1" ht="18" customHeight="1">
      <c r="A2" s="207" t="s">
        <v>1359</v>
      </c>
      <c r="B2" s="208">
        <f ca="1">IF(D2="——",C52,C52-E2)</f>
        <v>0</v>
      </c>
      <c r="C2" s="205" t="s">
        <v>2149</v>
      </c>
      <c r="D2" s="2040" t="s">
        <v>70</v>
      </c>
      <c r="E2" s="1331" t="e">
        <f ca="1">SUMIF(INDIRECT("'"&amp;G2&amp;"'"&amp;"!A:A"),"承租人权益价值",INDIRECT("'"&amp;G2&amp;"'"&amp;"!c:c"))</f>
        <v>#REF!</v>
      </c>
      <c r="F2" s="2041" t="s">
        <v>2149</v>
      </c>
      <c r="G2" s="2042"/>
    </row>
    <row r="3" spans="1:9" s="206" customFormat="1" ht="18" customHeight="1" thickBot="1">
      <c r="A3" s="209" t="s">
        <v>1360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0</v>
      </c>
      <c r="D5" s="217" t="s">
        <v>2155</v>
      </c>
      <c r="E5" s="218" t="s">
        <v>2156</v>
      </c>
      <c r="F5" s="218" t="s">
        <v>2157</v>
      </c>
      <c r="G5" s="219"/>
    </row>
    <row r="6" spans="1:9" s="220" customFormat="1" ht="13.5" customHeight="1">
      <c r="A6" s="886" t="s">
        <v>791</v>
      </c>
      <c r="B6" s="221" t="s">
        <v>2159</v>
      </c>
      <c r="C6" s="222">
        <f ca="1">基准地价修正!E38-基准地价修正!I38</f>
        <v>0</v>
      </c>
      <c r="D6" s="223"/>
      <c r="E6" s="224"/>
      <c r="F6" s="224"/>
      <c r="G6" s="225"/>
    </row>
    <row r="7" spans="1:9" s="220" customFormat="1" ht="13.5" customHeight="1">
      <c r="A7" s="886" t="s">
        <v>792</v>
      </c>
      <c r="B7" s="221" t="s">
        <v>2161</v>
      </c>
      <c r="C7" s="226">
        <f ca="1">ROUND(C6*F7,0)</f>
        <v>0</v>
      </c>
      <c r="D7" s="226"/>
      <c r="E7" s="224"/>
      <c r="F7" s="227">
        <f>IF(项目基本情况!B8="出让",0,'数据-取费表'!B48+'数据-取费表'!B49)</f>
        <v>3.0499999999999999E-2</v>
      </c>
      <c r="G7" s="225"/>
    </row>
    <row r="8" spans="1:9" s="229" customFormat="1">
      <c r="A8" s="886" t="s">
        <v>793</v>
      </c>
      <c r="B8" s="221" t="s">
        <v>2163</v>
      </c>
      <c r="C8" s="226">
        <f>IF(G8="已包含在土地购买价格中","0",IF(B1="",'数据-取费表'!B29,IF(G9="全部缴纳",C9+C10,H9)))</f>
        <v>0</v>
      </c>
      <c r="D8" s="228"/>
      <c r="E8" s="226"/>
      <c r="F8" s="227"/>
      <c r="G8" s="2043" t="s">
        <v>3273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170</v>
      </c>
      <c r="F9" s="227"/>
      <c r="G9" s="2044" t="s">
        <v>3274</v>
      </c>
      <c r="H9" s="1299"/>
      <c r="I9" s="2045"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0</v>
      </c>
      <c r="E19" s="217">
        <f>'数据-取费表'!B31</f>
        <v>200</v>
      </c>
      <c r="F19" s="237"/>
      <c r="G19" s="2043" t="s">
        <v>3275</v>
      </c>
    </row>
    <row r="20" spans="1:7" s="220" customFormat="1" ht="13.5" customHeight="1">
      <c r="A20" s="261" t="s">
        <v>2179</v>
      </c>
      <c r="B20" s="216" t="s">
        <v>2180</v>
      </c>
      <c r="C20" s="238">
        <f ca="1">ROUND((C5+C19)*F20,0)</f>
        <v>0</v>
      </c>
      <c r="D20" s="238"/>
      <c r="E20" s="238"/>
      <c r="F20" s="239">
        <f>'数据-取费表'!B37</f>
        <v>0.03</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0</v>
      </c>
      <c r="D22" s="241">
        <f ca="1">C26</f>
        <v>4.0000000000000002E-4</v>
      </c>
      <c r="E22" s="242" t="s">
        <v>2184</v>
      </c>
      <c r="F22" s="243">
        <f ca="1">'数据-取费表'!B40</f>
        <v>3.85E-2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0</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0</v>
      </c>
      <c r="D27" s="241">
        <f ca="1">C29</f>
        <v>1E-3</v>
      </c>
      <c r="E27" s="242" t="s">
        <v>2184</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2184</v>
      </c>
      <c r="E30" s="247"/>
      <c r="F30" s="243">
        <f>'数据-取费表'!B41</f>
        <v>5.5000000000000007E-2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0</v>
      </c>
      <c r="D37" s="223">
        <f ca="1">D19</f>
        <v>0</v>
      </c>
      <c r="E37" s="255">
        <f>'数据-取费表'!B35</f>
        <v>200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2177</v>
      </c>
      <c r="B39" s="216" t="s">
        <v>2180</v>
      </c>
      <c r="C39" s="238">
        <f ca="1">ROUND(C33*F20,0)</f>
        <v>0</v>
      </c>
      <c r="D39" s="238"/>
      <c r="E39" s="238"/>
      <c r="F39" s="2536">
        <f>F20</f>
        <v>0.03</v>
      </c>
      <c r="G39" s="240" t="s">
        <v>2222</v>
      </c>
    </row>
    <row r="40" spans="1:7" s="220" customFormat="1" ht="13.5" customHeight="1">
      <c r="A40" s="261" t="s">
        <v>2179</v>
      </c>
      <c r="B40" s="216" t="s">
        <v>2183</v>
      </c>
      <c r="C40" s="1496">
        <f>F21</f>
        <v>0.01</v>
      </c>
      <c r="D40" s="242" t="s">
        <v>2225</v>
      </c>
      <c r="E40" s="238"/>
      <c r="F40" s="2536">
        <f>F21</f>
        <v>0.01</v>
      </c>
      <c r="G40" s="240" t="s">
        <v>2226</v>
      </c>
    </row>
    <row r="41" spans="1:7" s="220" customFormat="1" ht="13.5" customHeight="1">
      <c r="A41" s="261" t="s">
        <v>2182</v>
      </c>
      <c r="B41" s="216" t="s">
        <v>2187</v>
      </c>
      <c r="C41" s="238">
        <f ca="1">ROUND(SUM(C42:C43),0)</f>
        <v>0</v>
      </c>
      <c r="D41" s="241">
        <f ca="1">C44</f>
        <v>4.0000000000000002E-4</v>
      </c>
      <c r="E41" s="242" t="s">
        <v>2225</v>
      </c>
      <c r="F41" s="2537">
        <f ca="1">F22</f>
        <v>3.85E-2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0</v>
      </c>
      <c r="D42" s="244"/>
      <c r="E42" s="244"/>
      <c r="F42" s="245"/>
      <c r="G42" s="3353" t="s">
        <v>2230</v>
      </c>
    </row>
    <row r="43" spans="1:7" ht="13.5" customHeight="1">
      <c r="A43" s="888" t="s">
        <v>792</v>
      </c>
      <c r="B43" s="221" t="s">
        <v>2192</v>
      </c>
      <c r="C43" s="244">
        <f ca="1">ROUND(IF('数据-取费表'!B22&lt;=1,C39*F22*'数据-取费表'!B21/2,C39*(POWER((1+F22),'数据-取费表'!B21/2)-1)),0)</f>
        <v>0</v>
      </c>
      <c r="D43" s="244"/>
      <c r="E43" s="244"/>
      <c r="F43" s="245"/>
      <c r="G43" s="3354"/>
    </row>
    <row r="44" spans="1:7" ht="13.5" customHeight="1">
      <c r="A44" s="888" t="s">
        <v>793</v>
      </c>
      <c r="B44" s="221" t="s">
        <v>2195</v>
      </c>
      <c r="C44" s="244">
        <f ca="1">ROUND(IF('数据-取费表'!B22&lt;=1,C40*F22*'数据-取费表'!B21/2,C40*(POWER((1+F22),'数据-取费表'!B21/2)-1)),4)</f>
        <v>4.0000000000000002E-4</v>
      </c>
      <c r="D44" s="244"/>
      <c r="E44" s="244"/>
      <c r="F44" s="245"/>
      <c r="G44" s="3355"/>
    </row>
    <row r="45" spans="1:7" s="220" customFormat="1" ht="13.5" customHeight="1">
      <c r="A45" s="261" t="s">
        <v>2186</v>
      </c>
      <c r="B45" s="250" t="s">
        <v>2199</v>
      </c>
      <c r="C45" s="251">
        <f ca="1">C46</f>
        <v>0</v>
      </c>
      <c r="D45" s="241">
        <f ca="1">C47</f>
        <v>1E-3</v>
      </c>
      <c r="E45" s="242" t="s">
        <v>2225</v>
      </c>
      <c r="F45" s="2538">
        <f ca="1">F27</f>
        <v>0.1</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0</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0</v>
      </c>
      <c r="D51" s="238"/>
      <c r="E51" s="238"/>
      <c r="F51" s="270"/>
      <c r="G51" s="240" t="s">
        <v>2246</v>
      </c>
    </row>
    <row r="52" spans="1:7" s="214" customFormat="1" ht="16.5" thickBot="1">
      <c r="A52" s="271" t="s">
        <v>2247</v>
      </c>
      <c r="B52" s="272"/>
      <c r="C52" s="273">
        <f ca="1">C31+C51</f>
        <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view="pageBreakPreview" zoomScale="130" zoomScaleNormal="100" zoomScaleSheetLayoutView="130" workbookViewId="0">
      <selection activeCell="I31" sqref="I31"/>
    </sheetView>
  </sheetViews>
  <sheetFormatPr defaultRowHeight="13.5"/>
  <cols>
    <col min="1" max="1" width="6.375" style="3069" customWidth="1"/>
    <col min="2" max="2" width="19.375" style="3134" customWidth="1"/>
    <col min="3" max="3" width="7" style="3135" customWidth="1"/>
    <col min="4" max="4" width="3.25" style="3135" customWidth="1"/>
    <col min="5" max="5" width="7.375" style="3135" customWidth="1"/>
    <col min="6" max="6" width="3.5" style="3135" customWidth="1"/>
    <col min="7" max="7" width="19.375" style="3136" customWidth="1"/>
    <col min="8" max="8" width="19.5" style="3069" customWidth="1"/>
    <col min="9" max="9" width="8.625" style="3069" customWidth="1"/>
    <col min="10" max="10" width="10.5" style="3065" customWidth="1"/>
    <col min="11" max="11" width="4.875" style="3097" customWidth="1"/>
    <col min="12" max="12" width="16.375" style="3097" customWidth="1"/>
    <col min="13" max="16" width="8.125" style="3069" customWidth="1"/>
    <col min="17" max="256" width="9" style="3069"/>
    <col min="257" max="257" width="6.375" style="3069" customWidth="1"/>
    <col min="258" max="258" width="19.375" style="3069" customWidth="1"/>
    <col min="259" max="259" width="7" style="3069" customWidth="1"/>
    <col min="260" max="260" width="3.25" style="3069" customWidth="1"/>
    <col min="261" max="261" width="7.375" style="3069" customWidth="1"/>
    <col min="262" max="262" width="3.5" style="3069" customWidth="1"/>
    <col min="263" max="263" width="19.375" style="3069" customWidth="1"/>
    <col min="264" max="264" width="19.5" style="3069" customWidth="1"/>
    <col min="265" max="265" width="8.625" style="3069" customWidth="1"/>
    <col min="266" max="266" width="10.5" style="3069" customWidth="1"/>
    <col min="267" max="267" width="4.875" style="3069" customWidth="1"/>
    <col min="268" max="268" width="16.375" style="3069" customWidth="1"/>
    <col min="269" max="272" width="8.125" style="3069" customWidth="1"/>
    <col min="273" max="512" width="9" style="3069"/>
    <col min="513" max="513" width="6.375" style="3069" customWidth="1"/>
    <col min="514" max="514" width="19.375" style="3069" customWidth="1"/>
    <col min="515" max="515" width="7" style="3069" customWidth="1"/>
    <col min="516" max="516" width="3.25" style="3069" customWidth="1"/>
    <col min="517" max="517" width="7.375" style="3069" customWidth="1"/>
    <col min="518" max="518" width="3.5" style="3069" customWidth="1"/>
    <col min="519" max="519" width="19.375" style="3069" customWidth="1"/>
    <col min="520" max="520" width="19.5" style="3069" customWidth="1"/>
    <col min="521" max="521" width="8.625" style="3069" customWidth="1"/>
    <col min="522" max="522" width="10.5" style="3069" customWidth="1"/>
    <col min="523" max="523" width="4.875" style="3069" customWidth="1"/>
    <col min="524" max="524" width="16.375" style="3069" customWidth="1"/>
    <col min="525" max="528" width="8.125" style="3069" customWidth="1"/>
    <col min="529" max="768" width="9" style="3069"/>
    <col min="769" max="769" width="6.375" style="3069" customWidth="1"/>
    <col min="770" max="770" width="19.375" style="3069" customWidth="1"/>
    <col min="771" max="771" width="7" style="3069" customWidth="1"/>
    <col min="772" max="772" width="3.25" style="3069" customWidth="1"/>
    <col min="773" max="773" width="7.375" style="3069" customWidth="1"/>
    <col min="774" max="774" width="3.5" style="3069" customWidth="1"/>
    <col min="775" max="775" width="19.375" style="3069" customWidth="1"/>
    <col min="776" max="776" width="19.5" style="3069" customWidth="1"/>
    <col min="777" max="777" width="8.625" style="3069" customWidth="1"/>
    <col min="778" max="778" width="10.5" style="3069" customWidth="1"/>
    <col min="779" max="779" width="4.875" style="3069" customWidth="1"/>
    <col min="780" max="780" width="16.375" style="3069" customWidth="1"/>
    <col min="781" max="784" width="8.125" style="3069" customWidth="1"/>
    <col min="785" max="1024" width="9" style="3069"/>
    <col min="1025" max="1025" width="6.375" style="3069" customWidth="1"/>
    <col min="1026" max="1026" width="19.375" style="3069" customWidth="1"/>
    <col min="1027" max="1027" width="7" style="3069" customWidth="1"/>
    <col min="1028" max="1028" width="3.25" style="3069" customWidth="1"/>
    <col min="1029" max="1029" width="7.375" style="3069" customWidth="1"/>
    <col min="1030" max="1030" width="3.5" style="3069" customWidth="1"/>
    <col min="1031" max="1031" width="19.375" style="3069" customWidth="1"/>
    <col min="1032" max="1032" width="19.5" style="3069" customWidth="1"/>
    <col min="1033" max="1033" width="8.625" style="3069" customWidth="1"/>
    <col min="1034" max="1034" width="10.5" style="3069" customWidth="1"/>
    <col min="1035" max="1035" width="4.875" style="3069" customWidth="1"/>
    <col min="1036" max="1036" width="16.375" style="3069" customWidth="1"/>
    <col min="1037" max="1040" width="8.125" style="3069" customWidth="1"/>
    <col min="1041" max="1280" width="9" style="3069"/>
    <col min="1281" max="1281" width="6.375" style="3069" customWidth="1"/>
    <col min="1282" max="1282" width="19.375" style="3069" customWidth="1"/>
    <col min="1283" max="1283" width="7" style="3069" customWidth="1"/>
    <col min="1284" max="1284" width="3.25" style="3069" customWidth="1"/>
    <col min="1285" max="1285" width="7.375" style="3069" customWidth="1"/>
    <col min="1286" max="1286" width="3.5" style="3069" customWidth="1"/>
    <col min="1287" max="1287" width="19.375" style="3069" customWidth="1"/>
    <col min="1288" max="1288" width="19.5" style="3069" customWidth="1"/>
    <col min="1289" max="1289" width="8.625" style="3069" customWidth="1"/>
    <col min="1290" max="1290" width="10.5" style="3069" customWidth="1"/>
    <col min="1291" max="1291" width="4.875" style="3069" customWidth="1"/>
    <col min="1292" max="1292" width="16.375" style="3069" customWidth="1"/>
    <col min="1293" max="1296" width="8.125" style="3069" customWidth="1"/>
    <col min="1297" max="1536" width="9" style="3069"/>
    <col min="1537" max="1537" width="6.375" style="3069" customWidth="1"/>
    <col min="1538" max="1538" width="19.375" style="3069" customWidth="1"/>
    <col min="1539" max="1539" width="7" style="3069" customWidth="1"/>
    <col min="1540" max="1540" width="3.25" style="3069" customWidth="1"/>
    <col min="1541" max="1541" width="7.375" style="3069" customWidth="1"/>
    <col min="1542" max="1542" width="3.5" style="3069" customWidth="1"/>
    <col min="1543" max="1543" width="19.375" style="3069" customWidth="1"/>
    <col min="1544" max="1544" width="19.5" style="3069" customWidth="1"/>
    <col min="1545" max="1545" width="8.625" style="3069" customWidth="1"/>
    <col min="1546" max="1546" width="10.5" style="3069" customWidth="1"/>
    <col min="1547" max="1547" width="4.875" style="3069" customWidth="1"/>
    <col min="1548" max="1548" width="16.375" style="3069" customWidth="1"/>
    <col min="1549" max="1552" width="8.125" style="3069" customWidth="1"/>
    <col min="1553" max="1792" width="9" style="3069"/>
    <col min="1793" max="1793" width="6.375" style="3069" customWidth="1"/>
    <col min="1794" max="1794" width="19.375" style="3069" customWidth="1"/>
    <col min="1795" max="1795" width="7" style="3069" customWidth="1"/>
    <col min="1796" max="1796" width="3.25" style="3069" customWidth="1"/>
    <col min="1797" max="1797" width="7.375" style="3069" customWidth="1"/>
    <col min="1798" max="1798" width="3.5" style="3069" customWidth="1"/>
    <col min="1799" max="1799" width="19.375" style="3069" customWidth="1"/>
    <col min="1800" max="1800" width="19.5" style="3069" customWidth="1"/>
    <col min="1801" max="1801" width="8.625" style="3069" customWidth="1"/>
    <col min="1802" max="1802" width="10.5" style="3069" customWidth="1"/>
    <col min="1803" max="1803" width="4.875" style="3069" customWidth="1"/>
    <col min="1804" max="1804" width="16.375" style="3069" customWidth="1"/>
    <col min="1805" max="1808" width="8.125" style="3069" customWidth="1"/>
    <col min="1809" max="2048" width="9" style="3069"/>
    <col min="2049" max="2049" width="6.375" style="3069" customWidth="1"/>
    <col min="2050" max="2050" width="19.375" style="3069" customWidth="1"/>
    <col min="2051" max="2051" width="7" style="3069" customWidth="1"/>
    <col min="2052" max="2052" width="3.25" style="3069" customWidth="1"/>
    <col min="2053" max="2053" width="7.375" style="3069" customWidth="1"/>
    <col min="2054" max="2054" width="3.5" style="3069" customWidth="1"/>
    <col min="2055" max="2055" width="19.375" style="3069" customWidth="1"/>
    <col min="2056" max="2056" width="19.5" style="3069" customWidth="1"/>
    <col min="2057" max="2057" width="8.625" style="3069" customWidth="1"/>
    <col min="2058" max="2058" width="10.5" style="3069" customWidth="1"/>
    <col min="2059" max="2059" width="4.875" style="3069" customWidth="1"/>
    <col min="2060" max="2060" width="16.375" style="3069" customWidth="1"/>
    <col min="2061" max="2064" width="8.125" style="3069" customWidth="1"/>
    <col min="2065" max="2304" width="9" style="3069"/>
    <col min="2305" max="2305" width="6.375" style="3069" customWidth="1"/>
    <col min="2306" max="2306" width="19.375" style="3069" customWidth="1"/>
    <col min="2307" max="2307" width="7" style="3069" customWidth="1"/>
    <col min="2308" max="2308" width="3.25" style="3069" customWidth="1"/>
    <col min="2309" max="2309" width="7.375" style="3069" customWidth="1"/>
    <col min="2310" max="2310" width="3.5" style="3069" customWidth="1"/>
    <col min="2311" max="2311" width="19.375" style="3069" customWidth="1"/>
    <col min="2312" max="2312" width="19.5" style="3069" customWidth="1"/>
    <col min="2313" max="2313" width="8.625" style="3069" customWidth="1"/>
    <col min="2314" max="2314" width="10.5" style="3069" customWidth="1"/>
    <col min="2315" max="2315" width="4.875" style="3069" customWidth="1"/>
    <col min="2316" max="2316" width="16.375" style="3069" customWidth="1"/>
    <col min="2317" max="2320" width="8.125" style="3069" customWidth="1"/>
    <col min="2321" max="2560" width="9" style="3069"/>
    <col min="2561" max="2561" width="6.375" style="3069" customWidth="1"/>
    <col min="2562" max="2562" width="19.375" style="3069" customWidth="1"/>
    <col min="2563" max="2563" width="7" style="3069" customWidth="1"/>
    <col min="2564" max="2564" width="3.25" style="3069" customWidth="1"/>
    <col min="2565" max="2565" width="7.375" style="3069" customWidth="1"/>
    <col min="2566" max="2566" width="3.5" style="3069" customWidth="1"/>
    <col min="2567" max="2567" width="19.375" style="3069" customWidth="1"/>
    <col min="2568" max="2568" width="19.5" style="3069" customWidth="1"/>
    <col min="2569" max="2569" width="8.625" style="3069" customWidth="1"/>
    <col min="2570" max="2570" width="10.5" style="3069" customWidth="1"/>
    <col min="2571" max="2571" width="4.875" style="3069" customWidth="1"/>
    <col min="2572" max="2572" width="16.375" style="3069" customWidth="1"/>
    <col min="2573" max="2576" width="8.125" style="3069" customWidth="1"/>
    <col min="2577" max="2816" width="9" style="3069"/>
    <col min="2817" max="2817" width="6.375" style="3069" customWidth="1"/>
    <col min="2818" max="2818" width="19.375" style="3069" customWidth="1"/>
    <col min="2819" max="2819" width="7" style="3069" customWidth="1"/>
    <col min="2820" max="2820" width="3.25" style="3069" customWidth="1"/>
    <col min="2821" max="2821" width="7.375" style="3069" customWidth="1"/>
    <col min="2822" max="2822" width="3.5" style="3069" customWidth="1"/>
    <col min="2823" max="2823" width="19.375" style="3069" customWidth="1"/>
    <col min="2824" max="2824" width="19.5" style="3069" customWidth="1"/>
    <col min="2825" max="2825" width="8.625" style="3069" customWidth="1"/>
    <col min="2826" max="2826" width="10.5" style="3069" customWidth="1"/>
    <col min="2827" max="2827" width="4.875" style="3069" customWidth="1"/>
    <col min="2828" max="2828" width="16.375" style="3069" customWidth="1"/>
    <col min="2829" max="2832" width="8.125" style="3069" customWidth="1"/>
    <col min="2833" max="3072" width="9" style="3069"/>
    <col min="3073" max="3073" width="6.375" style="3069" customWidth="1"/>
    <col min="3074" max="3074" width="19.375" style="3069" customWidth="1"/>
    <col min="3075" max="3075" width="7" style="3069" customWidth="1"/>
    <col min="3076" max="3076" width="3.25" style="3069" customWidth="1"/>
    <col min="3077" max="3077" width="7.375" style="3069" customWidth="1"/>
    <col min="3078" max="3078" width="3.5" style="3069" customWidth="1"/>
    <col min="3079" max="3079" width="19.375" style="3069" customWidth="1"/>
    <col min="3080" max="3080" width="19.5" style="3069" customWidth="1"/>
    <col min="3081" max="3081" width="8.625" style="3069" customWidth="1"/>
    <col min="3082" max="3082" width="10.5" style="3069" customWidth="1"/>
    <col min="3083" max="3083" width="4.875" style="3069" customWidth="1"/>
    <col min="3084" max="3084" width="16.375" style="3069" customWidth="1"/>
    <col min="3085" max="3088" width="8.125" style="3069" customWidth="1"/>
    <col min="3089" max="3328" width="9" style="3069"/>
    <col min="3329" max="3329" width="6.375" style="3069" customWidth="1"/>
    <col min="3330" max="3330" width="19.375" style="3069" customWidth="1"/>
    <col min="3331" max="3331" width="7" style="3069" customWidth="1"/>
    <col min="3332" max="3332" width="3.25" style="3069" customWidth="1"/>
    <col min="3333" max="3333" width="7.375" style="3069" customWidth="1"/>
    <col min="3334" max="3334" width="3.5" style="3069" customWidth="1"/>
    <col min="3335" max="3335" width="19.375" style="3069" customWidth="1"/>
    <col min="3336" max="3336" width="19.5" style="3069" customWidth="1"/>
    <col min="3337" max="3337" width="8.625" style="3069" customWidth="1"/>
    <col min="3338" max="3338" width="10.5" style="3069" customWidth="1"/>
    <col min="3339" max="3339" width="4.875" style="3069" customWidth="1"/>
    <col min="3340" max="3340" width="16.375" style="3069" customWidth="1"/>
    <col min="3341" max="3344" width="8.125" style="3069" customWidth="1"/>
    <col min="3345" max="3584" width="9" style="3069"/>
    <col min="3585" max="3585" width="6.375" style="3069" customWidth="1"/>
    <col min="3586" max="3586" width="19.375" style="3069" customWidth="1"/>
    <col min="3587" max="3587" width="7" style="3069" customWidth="1"/>
    <col min="3588" max="3588" width="3.25" style="3069" customWidth="1"/>
    <col min="3589" max="3589" width="7.375" style="3069" customWidth="1"/>
    <col min="3590" max="3590" width="3.5" style="3069" customWidth="1"/>
    <col min="3591" max="3591" width="19.375" style="3069" customWidth="1"/>
    <col min="3592" max="3592" width="19.5" style="3069" customWidth="1"/>
    <col min="3593" max="3593" width="8.625" style="3069" customWidth="1"/>
    <col min="3594" max="3594" width="10.5" style="3069" customWidth="1"/>
    <col min="3595" max="3595" width="4.875" style="3069" customWidth="1"/>
    <col min="3596" max="3596" width="16.375" style="3069" customWidth="1"/>
    <col min="3597" max="3600" width="8.125" style="3069" customWidth="1"/>
    <col min="3601" max="3840" width="9" style="3069"/>
    <col min="3841" max="3841" width="6.375" style="3069" customWidth="1"/>
    <col min="3842" max="3842" width="19.375" style="3069" customWidth="1"/>
    <col min="3843" max="3843" width="7" style="3069" customWidth="1"/>
    <col min="3844" max="3844" width="3.25" style="3069" customWidth="1"/>
    <col min="3845" max="3845" width="7.375" style="3069" customWidth="1"/>
    <col min="3846" max="3846" width="3.5" style="3069" customWidth="1"/>
    <col min="3847" max="3847" width="19.375" style="3069" customWidth="1"/>
    <col min="3848" max="3848" width="19.5" style="3069" customWidth="1"/>
    <col min="3849" max="3849" width="8.625" style="3069" customWidth="1"/>
    <col min="3850" max="3850" width="10.5" style="3069" customWidth="1"/>
    <col min="3851" max="3851" width="4.875" style="3069" customWidth="1"/>
    <col min="3852" max="3852" width="16.375" style="3069" customWidth="1"/>
    <col min="3853" max="3856" width="8.125" style="3069" customWidth="1"/>
    <col min="3857" max="4096" width="9" style="3069"/>
    <col min="4097" max="4097" width="6.375" style="3069" customWidth="1"/>
    <col min="4098" max="4098" width="19.375" style="3069" customWidth="1"/>
    <col min="4099" max="4099" width="7" style="3069" customWidth="1"/>
    <col min="4100" max="4100" width="3.25" style="3069" customWidth="1"/>
    <col min="4101" max="4101" width="7.375" style="3069" customWidth="1"/>
    <col min="4102" max="4102" width="3.5" style="3069" customWidth="1"/>
    <col min="4103" max="4103" width="19.375" style="3069" customWidth="1"/>
    <col min="4104" max="4104" width="19.5" style="3069" customWidth="1"/>
    <col min="4105" max="4105" width="8.625" style="3069" customWidth="1"/>
    <col min="4106" max="4106" width="10.5" style="3069" customWidth="1"/>
    <col min="4107" max="4107" width="4.875" style="3069" customWidth="1"/>
    <col min="4108" max="4108" width="16.375" style="3069" customWidth="1"/>
    <col min="4109" max="4112" width="8.125" style="3069" customWidth="1"/>
    <col min="4113" max="4352" width="9" style="3069"/>
    <col min="4353" max="4353" width="6.375" style="3069" customWidth="1"/>
    <col min="4354" max="4354" width="19.375" style="3069" customWidth="1"/>
    <col min="4355" max="4355" width="7" style="3069" customWidth="1"/>
    <col min="4356" max="4356" width="3.25" style="3069" customWidth="1"/>
    <col min="4357" max="4357" width="7.375" style="3069" customWidth="1"/>
    <col min="4358" max="4358" width="3.5" style="3069" customWidth="1"/>
    <col min="4359" max="4359" width="19.375" style="3069" customWidth="1"/>
    <col min="4360" max="4360" width="19.5" style="3069" customWidth="1"/>
    <col min="4361" max="4361" width="8.625" style="3069" customWidth="1"/>
    <col min="4362" max="4362" width="10.5" style="3069" customWidth="1"/>
    <col min="4363" max="4363" width="4.875" style="3069" customWidth="1"/>
    <col min="4364" max="4364" width="16.375" style="3069" customWidth="1"/>
    <col min="4365" max="4368" width="8.125" style="3069" customWidth="1"/>
    <col min="4369" max="4608" width="9" style="3069"/>
    <col min="4609" max="4609" width="6.375" style="3069" customWidth="1"/>
    <col min="4610" max="4610" width="19.375" style="3069" customWidth="1"/>
    <col min="4611" max="4611" width="7" style="3069" customWidth="1"/>
    <col min="4612" max="4612" width="3.25" style="3069" customWidth="1"/>
    <col min="4613" max="4613" width="7.375" style="3069" customWidth="1"/>
    <col min="4614" max="4614" width="3.5" style="3069" customWidth="1"/>
    <col min="4615" max="4615" width="19.375" style="3069" customWidth="1"/>
    <col min="4616" max="4616" width="19.5" style="3069" customWidth="1"/>
    <col min="4617" max="4617" width="8.625" style="3069" customWidth="1"/>
    <col min="4618" max="4618" width="10.5" style="3069" customWidth="1"/>
    <col min="4619" max="4619" width="4.875" style="3069" customWidth="1"/>
    <col min="4620" max="4620" width="16.375" style="3069" customWidth="1"/>
    <col min="4621" max="4624" width="8.125" style="3069" customWidth="1"/>
    <col min="4625" max="4864" width="9" style="3069"/>
    <col min="4865" max="4865" width="6.375" style="3069" customWidth="1"/>
    <col min="4866" max="4866" width="19.375" style="3069" customWidth="1"/>
    <col min="4867" max="4867" width="7" style="3069" customWidth="1"/>
    <col min="4868" max="4868" width="3.25" style="3069" customWidth="1"/>
    <col min="4869" max="4869" width="7.375" style="3069" customWidth="1"/>
    <col min="4870" max="4870" width="3.5" style="3069" customWidth="1"/>
    <col min="4871" max="4871" width="19.375" style="3069" customWidth="1"/>
    <col min="4872" max="4872" width="19.5" style="3069" customWidth="1"/>
    <col min="4873" max="4873" width="8.625" style="3069" customWidth="1"/>
    <col min="4874" max="4874" width="10.5" style="3069" customWidth="1"/>
    <col min="4875" max="4875" width="4.875" style="3069" customWidth="1"/>
    <col min="4876" max="4876" width="16.375" style="3069" customWidth="1"/>
    <col min="4877" max="4880" width="8.125" style="3069" customWidth="1"/>
    <col min="4881" max="5120" width="9" style="3069"/>
    <col min="5121" max="5121" width="6.375" style="3069" customWidth="1"/>
    <col min="5122" max="5122" width="19.375" style="3069" customWidth="1"/>
    <col min="5123" max="5123" width="7" style="3069" customWidth="1"/>
    <col min="5124" max="5124" width="3.25" style="3069" customWidth="1"/>
    <col min="5125" max="5125" width="7.375" style="3069" customWidth="1"/>
    <col min="5126" max="5126" width="3.5" style="3069" customWidth="1"/>
    <col min="5127" max="5127" width="19.375" style="3069" customWidth="1"/>
    <col min="5128" max="5128" width="19.5" style="3069" customWidth="1"/>
    <col min="5129" max="5129" width="8.625" style="3069" customWidth="1"/>
    <col min="5130" max="5130" width="10.5" style="3069" customWidth="1"/>
    <col min="5131" max="5131" width="4.875" style="3069" customWidth="1"/>
    <col min="5132" max="5132" width="16.375" style="3069" customWidth="1"/>
    <col min="5133" max="5136" width="8.125" style="3069" customWidth="1"/>
    <col min="5137" max="5376" width="9" style="3069"/>
    <col min="5377" max="5377" width="6.375" style="3069" customWidth="1"/>
    <col min="5378" max="5378" width="19.375" style="3069" customWidth="1"/>
    <col min="5379" max="5379" width="7" style="3069" customWidth="1"/>
    <col min="5380" max="5380" width="3.25" style="3069" customWidth="1"/>
    <col min="5381" max="5381" width="7.375" style="3069" customWidth="1"/>
    <col min="5382" max="5382" width="3.5" style="3069" customWidth="1"/>
    <col min="5383" max="5383" width="19.375" style="3069" customWidth="1"/>
    <col min="5384" max="5384" width="19.5" style="3069" customWidth="1"/>
    <col min="5385" max="5385" width="8.625" style="3069" customWidth="1"/>
    <col min="5386" max="5386" width="10.5" style="3069" customWidth="1"/>
    <col min="5387" max="5387" width="4.875" style="3069" customWidth="1"/>
    <col min="5388" max="5388" width="16.375" style="3069" customWidth="1"/>
    <col min="5389" max="5392" width="8.125" style="3069" customWidth="1"/>
    <col min="5393" max="5632" width="9" style="3069"/>
    <col min="5633" max="5633" width="6.375" style="3069" customWidth="1"/>
    <col min="5634" max="5634" width="19.375" style="3069" customWidth="1"/>
    <col min="5635" max="5635" width="7" style="3069" customWidth="1"/>
    <col min="5636" max="5636" width="3.25" style="3069" customWidth="1"/>
    <col min="5637" max="5637" width="7.375" style="3069" customWidth="1"/>
    <col min="5638" max="5638" width="3.5" style="3069" customWidth="1"/>
    <col min="5639" max="5639" width="19.375" style="3069" customWidth="1"/>
    <col min="5640" max="5640" width="19.5" style="3069" customWidth="1"/>
    <col min="5641" max="5641" width="8.625" style="3069" customWidth="1"/>
    <col min="5642" max="5642" width="10.5" style="3069" customWidth="1"/>
    <col min="5643" max="5643" width="4.875" style="3069" customWidth="1"/>
    <col min="5644" max="5644" width="16.375" style="3069" customWidth="1"/>
    <col min="5645" max="5648" width="8.125" style="3069" customWidth="1"/>
    <col min="5649" max="5888" width="9" style="3069"/>
    <col min="5889" max="5889" width="6.375" style="3069" customWidth="1"/>
    <col min="5890" max="5890" width="19.375" style="3069" customWidth="1"/>
    <col min="5891" max="5891" width="7" style="3069" customWidth="1"/>
    <col min="5892" max="5892" width="3.25" style="3069" customWidth="1"/>
    <col min="5893" max="5893" width="7.375" style="3069" customWidth="1"/>
    <col min="5894" max="5894" width="3.5" style="3069" customWidth="1"/>
    <col min="5895" max="5895" width="19.375" style="3069" customWidth="1"/>
    <col min="5896" max="5896" width="19.5" style="3069" customWidth="1"/>
    <col min="5897" max="5897" width="8.625" style="3069" customWidth="1"/>
    <col min="5898" max="5898" width="10.5" style="3069" customWidth="1"/>
    <col min="5899" max="5899" width="4.875" style="3069" customWidth="1"/>
    <col min="5900" max="5900" width="16.375" style="3069" customWidth="1"/>
    <col min="5901" max="5904" width="8.125" style="3069" customWidth="1"/>
    <col min="5905" max="6144" width="9" style="3069"/>
    <col min="6145" max="6145" width="6.375" style="3069" customWidth="1"/>
    <col min="6146" max="6146" width="19.375" style="3069" customWidth="1"/>
    <col min="6147" max="6147" width="7" style="3069" customWidth="1"/>
    <col min="6148" max="6148" width="3.25" style="3069" customWidth="1"/>
    <col min="6149" max="6149" width="7.375" style="3069" customWidth="1"/>
    <col min="6150" max="6150" width="3.5" style="3069" customWidth="1"/>
    <col min="6151" max="6151" width="19.375" style="3069" customWidth="1"/>
    <col min="6152" max="6152" width="19.5" style="3069" customWidth="1"/>
    <col min="6153" max="6153" width="8.625" style="3069" customWidth="1"/>
    <col min="6154" max="6154" width="10.5" style="3069" customWidth="1"/>
    <col min="6155" max="6155" width="4.875" style="3069" customWidth="1"/>
    <col min="6156" max="6156" width="16.375" style="3069" customWidth="1"/>
    <col min="6157" max="6160" width="8.125" style="3069" customWidth="1"/>
    <col min="6161" max="6400" width="9" style="3069"/>
    <col min="6401" max="6401" width="6.375" style="3069" customWidth="1"/>
    <col min="6402" max="6402" width="19.375" style="3069" customWidth="1"/>
    <col min="6403" max="6403" width="7" style="3069" customWidth="1"/>
    <col min="6404" max="6404" width="3.25" style="3069" customWidth="1"/>
    <col min="6405" max="6405" width="7.375" style="3069" customWidth="1"/>
    <col min="6406" max="6406" width="3.5" style="3069" customWidth="1"/>
    <col min="6407" max="6407" width="19.375" style="3069" customWidth="1"/>
    <col min="6408" max="6408" width="19.5" style="3069" customWidth="1"/>
    <col min="6409" max="6409" width="8.625" style="3069" customWidth="1"/>
    <col min="6410" max="6410" width="10.5" style="3069" customWidth="1"/>
    <col min="6411" max="6411" width="4.875" style="3069" customWidth="1"/>
    <col min="6412" max="6412" width="16.375" style="3069" customWidth="1"/>
    <col min="6413" max="6416" width="8.125" style="3069" customWidth="1"/>
    <col min="6417" max="6656" width="9" style="3069"/>
    <col min="6657" max="6657" width="6.375" style="3069" customWidth="1"/>
    <col min="6658" max="6658" width="19.375" style="3069" customWidth="1"/>
    <col min="6659" max="6659" width="7" style="3069" customWidth="1"/>
    <col min="6660" max="6660" width="3.25" style="3069" customWidth="1"/>
    <col min="6661" max="6661" width="7.375" style="3069" customWidth="1"/>
    <col min="6662" max="6662" width="3.5" style="3069" customWidth="1"/>
    <col min="6663" max="6663" width="19.375" style="3069" customWidth="1"/>
    <col min="6664" max="6664" width="19.5" style="3069" customWidth="1"/>
    <col min="6665" max="6665" width="8.625" style="3069" customWidth="1"/>
    <col min="6666" max="6666" width="10.5" style="3069" customWidth="1"/>
    <col min="6667" max="6667" width="4.875" style="3069" customWidth="1"/>
    <col min="6668" max="6668" width="16.375" style="3069" customWidth="1"/>
    <col min="6669" max="6672" width="8.125" style="3069" customWidth="1"/>
    <col min="6673" max="6912" width="9" style="3069"/>
    <col min="6913" max="6913" width="6.375" style="3069" customWidth="1"/>
    <col min="6914" max="6914" width="19.375" style="3069" customWidth="1"/>
    <col min="6915" max="6915" width="7" style="3069" customWidth="1"/>
    <col min="6916" max="6916" width="3.25" style="3069" customWidth="1"/>
    <col min="6917" max="6917" width="7.375" style="3069" customWidth="1"/>
    <col min="6918" max="6918" width="3.5" style="3069" customWidth="1"/>
    <col min="6919" max="6919" width="19.375" style="3069" customWidth="1"/>
    <col min="6920" max="6920" width="19.5" style="3069" customWidth="1"/>
    <col min="6921" max="6921" width="8.625" style="3069" customWidth="1"/>
    <col min="6922" max="6922" width="10.5" style="3069" customWidth="1"/>
    <col min="6923" max="6923" width="4.875" style="3069" customWidth="1"/>
    <col min="6924" max="6924" width="16.375" style="3069" customWidth="1"/>
    <col min="6925" max="6928" width="8.125" style="3069" customWidth="1"/>
    <col min="6929" max="7168" width="9" style="3069"/>
    <col min="7169" max="7169" width="6.375" style="3069" customWidth="1"/>
    <col min="7170" max="7170" width="19.375" style="3069" customWidth="1"/>
    <col min="7171" max="7171" width="7" style="3069" customWidth="1"/>
    <col min="7172" max="7172" width="3.25" style="3069" customWidth="1"/>
    <col min="7173" max="7173" width="7.375" style="3069" customWidth="1"/>
    <col min="7174" max="7174" width="3.5" style="3069" customWidth="1"/>
    <col min="7175" max="7175" width="19.375" style="3069" customWidth="1"/>
    <col min="7176" max="7176" width="19.5" style="3069" customWidth="1"/>
    <col min="7177" max="7177" width="8.625" style="3069" customWidth="1"/>
    <col min="7178" max="7178" width="10.5" style="3069" customWidth="1"/>
    <col min="7179" max="7179" width="4.875" style="3069" customWidth="1"/>
    <col min="7180" max="7180" width="16.375" style="3069" customWidth="1"/>
    <col min="7181" max="7184" width="8.125" style="3069" customWidth="1"/>
    <col min="7185" max="7424" width="9" style="3069"/>
    <col min="7425" max="7425" width="6.375" style="3069" customWidth="1"/>
    <col min="7426" max="7426" width="19.375" style="3069" customWidth="1"/>
    <col min="7427" max="7427" width="7" style="3069" customWidth="1"/>
    <col min="7428" max="7428" width="3.25" style="3069" customWidth="1"/>
    <col min="7429" max="7429" width="7.375" style="3069" customWidth="1"/>
    <col min="7430" max="7430" width="3.5" style="3069" customWidth="1"/>
    <col min="7431" max="7431" width="19.375" style="3069" customWidth="1"/>
    <col min="7432" max="7432" width="19.5" style="3069" customWidth="1"/>
    <col min="7433" max="7433" width="8.625" style="3069" customWidth="1"/>
    <col min="7434" max="7434" width="10.5" style="3069" customWidth="1"/>
    <col min="7435" max="7435" width="4.875" style="3069" customWidth="1"/>
    <col min="7436" max="7436" width="16.375" style="3069" customWidth="1"/>
    <col min="7437" max="7440" width="8.125" style="3069" customWidth="1"/>
    <col min="7441" max="7680" width="9" style="3069"/>
    <col min="7681" max="7681" width="6.375" style="3069" customWidth="1"/>
    <col min="7682" max="7682" width="19.375" style="3069" customWidth="1"/>
    <col min="7683" max="7683" width="7" style="3069" customWidth="1"/>
    <col min="7684" max="7684" width="3.25" style="3069" customWidth="1"/>
    <col min="7685" max="7685" width="7.375" style="3069" customWidth="1"/>
    <col min="7686" max="7686" width="3.5" style="3069" customWidth="1"/>
    <col min="7687" max="7687" width="19.375" style="3069" customWidth="1"/>
    <col min="7688" max="7688" width="19.5" style="3069" customWidth="1"/>
    <col min="7689" max="7689" width="8.625" style="3069" customWidth="1"/>
    <col min="7690" max="7690" width="10.5" style="3069" customWidth="1"/>
    <col min="7691" max="7691" width="4.875" style="3069" customWidth="1"/>
    <col min="7692" max="7692" width="16.375" style="3069" customWidth="1"/>
    <col min="7693" max="7696" width="8.125" style="3069" customWidth="1"/>
    <col min="7697" max="7936" width="9" style="3069"/>
    <col min="7937" max="7937" width="6.375" style="3069" customWidth="1"/>
    <col min="7938" max="7938" width="19.375" style="3069" customWidth="1"/>
    <col min="7939" max="7939" width="7" style="3069" customWidth="1"/>
    <col min="7940" max="7940" width="3.25" style="3069" customWidth="1"/>
    <col min="7941" max="7941" width="7.375" style="3069" customWidth="1"/>
    <col min="7942" max="7942" width="3.5" style="3069" customWidth="1"/>
    <col min="7943" max="7943" width="19.375" style="3069" customWidth="1"/>
    <col min="7944" max="7944" width="19.5" style="3069" customWidth="1"/>
    <col min="7945" max="7945" width="8.625" style="3069" customWidth="1"/>
    <col min="7946" max="7946" width="10.5" style="3069" customWidth="1"/>
    <col min="7947" max="7947" width="4.875" style="3069" customWidth="1"/>
    <col min="7948" max="7948" width="16.375" style="3069" customWidth="1"/>
    <col min="7949" max="7952" width="8.125" style="3069" customWidth="1"/>
    <col min="7953" max="8192" width="9" style="3069"/>
    <col min="8193" max="8193" width="6.375" style="3069" customWidth="1"/>
    <col min="8194" max="8194" width="19.375" style="3069" customWidth="1"/>
    <col min="8195" max="8195" width="7" style="3069" customWidth="1"/>
    <col min="8196" max="8196" width="3.25" style="3069" customWidth="1"/>
    <col min="8197" max="8197" width="7.375" style="3069" customWidth="1"/>
    <col min="8198" max="8198" width="3.5" style="3069" customWidth="1"/>
    <col min="8199" max="8199" width="19.375" style="3069" customWidth="1"/>
    <col min="8200" max="8200" width="19.5" style="3069" customWidth="1"/>
    <col min="8201" max="8201" width="8.625" style="3069" customWidth="1"/>
    <col min="8202" max="8202" width="10.5" style="3069" customWidth="1"/>
    <col min="8203" max="8203" width="4.875" style="3069" customWidth="1"/>
    <col min="8204" max="8204" width="16.375" style="3069" customWidth="1"/>
    <col min="8205" max="8208" width="8.125" style="3069" customWidth="1"/>
    <col min="8209" max="8448" width="9" style="3069"/>
    <col min="8449" max="8449" width="6.375" style="3069" customWidth="1"/>
    <col min="8450" max="8450" width="19.375" style="3069" customWidth="1"/>
    <col min="8451" max="8451" width="7" style="3069" customWidth="1"/>
    <col min="8452" max="8452" width="3.25" style="3069" customWidth="1"/>
    <col min="8453" max="8453" width="7.375" style="3069" customWidth="1"/>
    <col min="8454" max="8454" width="3.5" style="3069" customWidth="1"/>
    <col min="8455" max="8455" width="19.375" style="3069" customWidth="1"/>
    <col min="8456" max="8456" width="19.5" style="3069" customWidth="1"/>
    <col min="8457" max="8457" width="8.625" style="3069" customWidth="1"/>
    <col min="8458" max="8458" width="10.5" style="3069" customWidth="1"/>
    <col min="8459" max="8459" width="4.875" style="3069" customWidth="1"/>
    <col min="8460" max="8460" width="16.375" style="3069" customWidth="1"/>
    <col min="8461" max="8464" width="8.125" style="3069" customWidth="1"/>
    <col min="8465" max="8704" width="9" style="3069"/>
    <col min="8705" max="8705" width="6.375" style="3069" customWidth="1"/>
    <col min="8706" max="8706" width="19.375" style="3069" customWidth="1"/>
    <col min="8707" max="8707" width="7" style="3069" customWidth="1"/>
    <col min="8708" max="8708" width="3.25" style="3069" customWidth="1"/>
    <col min="8709" max="8709" width="7.375" style="3069" customWidth="1"/>
    <col min="8710" max="8710" width="3.5" style="3069" customWidth="1"/>
    <col min="8711" max="8711" width="19.375" style="3069" customWidth="1"/>
    <col min="8712" max="8712" width="19.5" style="3069" customWidth="1"/>
    <col min="8713" max="8713" width="8.625" style="3069" customWidth="1"/>
    <col min="8714" max="8714" width="10.5" style="3069" customWidth="1"/>
    <col min="8715" max="8715" width="4.875" style="3069" customWidth="1"/>
    <col min="8716" max="8716" width="16.375" style="3069" customWidth="1"/>
    <col min="8717" max="8720" width="8.125" style="3069" customWidth="1"/>
    <col min="8721" max="8960" width="9" style="3069"/>
    <col min="8961" max="8961" width="6.375" style="3069" customWidth="1"/>
    <col min="8962" max="8962" width="19.375" style="3069" customWidth="1"/>
    <col min="8963" max="8963" width="7" style="3069" customWidth="1"/>
    <col min="8964" max="8964" width="3.25" style="3069" customWidth="1"/>
    <col min="8965" max="8965" width="7.375" style="3069" customWidth="1"/>
    <col min="8966" max="8966" width="3.5" style="3069" customWidth="1"/>
    <col min="8967" max="8967" width="19.375" style="3069" customWidth="1"/>
    <col min="8968" max="8968" width="19.5" style="3069" customWidth="1"/>
    <col min="8969" max="8969" width="8.625" style="3069" customWidth="1"/>
    <col min="8970" max="8970" width="10.5" style="3069" customWidth="1"/>
    <col min="8971" max="8971" width="4.875" style="3069" customWidth="1"/>
    <col min="8972" max="8972" width="16.375" style="3069" customWidth="1"/>
    <col min="8973" max="8976" width="8.125" style="3069" customWidth="1"/>
    <col min="8977" max="9216" width="9" style="3069"/>
    <col min="9217" max="9217" width="6.375" style="3069" customWidth="1"/>
    <col min="9218" max="9218" width="19.375" style="3069" customWidth="1"/>
    <col min="9219" max="9219" width="7" style="3069" customWidth="1"/>
    <col min="9220" max="9220" width="3.25" style="3069" customWidth="1"/>
    <col min="9221" max="9221" width="7.375" style="3069" customWidth="1"/>
    <col min="9222" max="9222" width="3.5" style="3069" customWidth="1"/>
    <col min="9223" max="9223" width="19.375" style="3069" customWidth="1"/>
    <col min="9224" max="9224" width="19.5" style="3069" customWidth="1"/>
    <col min="9225" max="9225" width="8.625" style="3069" customWidth="1"/>
    <col min="9226" max="9226" width="10.5" style="3069" customWidth="1"/>
    <col min="9227" max="9227" width="4.875" style="3069" customWidth="1"/>
    <col min="9228" max="9228" width="16.375" style="3069" customWidth="1"/>
    <col min="9229" max="9232" width="8.125" style="3069" customWidth="1"/>
    <col min="9233" max="9472" width="9" style="3069"/>
    <col min="9473" max="9473" width="6.375" style="3069" customWidth="1"/>
    <col min="9474" max="9474" width="19.375" style="3069" customWidth="1"/>
    <col min="9475" max="9475" width="7" style="3069" customWidth="1"/>
    <col min="9476" max="9476" width="3.25" style="3069" customWidth="1"/>
    <col min="9477" max="9477" width="7.375" style="3069" customWidth="1"/>
    <col min="9478" max="9478" width="3.5" style="3069" customWidth="1"/>
    <col min="9479" max="9479" width="19.375" style="3069" customWidth="1"/>
    <col min="9480" max="9480" width="19.5" style="3069" customWidth="1"/>
    <col min="9481" max="9481" width="8.625" style="3069" customWidth="1"/>
    <col min="9482" max="9482" width="10.5" style="3069" customWidth="1"/>
    <col min="9483" max="9483" width="4.875" style="3069" customWidth="1"/>
    <col min="9484" max="9484" width="16.375" style="3069" customWidth="1"/>
    <col min="9485" max="9488" width="8.125" style="3069" customWidth="1"/>
    <col min="9489" max="9728" width="9" style="3069"/>
    <col min="9729" max="9729" width="6.375" style="3069" customWidth="1"/>
    <col min="9730" max="9730" width="19.375" style="3069" customWidth="1"/>
    <col min="9731" max="9731" width="7" style="3069" customWidth="1"/>
    <col min="9732" max="9732" width="3.25" style="3069" customWidth="1"/>
    <col min="9733" max="9733" width="7.375" style="3069" customWidth="1"/>
    <col min="9734" max="9734" width="3.5" style="3069" customWidth="1"/>
    <col min="9735" max="9735" width="19.375" style="3069" customWidth="1"/>
    <col min="9736" max="9736" width="19.5" style="3069" customWidth="1"/>
    <col min="9737" max="9737" width="8.625" style="3069" customWidth="1"/>
    <col min="9738" max="9738" width="10.5" style="3069" customWidth="1"/>
    <col min="9739" max="9739" width="4.875" style="3069" customWidth="1"/>
    <col min="9740" max="9740" width="16.375" style="3069" customWidth="1"/>
    <col min="9741" max="9744" width="8.125" style="3069" customWidth="1"/>
    <col min="9745" max="9984" width="9" style="3069"/>
    <col min="9985" max="9985" width="6.375" style="3069" customWidth="1"/>
    <col min="9986" max="9986" width="19.375" style="3069" customWidth="1"/>
    <col min="9987" max="9987" width="7" style="3069" customWidth="1"/>
    <col min="9988" max="9988" width="3.25" style="3069" customWidth="1"/>
    <col min="9989" max="9989" width="7.375" style="3069" customWidth="1"/>
    <col min="9990" max="9990" width="3.5" style="3069" customWidth="1"/>
    <col min="9991" max="9991" width="19.375" style="3069" customWidth="1"/>
    <col min="9992" max="9992" width="19.5" style="3069" customWidth="1"/>
    <col min="9993" max="9993" width="8.625" style="3069" customWidth="1"/>
    <col min="9994" max="9994" width="10.5" style="3069" customWidth="1"/>
    <col min="9995" max="9995" width="4.875" style="3069" customWidth="1"/>
    <col min="9996" max="9996" width="16.375" style="3069" customWidth="1"/>
    <col min="9997" max="10000" width="8.125" style="3069" customWidth="1"/>
    <col min="10001" max="10240" width="9" style="3069"/>
    <col min="10241" max="10241" width="6.375" style="3069" customWidth="1"/>
    <col min="10242" max="10242" width="19.375" style="3069" customWidth="1"/>
    <col min="10243" max="10243" width="7" style="3069" customWidth="1"/>
    <col min="10244" max="10244" width="3.25" style="3069" customWidth="1"/>
    <col min="10245" max="10245" width="7.375" style="3069" customWidth="1"/>
    <col min="10246" max="10246" width="3.5" style="3069" customWidth="1"/>
    <col min="10247" max="10247" width="19.375" style="3069" customWidth="1"/>
    <col min="10248" max="10248" width="19.5" style="3069" customWidth="1"/>
    <col min="10249" max="10249" width="8.625" style="3069" customWidth="1"/>
    <col min="10250" max="10250" width="10.5" style="3069" customWidth="1"/>
    <col min="10251" max="10251" width="4.875" style="3069" customWidth="1"/>
    <col min="10252" max="10252" width="16.375" style="3069" customWidth="1"/>
    <col min="10253" max="10256" width="8.125" style="3069" customWidth="1"/>
    <col min="10257" max="10496" width="9" style="3069"/>
    <col min="10497" max="10497" width="6.375" style="3069" customWidth="1"/>
    <col min="10498" max="10498" width="19.375" style="3069" customWidth="1"/>
    <col min="10499" max="10499" width="7" style="3069" customWidth="1"/>
    <col min="10500" max="10500" width="3.25" style="3069" customWidth="1"/>
    <col min="10501" max="10501" width="7.375" style="3069" customWidth="1"/>
    <col min="10502" max="10502" width="3.5" style="3069" customWidth="1"/>
    <col min="10503" max="10503" width="19.375" style="3069" customWidth="1"/>
    <col min="10504" max="10504" width="19.5" style="3069" customWidth="1"/>
    <col min="10505" max="10505" width="8.625" style="3069" customWidth="1"/>
    <col min="10506" max="10506" width="10.5" style="3069" customWidth="1"/>
    <col min="10507" max="10507" width="4.875" style="3069" customWidth="1"/>
    <col min="10508" max="10508" width="16.375" style="3069" customWidth="1"/>
    <col min="10509" max="10512" width="8.125" style="3069" customWidth="1"/>
    <col min="10513" max="10752" width="9" style="3069"/>
    <col min="10753" max="10753" width="6.375" style="3069" customWidth="1"/>
    <col min="10754" max="10754" width="19.375" style="3069" customWidth="1"/>
    <col min="10755" max="10755" width="7" style="3069" customWidth="1"/>
    <col min="10756" max="10756" width="3.25" style="3069" customWidth="1"/>
    <col min="10757" max="10757" width="7.375" style="3069" customWidth="1"/>
    <col min="10758" max="10758" width="3.5" style="3069" customWidth="1"/>
    <col min="10759" max="10759" width="19.375" style="3069" customWidth="1"/>
    <col min="10760" max="10760" width="19.5" style="3069" customWidth="1"/>
    <col min="10761" max="10761" width="8.625" style="3069" customWidth="1"/>
    <col min="10762" max="10762" width="10.5" style="3069" customWidth="1"/>
    <col min="10763" max="10763" width="4.875" style="3069" customWidth="1"/>
    <col min="10764" max="10764" width="16.375" style="3069" customWidth="1"/>
    <col min="10765" max="10768" width="8.125" style="3069" customWidth="1"/>
    <col min="10769" max="11008" width="9" style="3069"/>
    <col min="11009" max="11009" width="6.375" style="3069" customWidth="1"/>
    <col min="11010" max="11010" width="19.375" style="3069" customWidth="1"/>
    <col min="11011" max="11011" width="7" style="3069" customWidth="1"/>
    <col min="11012" max="11012" width="3.25" style="3069" customWidth="1"/>
    <col min="11013" max="11013" width="7.375" style="3069" customWidth="1"/>
    <col min="11014" max="11014" width="3.5" style="3069" customWidth="1"/>
    <col min="11015" max="11015" width="19.375" style="3069" customWidth="1"/>
    <col min="11016" max="11016" width="19.5" style="3069" customWidth="1"/>
    <col min="11017" max="11017" width="8.625" style="3069" customWidth="1"/>
    <col min="11018" max="11018" width="10.5" style="3069" customWidth="1"/>
    <col min="11019" max="11019" width="4.875" style="3069" customWidth="1"/>
    <col min="11020" max="11020" width="16.375" style="3069" customWidth="1"/>
    <col min="11021" max="11024" width="8.125" style="3069" customWidth="1"/>
    <col min="11025" max="11264" width="9" style="3069"/>
    <col min="11265" max="11265" width="6.375" style="3069" customWidth="1"/>
    <col min="11266" max="11266" width="19.375" style="3069" customWidth="1"/>
    <col min="11267" max="11267" width="7" style="3069" customWidth="1"/>
    <col min="11268" max="11268" width="3.25" style="3069" customWidth="1"/>
    <col min="11269" max="11269" width="7.375" style="3069" customWidth="1"/>
    <col min="11270" max="11270" width="3.5" style="3069" customWidth="1"/>
    <col min="11271" max="11271" width="19.375" style="3069" customWidth="1"/>
    <col min="11272" max="11272" width="19.5" style="3069" customWidth="1"/>
    <col min="11273" max="11273" width="8.625" style="3069" customWidth="1"/>
    <col min="11274" max="11274" width="10.5" style="3069" customWidth="1"/>
    <col min="11275" max="11275" width="4.875" style="3069" customWidth="1"/>
    <col min="11276" max="11276" width="16.375" style="3069" customWidth="1"/>
    <col min="11277" max="11280" width="8.125" style="3069" customWidth="1"/>
    <col min="11281" max="11520" width="9" style="3069"/>
    <col min="11521" max="11521" width="6.375" style="3069" customWidth="1"/>
    <col min="11522" max="11522" width="19.375" style="3069" customWidth="1"/>
    <col min="11523" max="11523" width="7" style="3069" customWidth="1"/>
    <col min="11524" max="11524" width="3.25" style="3069" customWidth="1"/>
    <col min="11525" max="11525" width="7.375" style="3069" customWidth="1"/>
    <col min="11526" max="11526" width="3.5" style="3069" customWidth="1"/>
    <col min="11527" max="11527" width="19.375" style="3069" customWidth="1"/>
    <col min="11528" max="11528" width="19.5" style="3069" customWidth="1"/>
    <col min="11529" max="11529" width="8.625" style="3069" customWidth="1"/>
    <col min="11530" max="11530" width="10.5" style="3069" customWidth="1"/>
    <col min="11531" max="11531" width="4.875" style="3069" customWidth="1"/>
    <col min="11532" max="11532" width="16.375" style="3069" customWidth="1"/>
    <col min="11533" max="11536" width="8.125" style="3069" customWidth="1"/>
    <col min="11537" max="11776" width="9" style="3069"/>
    <col min="11777" max="11777" width="6.375" style="3069" customWidth="1"/>
    <col min="11778" max="11778" width="19.375" style="3069" customWidth="1"/>
    <col min="11779" max="11779" width="7" style="3069" customWidth="1"/>
    <col min="11780" max="11780" width="3.25" style="3069" customWidth="1"/>
    <col min="11781" max="11781" width="7.375" style="3069" customWidth="1"/>
    <col min="11782" max="11782" width="3.5" style="3069" customWidth="1"/>
    <col min="11783" max="11783" width="19.375" style="3069" customWidth="1"/>
    <col min="11784" max="11784" width="19.5" style="3069" customWidth="1"/>
    <col min="11785" max="11785" width="8.625" style="3069" customWidth="1"/>
    <col min="11786" max="11786" width="10.5" style="3069" customWidth="1"/>
    <col min="11787" max="11787" width="4.875" style="3069" customWidth="1"/>
    <col min="11788" max="11788" width="16.375" style="3069" customWidth="1"/>
    <col min="11789" max="11792" width="8.125" style="3069" customWidth="1"/>
    <col min="11793" max="12032" width="9" style="3069"/>
    <col min="12033" max="12033" width="6.375" style="3069" customWidth="1"/>
    <col min="12034" max="12034" width="19.375" style="3069" customWidth="1"/>
    <col min="12035" max="12035" width="7" style="3069" customWidth="1"/>
    <col min="12036" max="12036" width="3.25" style="3069" customWidth="1"/>
    <col min="12037" max="12037" width="7.375" style="3069" customWidth="1"/>
    <col min="12038" max="12038" width="3.5" style="3069" customWidth="1"/>
    <col min="12039" max="12039" width="19.375" style="3069" customWidth="1"/>
    <col min="12040" max="12040" width="19.5" style="3069" customWidth="1"/>
    <col min="12041" max="12041" width="8.625" style="3069" customWidth="1"/>
    <col min="12042" max="12042" width="10.5" style="3069" customWidth="1"/>
    <col min="12043" max="12043" width="4.875" style="3069" customWidth="1"/>
    <col min="12044" max="12044" width="16.375" style="3069" customWidth="1"/>
    <col min="12045" max="12048" width="8.125" style="3069" customWidth="1"/>
    <col min="12049" max="12288" width="9" style="3069"/>
    <col min="12289" max="12289" width="6.375" style="3069" customWidth="1"/>
    <col min="12290" max="12290" width="19.375" style="3069" customWidth="1"/>
    <col min="12291" max="12291" width="7" style="3069" customWidth="1"/>
    <col min="12292" max="12292" width="3.25" style="3069" customWidth="1"/>
    <col min="12293" max="12293" width="7.375" style="3069" customWidth="1"/>
    <col min="12294" max="12294" width="3.5" style="3069" customWidth="1"/>
    <col min="12295" max="12295" width="19.375" style="3069" customWidth="1"/>
    <col min="12296" max="12296" width="19.5" style="3069" customWidth="1"/>
    <col min="12297" max="12297" width="8.625" style="3069" customWidth="1"/>
    <col min="12298" max="12298" width="10.5" style="3069" customWidth="1"/>
    <col min="12299" max="12299" width="4.875" style="3069" customWidth="1"/>
    <col min="12300" max="12300" width="16.375" style="3069" customWidth="1"/>
    <col min="12301" max="12304" width="8.125" style="3069" customWidth="1"/>
    <col min="12305" max="12544" width="9" style="3069"/>
    <col min="12545" max="12545" width="6.375" style="3069" customWidth="1"/>
    <col min="12546" max="12546" width="19.375" style="3069" customWidth="1"/>
    <col min="12547" max="12547" width="7" style="3069" customWidth="1"/>
    <col min="12548" max="12548" width="3.25" style="3069" customWidth="1"/>
    <col min="12549" max="12549" width="7.375" style="3069" customWidth="1"/>
    <col min="12550" max="12550" width="3.5" style="3069" customWidth="1"/>
    <col min="12551" max="12551" width="19.375" style="3069" customWidth="1"/>
    <col min="12552" max="12552" width="19.5" style="3069" customWidth="1"/>
    <col min="12553" max="12553" width="8.625" style="3069" customWidth="1"/>
    <col min="12554" max="12554" width="10.5" style="3069" customWidth="1"/>
    <col min="12555" max="12555" width="4.875" style="3069" customWidth="1"/>
    <col min="12556" max="12556" width="16.375" style="3069" customWidth="1"/>
    <col min="12557" max="12560" width="8.125" style="3069" customWidth="1"/>
    <col min="12561" max="12800" width="9" style="3069"/>
    <col min="12801" max="12801" width="6.375" style="3069" customWidth="1"/>
    <col min="12802" max="12802" width="19.375" style="3069" customWidth="1"/>
    <col min="12803" max="12803" width="7" style="3069" customWidth="1"/>
    <col min="12804" max="12804" width="3.25" style="3069" customWidth="1"/>
    <col min="12805" max="12805" width="7.375" style="3069" customWidth="1"/>
    <col min="12806" max="12806" width="3.5" style="3069" customWidth="1"/>
    <col min="12807" max="12807" width="19.375" style="3069" customWidth="1"/>
    <col min="12808" max="12808" width="19.5" style="3069" customWidth="1"/>
    <col min="12809" max="12809" width="8.625" style="3069" customWidth="1"/>
    <col min="12810" max="12810" width="10.5" style="3069" customWidth="1"/>
    <col min="12811" max="12811" width="4.875" style="3069" customWidth="1"/>
    <col min="12812" max="12812" width="16.375" style="3069" customWidth="1"/>
    <col min="12813" max="12816" width="8.125" style="3069" customWidth="1"/>
    <col min="12817" max="13056" width="9" style="3069"/>
    <col min="13057" max="13057" width="6.375" style="3069" customWidth="1"/>
    <col min="13058" max="13058" width="19.375" style="3069" customWidth="1"/>
    <col min="13059" max="13059" width="7" style="3069" customWidth="1"/>
    <col min="13060" max="13060" width="3.25" style="3069" customWidth="1"/>
    <col min="13061" max="13061" width="7.375" style="3069" customWidth="1"/>
    <col min="13062" max="13062" width="3.5" style="3069" customWidth="1"/>
    <col min="13063" max="13063" width="19.375" style="3069" customWidth="1"/>
    <col min="13064" max="13064" width="19.5" style="3069" customWidth="1"/>
    <col min="13065" max="13065" width="8.625" style="3069" customWidth="1"/>
    <col min="13066" max="13066" width="10.5" style="3069" customWidth="1"/>
    <col min="13067" max="13067" width="4.875" style="3069" customWidth="1"/>
    <col min="13068" max="13068" width="16.375" style="3069" customWidth="1"/>
    <col min="13069" max="13072" width="8.125" style="3069" customWidth="1"/>
    <col min="13073" max="13312" width="9" style="3069"/>
    <col min="13313" max="13313" width="6.375" style="3069" customWidth="1"/>
    <col min="13314" max="13314" width="19.375" style="3069" customWidth="1"/>
    <col min="13315" max="13315" width="7" style="3069" customWidth="1"/>
    <col min="13316" max="13316" width="3.25" style="3069" customWidth="1"/>
    <col min="13317" max="13317" width="7.375" style="3069" customWidth="1"/>
    <col min="13318" max="13318" width="3.5" style="3069" customWidth="1"/>
    <col min="13319" max="13319" width="19.375" style="3069" customWidth="1"/>
    <col min="13320" max="13320" width="19.5" style="3069" customWidth="1"/>
    <col min="13321" max="13321" width="8.625" style="3069" customWidth="1"/>
    <col min="13322" max="13322" width="10.5" style="3069" customWidth="1"/>
    <col min="13323" max="13323" width="4.875" style="3069" customWidth="1"/>
    <col min="13324" max="13324" width="16.375" style="3069" customWidth="1"/>
    <col min="13325" max="13328" width="8.125" style="3069" customWidth="1"/>
    <col min="13329" max="13568" width="9" style="3069"/>
    <col min="13569" max="13569" width="6.375" style="3069" customWidth="1"/>
    <col min="13570" max="13570" width="19.375" style="3069" customWidth="1"/>
    <col min="13571" max="13571" width="7" style="3069" customWidth="1"/>
    <col min="13572" max="13572" width="3.25" style="3069" customWidth="1"/>
    <col min="13573" max="13573" width="7.375" style="3069" customWidth="1"/>
    <col min="13574" max="13574" width="3.5" style="3069" customWidth="1"/>
    <col min="13575" max="13575" width="19.375" style="3069" customWidth="1"/>
    <col min="13576" max="13576" width="19.5" style="3069" customWidth="1"/>
    <col min="13577" max="13577" width="8.625" style="3069" customWidth="1"/>
    <col min="13578" max="13578" width="10.5" style="3069" customWidth="1"/>
    <col min="13579" max="13579" width="4.875" style="3069" customWidth="1"/>
    <col min="13580" max="13580" width="16.375" style="3069" customWidth="1"/>
    <col min="13581" max="13584" width="8.125" style="3069" customWidth="1"/>
    <col min="13585" max="13824" width="9" style="3069"/>
    <col min="13825" max="13825" width="6.375" style="3069" customWidth="1"/>
    <col min="13826" max="13826" width="19.375" style="3069" customWidth="1"/>
    <col min="13827" max="13827" width="7" style="3069" customWidth="1"/>
    <col min="13828" max="13828" width="3.25" style="3069" customWidth="1"/>
    <col min="13829" max="13829" width="7.375" style="3069" customWidth="1"/>
    <col min="13830" max="13830" width="3.5" style="3069" customWidth="1"/>
    <col min="13831" max="13831" width="19.375" style="3069" customWidth="1"/>
    <col min="13832" max="13832" width="19.5" style="3069" customWidth="1"/>
    <col min="13833" max="13833" width="8.625" style="3069" customWidth="1"/>
    <col min="13834" max="13834" width="10.5" style="3069" customWidth="1"/>
    <col min="13835" max="13835" width="4.875" style="3069" customWidth="1"/>
    <col min="13836" max="13836" width="16.375" style="3069" customWidth="1"/>
    <col min="13837" max="13840" width="8.125" style="3069" customWidth="1"/>
    <col min="13841" max="14080" width="9" style="3069"/>
    <col min="14081" max="14081" width="6.375" style="3069" customWidth="1"/>
    <col min="14082" max="14082" width="19.375" style="3069" customWidth="1"/>
    <col min="14083" max="14083" width="7" style="3069" customWidth="1"/>
    <col min="14084" max="14084" width="3.25" style="3069" customWidth="1"/>
    <col min="14085" max="14085" width="7.375" style="3069" customWidth="1"/>
    <col min="14086" max="14086" width="3.5" style="3069" customWidth="1"/>
    <col min="14087" max="14087" width="19.375" style="3069" customWidth="1"/>
    <col min="14088" max="14088" width="19.5" style="3069" customWidth="1"/>
    <col min="14089" max="14089" width="8.625" style="3069" customWidth="1"/>
    <col min="14090" max="14090" width="10.5" style="3069" customWidth="1"/>
    <col min="14091" max="14091" width="4.875" style="3069" customWidth="1"/>
    <col min="14092" max="14092" width="16.375" style="3069" customWidth="1"/>
    <col min="14093" max="14096" width="8.125" style="3069" customWidth="1"/>
    <col min="14097" max="14336" width="9" style="3069"/>
    <col min="14337" max="14337" width="6.375" style="3069" customWidth="1"/>
    <col min="14338" max="14338" width="19.375" style="3069" customWidth="1"/>
    <col min="14339" max="14339" width="7" style="3069" customWidth="1"/>
    <col min="14340" max="14340" width="3.25" style="3069" customWidth="1"/>
    <col min="14341" max="14341" width="7.375" style="3069" customWidth="1"/>
    <col min="14342" max="14342" width="3.5" style="3069" customWidth="1"/>
    <col min="14343" max="14343" width="19.375" style="3069" customWidth="1"/>
    <col min="14344" max="14344" width="19.5" style="3069" customWidth="1"/>
    <col min="14345" max="14345" width="8.625" style="3069" customWidth="1"/>
    <col min="14346" max="14346" width="10.5" style="3069" customWidth="1"/>
    <col min="14347" max="14347" width="4.875" style="3069" customWidth="1"/>
    <col min="14348" max="14348" width="16.375" style="3069" customWidth="1"/>
    <col min="14349" max="14352" width="8.125" style="3069" customWidth="1"/>
    <col min="14353" max="14592" width="9" style="3069"/>
    <col min="14593" max="14593" width="6.375" style="3069" customWidth="1"/>
    <col min="14594" max="14594" width="19.375" style="3069" customWidth="1"/>
    <col min="14595" max="14595" width="7" style="3069" customWidth="1"/>
    <col min="14596" max="14596" width="3.25" style="3069" customWidth="1"/>
    <col min="14597" max="14597" width="7.375" style="3069" customWidth="1"/>
    <col min="14598" max="14598" width="3.5" style="3069" customWidth="1"/>
    <col min="14599" max="14599" width="19.375" style="3069" customWidth="1"/>
    <col min="14600" max="14600" width="19.5" style="3069" customWidth="1"/>
    <col min="14601" max="14601" width="8.625" style="3069" customWidth="1"/>
    <col min="14602" max="14602" width="10.5" style="3069" customWidth="1"/>
    <col min="14603" max="14603" width="4.875" style="3069" customWidth="1"/>
    <col min="14604" max="14604" width="16.375" style="3069" customWidth="1"/>
    <col min="14605" max="14608" width="8.125" style="3069" customWidth="1"/>
    <col min="14609" max="14848" width="9" style="3069"/>
    <col min="14849" max="14849" width="6.375" style="3069" customWidth="1"/>
    <col min="14850" max="14850" width="19.375" style="3069" customWidth="1"/>
    <col min="14851" max="14851" width="7" style="3069" customWidth="1"/>
    <col min="14852" max="14852" width="3.25" style="3069" customWidth="1"/>
    <col min="14853" max="14853" width="7.375" style="3069" customWidth="1"/>
    <col min="14854" max="14854" width="3.5" style="3069" customWidth="1"/>
    <col min="14855" max="14855" width="19.375" style="3069" customWidth="1"/>
    <col min="14856" max="14856" width="19.5" style="3069" customWidth="1"/>
    <col min="14857" max="14857" width="8.625" style="3069" customWidth="1"/>
    <col min="14858" max="14858" width="10.5" style="3069" customWidth="1"/>
    <col min="14859" max="14859" width="4.875" style="3069" customWidth="1"/>
    <col min="14860" max="14860" width="16.375" style="3069" customWidth="1"/>
    <col min="14861" max="14864" width="8.125" style="3069" customWidth="1"/>
    <col min="14865" max="15104" width="9" style="3069"/>
    <col min="15105" max="15105" width="6.375" style="3069" customWidth="1"/>
    <col min="15106" max="15106" width="19.375" style="3069" customWidth="1"/>
    <col min="15107" max="15107" width="7" style="3069" customWidth="1"/>
    <col min="15108" max="15108" width="3.25" style="3069" customWidth="1"/>
    <col min="15109" max="15109" width="7.375" style="3069" customWidth="1"/>
    <col min="15110" max="15110" width="3.5" style="3069" customWidth="1"/>
    <col min="15111" max="15111" width="19.375" style="3069" customWidth="1"/>
    <col min="15112" max="15112" width="19.5" style="3069" customWidth="1"/>
    <col min="15113" max="15113" width="8.625" style="3069" customWidth="1"/>
    <col min="15114" max="15114" width="10.5" style="3069" customWidth="1"/>
    <col min="15115" max="15115" width="4.875" style="3069" customWidth="1"/>
    <col min="15116" max="15116" width="16.375" style="3069" customWidth="1"/>
    <col min="15117" max="15120" width="8.125" style="3069" customWidth="1"/>
    <col min="15121" max="15360" width="9" style="3069"/>
    <col min="15361" max="15361" width="6.375" style="3069" customWidth="1"/>
    <col min="15362" max="15362" width="19.375" style="3069" customWidth="1"/>
    <col min="15363" max="15363" width="7" style="3069" customWidth="1"/>
    <col min="15364" max="15364" width="3.25" style="3069" customWidth="1"/>
    <col min="15365" max="15365" width="7.375" style="3069" customWidth="1"/>
    <col min="15366" max="15366" width="3.5" style="3069" customWidth="1"/>
    <col min="15367" max="15367" width="19.375" style="3069" customWidth="1"/>
    <col min="15368" max="15368" width="19.5" style="3069" customWidth="1"/>
    <col min="15369" max="15369" width="8.625" style="3069" customWidth="1"/>
    <col min="15370" max="15370" width="10.5" style="3069" customWidth="1"/>
    <col min="15371" max="15371" width="4.875" style="3069" customWidth="1"/>
    <col min="15372" max="15372" width="16.375" style="3069" customWidth="1"/>
    <col min="15373" max="15376" width="8.125" style="3069" customWidth="1"/>
    <col min="15377" max="15616" width="9" style="3069"/>
    <col min="15617" max="15617" width="6.375" style="3069" customWidth="1"/>
    <col min="15618" max="15618" width="19.375" style="3069" customWidth="1"/>
    <col min="15619" max="15619" width="7" style="3069" customWidth="1"/>
    <col min="15620" max="15620" width="3.25" style="3069" customWidth="1"/>
    <col min="15621" max="15621" width="7.375" style="3069" customWidth="1"/>
    <col min="15622" max="15622" width="3.5" style="3069" customWidth="1"/>
    <col min="15623" max="15623" width="19.375" style="3069" customWidth="1"/>
    <col min="15624" max="15624" width="19.5" style="3069" customWidth="1"/>
    <col min="15625" max="15625" width="8.625" style="3069" customWidth="1"/>
    <col min="15626" max="15626" width="10.5" style="3069" customWidth="1"/>
    <col min="15627" max="15627" width="4.875" style="3069" customWidth="1"/>
    <col min="15628" max="15628" width="16.375" style="3069" customWidth="1"/>
    <col min="15629" max="15632" width="8.125" style="3069" customWidth="1"/>
    <col min="15633" max="15872" width="9" style="3069"/>
    <col min="15873" max="15873" width="6.375" style="3069" customWidth="1"/>
    <col min="15874" max="15874" width="19.375" style="3069" customWidth="1"/>
    <col min="15875" max="15875" width="7" style="3069" customWidth="1"/>
    <col min="15876" max="15876" width="3.25" style="3069" customWidth="1"/>
    <col min="15877" max="15877" width="7.375" style="3069" customWidth="1"/>
    <col min="15878" max="15878" width="3.5" style="3069" customWidth="1"/>
    <col min="15879" max="15879" width="19.375" style="3069" customWidth="1"/>
    <col min="15880" max="15880" width="19.5" style="3069" customWidth="1"/>
    <col min="15881" max="15881" width="8.625" style="3069" customWidth="1"/>
    <col min="15882" max="15882" width="10.5" style="3069" customWidth="1"/>
    <col min="15883" max="15883" width="4.875" style="3069" customWidth="1"/>
    <col min="15884" max="15884" width="16.375" style="3069" customWidth="1"/>
    <col min="15885" max="15888" width="8.125" style="3069" customWidth="1"/>
    <col min="15889" max="16128" width="9" style="3069"/>
    <col min="16129" max="16129" width="6.375" style="3069" customWidth="1"/>
    <col min="16130" max="16130" width="19.375" style="3069" customWidth="1"/>
    <col min="16131" max="16131" width="7" style="3069" customWidth="1"/>
    <col min="16132" max="16132" width="3.25" style="3069" customWidth="1"/>
    <col min="16133" max="16133" width="7.375" style="3069" customWidth="1"/>
    <col min="16134" max="16134" width="3.5" style="3069" customWidth="1"/>
    <col min="16135" max="16135" width="19.375" style="3069" customWidth="1"/>
    <col min="16136" max="16136" width="19.5" style="3069" customWidth="1"/>
    <col min="16137" max="16137" width="8.625" style="3069" customWidth="1"/>
    <col min="16138" max="16138" width="10.5" style="3069" customWidth="1"/>
    <col min="16139" max="16139" width="4.875" style="3069" customWidth="1"/>
    <col min="16140" max="16140" width="16.375" style="3069" customWidth="1"/>
    <col min="16141" max="16144" width="8.125" style="3069" customWidth="1"/>
    <col min="16145" max="16384" width="9" style="3069"/>
  </cols>
  <sheetData>
    <row r="1" spans="1:16">
      <c r="A1" s="3384" t="s">
        <v>3144</v>
      </c>
      <c r="B1" s="3384"/>
      <c r="C1" s="3384"/>
      <c r="D1" s="3384"/>
      <c r="E1" s="3384"/>
      <c r="F1" s="3384"/>
      <c r="G1" s="3384"/>
      <c r="H1" s="3384"/>
      <c r="I1" s="3384"/>
      <c r="K1" s="3385" t="s">
        <v>3145</v>
      </c>
      <c r="L1" s="3066" t="s">
        <v>3146</v>
      </c>
      <c r="M1" s="3067">
        <v>0</v>
      </c>
      <c r="N1" s="3068"/>
      <c r="O1" s="3068"/>
    </row>
    <row r="2" spans="1:16" ht="15.75" customHeight="1">
      <c r="A2" s="3070" t="s">
        <v>608</v>
      </c>
      <c r="B2" s="3071" t="s">
        <v>3147</v>
      </c>
      <c r="C2" s="3386" t="s">
        <v>3148</v>
      </c>
      <c r="D2" s="3387"/>
      <c r="E2" s="3387"/>
      <c r="F2" s="3388"/>
      <c r="G2" s="3072" t="s">
        <v>3149</v>
      </c>
      <c r="H2" s="3389" t="s">
        <v>1048</v>
      </c>
      <c r="I2" s="3389"/>
      <c r="K2" s="3385"/>
      <c r="L2" s="3066" t="s">
        <v>3150</v>
      </c>
      <c r="M2" s="3073" t="s">
        <v>3151</v>
      </c>
      <c r="N2" s="3074"/>
      <c r="O2" s="3074"/>
    </row>
    <row r="3" spans="1:16">
      <c r="A3" s="3075" t="s">
        <v>3152</v>
      </c>
      <c r="B3" s="3076" t="s">
        <v>3153</v>
      </c>
      <c r="C3" s="3386">
        <f ca="1">成本法!B2*10000</f>
        <v>211100000</v>
      </c>
      <c r="D3" s="3387"/>
      <c r="E3" s="3387"/>
      <c r="F3" s="3388"/>
      <c r="G3" s="3075" t="s">
        <v>3154</v>
      </c>
      <c r="H3" s="3077" t="s">
        <v>3155</v>
      </c>
      <c r="I3" s="3078">
        <f>'数据-汇总表'!E3</f>
        <v>16732.060000000001</v>
      </c>
      <c r="K3" s="3385"/>
      <c r="L3" s="3066" t="s">
        <v>3156</v>
      </c>
      <c r="M3" s="3073" t="s">
        <v>3157</v>
      </c>
      <c r="N3" s="3074"/>
      <c r="O3" s="3079"/>
    </row>
    <row r="4" spans="1:16">
      <c r="A4" s="3390" t="s">
        <v>3158</v>
      </c>
      <c r="B4" s="3391" t="s">
        <v>3159</v>
      </c>
      <c r="C4" s="3392">
        <f ca="1">ROUND(C3*(I4-I6)/(1-((1+I6)/(1+I4))^I5),0)</f>
        <v>4309341</v>
      </c>
      <c r="D4" s="3393"/>
      <c r="E4" s="3393"/>
      <c r="F4" s="3394"/>
      <c r="G4" s="3390" t="s">
        <v>3160</v>
      </c>
      <c r="H4" s="3080" t="s">
        <v>3161</v>
      </c>
      <c r="I4" s="3081">
        <v>4.4999999999999998E-2</v>
      </c>
      <c r="K4" s="3385"/>
      <c r="L4" s="3066" t="s">
        <v>3162</v>
      </c>
      <c r="M4" s="3082">
        <f>ROUND(1-(1-M1)*M2/M3,2)</f>
        <v>0.55000000000000004</v>
      </c>
      <c r="N4" s="3074"/>
      <c r="O4" s="3074"/>
    </row>
    <row r="5" spans="1:16" s="3086" customFormat="1" ht="18" customHeight="1">
      <c r="A5" s="3390"/>
      <c r="B5" s="3391"/>
      <c r="C5" s="3395"/>
      <c r="D5" s="3396"/>
      <c r="E5" s="3396"/>
      <c r="F5" s="3397"/>
      <c r="G5" s="3390"/>
      <c r="H5" s="3076" t="s">
        <v>3163</v>
      </c>
      <c r="I5" s="3083">
        <f>项目基本情况!D15</f>
        <v>70</v>
      </c>
      <c r="J5" s="3084"/>
      <c r="K5" s="3385"/>
      <c r="L5" s="3066" t="s">
        <v>3164</v>
      </c>
      <c r="M5" s="3085">
        <v>0.5</v>
      </c>
      <c r="N5" s="3074"/>
      <c r="O5" s="3074"/>
    </row>
    <row r="6" spans="1:16" s="3086" customFormat="1" ht="18" customHeight="1">
      <c r="A6" s="3390"/>
      <c r="B6" s="3391"/>
      <c r="C6" s="3398"/>
      <c r="D6" s="3399"/>
      <c r="E6" s="3399"/>
      <c r="F6" s="3400"/>
      <c r="G6" s="3390"/>
      <c r="H6" s="3076" t="s">
        <v>3165</v>
      </c>
      <c r="I6" s="3081">
        <v>3.5000000000000003E-2</v>
      </c>
      <c r="J6" s="3087"/>
      <c r="K6" s="3401" t="s">
        <v>3166</v>
      </c>
      <c r="L6" s="3088" t="s">
        <v>3167</v>
      </c>
      <c r="M6" s="3089" t="s">
        <v>3168</v>
      </c>
      <c r="N6" s="3089" t="s">
        <v>3169</v>
      </c>
      <c r="O6" s="3089" t="s">
        <v>3170</v>
      </c>
      <c r="P6" s="3089" t="s">
        <v>3171</v>
      </c>
    </row>
    <row r="7" spans="1:16" s="3086" customFormat="1" ht="18" customHeight="1">
      <c r="A7" s="3075" t="s">
        <v>3172</v>
      </c>
      <c r="B7" s="3076" t="s">
        <v>3173</v>
      </c>
      <c r="C7" s="3386">
        <f ca="1">ROUND(C23*I7,0)</f>
        <v>68837000</v>
      </c>
      <c r="D7" s="3387"/>
      <c r="E7" s="3387"/>
      <c r="F7" s="3388"/>
      <c r="G7" s="3072" t="s">
        <v>3174</v>
      </c>
      <c r="H7" s="3076" t="s">
        <v>3175</v>
      </c>
      <c r="I7" s="3090">
        <f>'数据-取费表'!Y6</f>
        <v>0.95</v>
      </c>
      <c r="K7" s="3401"/>
      <c r="L7" s="3088" t="s">
        <v>3176</v>
      </c>
      <c r="M7" s="3089">
        <v>100</v>
      </c>
      <c r="N7" s="3089" t="s">
        <v>3177</v>
      </c>
      <c r="O7" s="3089">
        <v>80</v>
      </c>
      <c r="P7" s="3091">
        <v>0.3</v>
      </c>
    </row>
    <row r="8" spans="1:16" s="3086" customFormat="1" ht="18" hidden="1" customHeight="1">
      <c r="A8" s="3070" t="s">
        <v>3178</v>
      </c>
      <c r="B8" s="3076" t="s">
        <v>3179</v>
      </c>
      <c r="C8" s="3386">
        <f>ROUND(I8*I3,0)</f>
        <v>58562210</v>
      </c>
      <c r="D8" s="3387"/>
      <c r="E8" s="3387"/>
      <c r="F8" s="3388"/>
      <c r="G8" s="3072" t="s">
        <v>3180</v>
      </c>
      <c r="H8" s="3076" t="s">
        <v>3181</v>
      </c>
      <c r="I8" s="3072">
        <f>'数据-取费表'!L6</f>
        <v>3500</v>
      </c>
      <c r="J8" s="3092">
        <f>D35</f>
        <v>36.6</v>
      </c>
      <c r="K8" s="3401"/>
      <c r="L8" s="3088" t="s">
        <v>3182</v>
      </c>
      <c r="M8" s="3089">
        <v>100</v>
      </c>
      <c r="N8" s="3089" t="s">
        <v>3177</v>
      </c>
      <c r="O8" s="3089">
        <v>80</v>
      </c>
      <c r="P8" s="3091">
        <v>0.5</v>
      </c>
    </row>
    <row r="9" spans="1:16" s="3086" customFormat="1" ht="18" hidden="1" customHeight="1">
      <c r="A9" s="3070" t="s">
        <v>3183</v>
      </c>
      <c r="B9" s="3076" t="s">
        <v>3184</v>
      </c>
      <c r="C9" s="3386">
        <f>ROUND(C8*H9,0)</f>
        <v>2928111</v>
      </c>
      <c r="D9" s="3387"/>
      <c r="E9" s="3387"/>
      <c r="F9" s="3388"/>
      <c r="G9" s="3072" t="s">
        <v>3185</v>
      </c>
      <c r="H9" s="3402">
        <f>'数据-取费表'!B33</f>
        <v>0.05</v>
      </c>
      <c r="I9" s="3402"/>
      <c r="J9" s="3092">
        <f ca="1">D36</f>
        <v>37.450000000000003</v>
      </c>
      <c r="K9" s="3401"/>
      <c r="L9" s="3088" t="s">
        <v>3186</v>
      </c>
      <c r="M9" s="3089">
        <v>100</v>
      </c>
      <c r="N9" s="3089" t="s">
        <v>3177</v>
      </c>
      <c r="O9" s="3089">
        <v>80</v>
      </c>
      <c r="P9" s="3091">
        <f>1-P7-P8</f>
        <v>0.19999999999999996</v>
      </c>
    </row>
    <row r="10" spans="1:16" s="3086" customFormat="1" ht="18" hidden="1" customHeight="1">
      <c r="A10" s="3070" t="s">
        <v>3187</v>
      </c>
      <c r="B10" s="3076" t="s">
        <v>3188</v>
      </c>
      <c r="C10" s="3386">
        <f>ROUND(C8*H10,0)</f>
        <v>2928111</v>
      </c>
      <c r="D10" s="3387"/>
      <c r="E10" s="3387"/>
      <c r="F10" s="3388"/>
      <c r="G10" s="3072" t="s">
        <v>3185</v>
      </c>
      <c r="H10" s="3402">
        <f>'数据-取费表'!B34</f>
        <v>0.05</v>
      </c>
      <c r="I10" s="3402"/>
      <c r="J10" s="3092">
        <f ca="1">D37</f>
        <v>37</v>
      </c>
      <c r="K10" s="3401"/>
      <c r="L10" s="3093" t="s">
        <v>3164</v>
      </c>
      <c r="M10" s="3094">
        <f>1-M5</f>
        <v>0.5</v>
      </c>
      <c r="N10" s="3089" t="s">
        <v>3162</v>
      </c>
      <c r="O10" s="3095">
        <f>ROUND((O7*P7+O8*P8+O9*P9)/100,2)</f>
        <v>0.8</v>
      </c>
      <c r="P10" s="3096"/>
    </row>
    <row r="11" spans="1:16" s="3086" customFormat="1" ht="29.25" hidden="1" customHeight="1">
      <c r="A11" s="3070" t="s">
        <v>3189</v>
      </c>
      <c r="B11" s="3076" t="s">
        <v>3190</v>
      </c>
      <c r="C11" s="3386">
        <f>ROUND(I11*I3,0)</f>
        <v>2844450</v>
      </c>
      <c r="D11" s="3387"/>
      <c r="E11" s="3387"/>
      <c r="F11" s="3388"/>
      <c r="G11" s="3072" t="s">
        <v>3191</v>
      </c>
      <c r="H11" s="3076" t="s">
        <v>3192</v>
      </c>
      <c r="I11" s="3072">
        <f>'数据-取费表'!B27</f>
        <v>170</v>
      </c>
      <c r="J11" s="3084"/>
      <c r="K11" s="3097"/>
      <c r="L11" s="3097"/>
    </row>
    <row r="12" spans="1:16" s="3086" customFormat="1" ht="18" hidden="1" customHeight="1">
      <c r="A12" s="3070" t="s">
        <v>3193</v>
      </c>
      <c r="B12" s="3076" t="s">
        <v>3194</v>
      </c>
      <c r="C12" s="3386">
        <f>ROUND(C8*H12,0)</f>
        <v>878433</v>
      </c>
      <c r="D12" s="3387"/>
      <c r="E12" s="3387"/>
      <c r="F12" s="3388"/>
      <c r="G12" s="3072" t="s">
        <v>3185</v>
      </c>
      <c r="H12" s="3402">
        <f>'数据-取费表'!B36</f>
        <v>1.4999999999999999E-2</v>
      </c>
      <c r="I12" s="3402"/>
      <c r="J12" s="3098" t="s">
        <v>3195</v>
      </c>
      <c r="L12" s="3099"/>
    </row>
    <row r="13" spans="1:16" s="3086" customFormat="1" ht="18" hidden="1" customHeight="1">
      <c r="A13" s="3070" t="s">
        <v>3196</v>
      </c>
      <c r="B13" s="3076" t="s">
        <v>3197</v>
      </c>
      <c r="C13" s="3386">
        <f>SUM(C8:F12)</f>
        <v>68141315</v>
      </c>
      <c r="D13" s="3387"/>
      <c r="E13" s="3387"/>
      <c r="F13" s="3388"/>
      <c r="G13" s="3389" t="s">
        <v>3198</v>
      </c>
      <c r="H13" s="3389"/>
      <c r="I13" s="3389"/>
      <c r="J13" s="3098" t="s">
        <v>3199</v>
      </c>
      <c r="L13" s="3099"/>
    </row>
    <row r="14" spans="1:16" s="3086" customFormat="1" ht="18" hidden="1" customHeight="1">
      <c r="A14" s="3070" t="s">
        <v>3200</v>
      </c>
      <c r="B14" s="3076" t="s">
        <v>3201</v>
      </c>
      <c r="C14" s="3386">
        <f>ROUND(C13*H14,0)</f>
        <v>2044239</v>
      </c>
      <c r="D14" s="3387"/>
      <c r="E14" s="3387"/>
      <c r="F14" s="3388"/>
      <c r="G14" s="3072" t="s">
        <v>3202</v>
      </c>
      <c r="H14" s="3402">
        <f>'数据-取费表'!B37</f>
        <v>0.03</v>
      </c>
      <c r="I14" s="3402"/>
      <c r="J14" s="3084"/>
      <c r="L14" s="3099"/>
    </row>
    <row r="15" spans="1:16" s="3086" customFormat="1" ht="18" hidden="1" customHeight="1">
      <c r="A15" s="3070" t="s">
        <v>3203</v>
      </c>
      <c r="B15" s="3076" t="s">
        <v>3204</v>
      </c>
      <c r="C15" s="3407">
        <f>H15</f>
        <v>0.01</v>
      </c>
      <c r="D15" s="3408"/>
      <c r="E15" s="3405" t="str">
        <f>E18</f>
        <v>V</v>
      </c>
      <c r="F15" s="3406"/>
      <c r="G15" s="3072" t="s">
        <v>3205</v>
      </c>
      <c r="H15" s="3402">
        <f>'数据-取费表'!B38</f>
        <v>0.01</v>
      </c>
      <c r="I15" s="3402"/>
      <c r="J15" s="3100"/>
      <c r="K15" s="3101"/>
    </row>
    <row r="16" spans="1:16" s="3086" customFormat="1" ht="18" hidden="1" customHeight="1">
      <c r="A16" s="3102" t="s">
        <v>3206</v>
      </c>
      <c r="B16" s="3103" t="s">
        <v>3207</v>
      </c>
      <c r="C16" s="3104">
        <f>C17</f>
        <v>3333814</v>
      </c>
      <c r="D16" s="3105" t="s">
        <v>3208</v>
      </c>
      <c r="E16" s="3106">
        <f>C18</f>
        <v>4.75E-4</v>
      </c>
      <c r="F16" s="3107" t="str">
        <f>E18</f>
        <v>V</v>
      </c>
      <c r="G16" s="3386" t="s">
        <v>3209</v>
      </c>
      <c r="H16" s="3387"/>
      <c r="I16" s="3388"/>
      <c r="J16" s="3084"/>
      <c r="K16" s="3097"/>
    </row>
    <row r="17" spans="1:12" s="3086" customFormat="1" ht="18" hidden="1" customHeight="1">
      <c r="A17" s="3070" t="s">
        <v>3210</v>
      </c>
      <c r="B17" s="3076" t="s">
        <v>3211</v>
      </c>
      <c r="C17" s="3386">
        <f>ROUND((C13+C14)*I18*(I17/2),0)</f>
        <v>3333814</v>
      </c>
      <c r="D17" s="3387"/>
      <c r="E17" s="3387"/>
      <c r="F17" s="3388"/>
      <c r="G17" s="3104" t="s">
        <v>3212</v>
      </c>
      <c r="H17" s="3076" t="s">
        <v>3213</v>
      </c>
      <c r="I17" s="3108">
        <f>'数据-取费表'!B20</f>
        <v>2</v>
      </c>
      <c r="J17" s="3098" t="s">
        <v>3214</v>
      </c>
      <c r="K17" s="3097"/>
      <c r="L17" s="3097"/>
    </row>
    <row r="18" spans="1:12" s="3086" customFormat="1" ht="18" hidden="1" customHeight="1">
      <c r="A18" s="3070" t="s">
        <v>3215</v>
      </c>
      <c r="B18" s="3076" t="s">
        <v>3216</v>
      </c>
      <c r="C18" s="3403">
        <f>H15*I18*I17/2</f>
        <v>4.75E-4</v>
      </c>
      <c r="D18" s="3404"/>
      <c r="E18" s="3405" t="s">
        <v>3217</v>
      </c>
      <c r="F18" s="3406"/>
      <c r="G18" s="3104" t="s">
        <v>3218</v>
      </c>
      <c r="H18" s="3076" t="s">
        <v>3219</v>
      </c>
      <c r="I18" s="3109">
        <v>4.7500000000000001E-2</v>
      </c>
      <c r="J18" s="3098" t="s">
        <v>3220</v>
      </c>
      <c r="K18" s="3097"/>
      <c r="L18" s="3097"/>
    </row>
    <row r="19" spans="1:12" s="3086" customFormat="1" ht="27" hidden="1" customHeight="1">
      <c r="A19" s="3070" t="s">
        <v>3221</v>
      </c>
      <c r="B19" s="3076" t="s">
        <v>3222</v>
      </c>
      <c r="C19" s="3104">
        <f>C20</f>
        <v>7018555</v>
      </c>
      <c r="D19" s="3105" t="s">
        <v>3208</v>
      </c>
      <c r="E19" s="3105">
        <f>C21</f>
        <v>1E-3</v>
      </c>
      <c r="F19" s="3107" t="str">
        <f>E21</f>
        <v>V</v>
      </c>
      <c r="G19" s="3386" t="s">
        <v>3223</v>
      </c>
      <c r="H19" s="3387"/>
      <c r="I19" s="3388"/>
      <c r="J19" s="3084"/>
      <c r="K19" s="3097"/>
      <c r="L19" s="3097"/>
    </row>
    <row r="20" spans="1:12" s="3086" customFormat="1" ht="26.25" hidden="1" customHeight="1">
      <c r="A20" s="3070" t="s">
        <v>3224</v>
      </c>
      <c r="B20" s="3076" t="s">
        <v>3225</v>
      </c>
      <c r="C20" s="3386">
        <f>ROUND((C13+C14)*I20,0)</f>
        <v>7018555</v>
      </c>
      <c r="D20" s="3387"/>
      <c r="E20" s="3387"/>
      <c r="F20" s="3388"/>
      <c r="G20" s="3072" t="s">
        <v>3226</v>
      </c>
      <c r="H20" s="3411" t="s">
        <v>3227</v>
      </c>
      <c r="I20" s="3413">
        <f>'数据-取费表'!Q6</f>
        <v>0.1</v>
      </c>
      <c r="J20" s="3098" t="s">
        <v>3228</v>
      </c>
      <c r="K20" s="3097"/>
      <c r="L20" s="3097"/>
    </row>
    <row r="21" spans="1:12" s="3086" customFormat="1" ht="27" hidden="1" customHeight="1">
      <c r="A21" s="3070" t="s">
        <v>3224</v>
      </c>
      <c r="B21" s="3076" t="s">
        <v>3229</v>
      </c>
      <c r="C21" s="3414">
        <f>H15*I20</f>
        <v>1E-3</v>
      </c>
      <c r="D21" s="3415"/>
      <c r="E21" s="3405" t="s">
        <v>3217</v>
      </c>
      <c r="F21" s="3406"/>
      <c r="G21" s="3072" t="s">
        <v>3230</v>
      </c>
      <c r="H21" s="3412"/>
      <c r="I21" s="3413"/>
      <c r="J21" s="3084"/>
      <c r="K21" s="3097"/>
      <c r="L21" s="3097"/>
    </row>
    <row r="22" spans="1:12" s="3086" customFormat="1" ht="18" hidden="1" customHeight="1">
      <c r="A22" s="3070" t="s">
        <v>3231</v>
      </c>
      <c r="B22" s="3076" t="s">
        <v>3232</v>
      </c>
      <c r="C22" s="3414">
        <f>ROUND(H22/1.05,4)</f>
        <v>5.33E-2</v>
      </c>
      <c r="D22" s="3415"/>
      <c r="E22" s="3405" t="s">
        <v>3217</v>
      </c>
      <c r="F22" s="3406"/>
      <c r="G22" s="3072" t="s">
        <v>3233</v>
      </c>
      <c r="H22" s="3402">
        <v>5.6000000000000001E-2</v>
      </c>
      <c r="I22" s="3402"/>
      <c r="J22" s="3110"/>
      <c r="K22" s="3097"/>
      <c r="L22" s="3097"/>
    </row>
    <row r="23" spans="1:12" s="3086" customFormat="1" ht="18" customHeight="1">
      <c r="A23" s="3070" t="s">
        <v>3234</v>
      </c>
      <c r="B23" s="3076" t="s">
        <v>3235</v>
      </c>
      <c r="C23" s="3386">
        <f ca="1">成本法!C49*10000</f>
        <v>72460000</v>
      </c>
      <c r="D23" s="3387"/>
      <c r="E23" s="3387"/>
      <c r="F23" s="3388"/>
      <c r="G23" s="3386" t="s">
        <v>3236</v>
      </c>
      <c r="H23" s="3387"/>
      <c r="I23" s="3388"/>
      <c r="J23" s="3110"/>
      <c r="K23" s="3097"/>
      <c r="L23" s="3097"/>
    </row>
    <row r="24" spans="1:12" s="3086" customFormat="1" ht="18" customHeight="1">
      <c r="A24" s="3070" t="s">
        <v>3237</v>
      </c>
      <c r="B24" s="3076" t="s">
        <v>3238</v>
      </c>
      <c r="C24" s="3111">
        <f ca="1">C26+C27</f>
        <v>1190156</v>
      </c>
      <c r="D24" s="3112" t="s">
        <v>3239</v>
      </c>
      <c r="E24" s="3409">
        <f>H25+H28</f>
        <v>0.18740000000000001</v>
      </c>
      <c r="F24" s="3410"/>
      <c r="G24" s="3389" t="s">
        <v>3240</v>
      </c>
      <c r="H24" s="3389"/>
      <c r="I24" s="3389"/>
      <c r="J24" s="3110"/>
      <c r="K24" s="3097"/>
      <c r="L24" s="3097"/>
    </row>
    <row r="25" spans="1:12" s="3086" customFormat="1" ht="18" customHeight="1">
      <c r="A25" s="3070" t="s">
        <v>3196</v>
      </c>
      <c r="B25" s="3076" t="s">
        <v>3241</v>
      </c>
      <c r="C25" s="3407" t="s">
        <v>3242</v>
      </c>
      <c r="D25" s="3408"/>
      <c r="E25" s="3409">
        <f>H25</f>
        <v>0.1724</v>
      </c>
      <c r="F25" s="3410"/>
      <c r="G25" s="3072" t="s">
        <v>3243</v>
      </c>
      <c r="H25" s="3416">
        <f>ROUND(5.5%/1.05+12%,4)</f>
        <v>0.1724</v>
      </c>
      <c r="I25" s="3416"/>
      <c r="J25" s="3100"/>
      <c r="K25" s="3097"/>
      <c r="L25" s="3097"/>
    </row>
    <row r="26" spans="1:12" s="3086" customFormat="1" ht="18" customHeight="1">
      <c r="A26" s="3070" t="s">
        <v>3200</v>
      </c>
      <c r="B26" s="3076" t="s">
        <v>3244</v>
      </c>
      <c r="C26" s="3386">
        <f ca="1">ROUND(C23*H26,0)</f>
        <v>1086900</v>
      </c>
      <c r="D26" s="3387"/>
      <c r="E26" s="3387"/>
      <c r="F26" s="3388"/>
      <c r="G26" s="3072" t="s">
        <v>3245</v>
      </c>
      <c r="H26" s="3416">
        <v>1.4999999999999999E-2</v>
      </c>
      <c r="I26" s="3416"/>
      <c r="J26" s="3100"/>
      <c r="K26" s="3097"/>
      <c r="L26" s="3097"/>
    </row>
    <row r="27" spans="1:12" s="3086" customFormat="1" ht="18" customHeight="1">
      <c r="A27" s="3070" t="s">
        <v>3203</v>
      </c>
      <c r="B27" s="3076" t="s">
        <v>3246</v>
      </c>
      <c r="C27" s="3386">
        <f ca="1">ROUND(C7*H27,0)</f>
        <v>103256</v>
      </c>
      <c r="D27" s="3387"/>
      <c r="E27" s="3387"/>
      <c r="F27" s="3388"/>
      <c r="G27" s="3072" t="s">
        <v>3247</v>
      </c>
      <c r="H27" s="3417">
        <v>1.5E-3</v>
      </c>
      <c r="I27" s="3417"/>
      <c r="J27" s="3084"/>
      <c r="K27" s="3097"/>
      <c r="L27" s="3097"/>
    </row>
    <row r="28" spans="1:12" s="3086" customFormat="1" ht="18" customHeight="1">
      <c r="A28" s="3070" t="s">
        <v>3206</v>
      </c>
      <c r="B28" s="3076" t="s">
        <v>3248</v>
      </c>
      <c r="C28" s="3407" t="s">
        <v>3242</v>
      </c>
      <c r="D28" s="3408"/>
      <c r="E28" s="3409">
        <f>H28</f>
        <v>1.4999999999999999E-2</v>
      </c>
      <c r="F28" s="3410"/>
      <c r="G28" s="3072" t="s">
        <v>3249</v>
      </c>
      <c r="H28" s="3416">
        <v>1.4999999999999999E-2</v>
      </c>
      <c r="I28" s="3416"/>
      <c r="J28" s="3113"/>
      <c r="K28" s="3097"/>
      <c r="L28" s="3097"/>
    </row>
    <row r="29" spans="1:12" s="3086" customFormat="1" ht="18" customHeight="1">
      <c r="A29" s="3075" t="s">
        <v>3250</v>
      </c>
      <c r="B29" s="3076" t="s">
        <v>3251</v>
      </c>
      <c r="C29" s="3386">
        <f ca="1">ROUND((C4+C24)/(1-E24),0)</f>
        <v>6767779</v>
      </c>
      <c r="D29" s="3387"/>
      <c r="E29" s="3387"/>
      <c r="F29" s="3388"/>
      <c r="G29" s="3390" t="s">
        <v>3252</v>
      </c>
      <c r="H29" s="3390"/>
      <c r="I29" s="3390"/>
      <c r="J29" s="3114" t="s">
        <v>3253</v>
      </c>
      <c r="K29" s="3097"/>
      <c r="L29" s="3097"/>
    </row>
    <row r="30" spans="1:12" s="3086" customFormat="1" ht="18" customHeight="1">
      <c r="A30" s="3390" t="s">
        <v>3254</v>
      </c>
      <c r="B30" s="3391" t="s">
        <v>3255</v>
      </c>
      <c r="C30" s="3418">
        <f ca="1">ROUND(C29/I30/I31/I3,2)</f>
        <v>37.450000000000003</v>
      </c>
      <c r="D30" s="3419"/>
      <c r="E30" s="3419"/>
      <c r="F30" s="3420"/>
      <c r="G30" s="3389" t="s">
        <v>3256</v>
      </c>
      <c r="H30" s="3076" t="s">
        <v>3257</v>
      </c>
      <c r="I30" s="3072">
        <v>12</v>
      </c>
      <c r="J30" s="3115"/>
      <c r="K30" s="3097"/>
      <c r="L30" s="3097"/>
    </row>
    <row r="31" spans="1:12" s="3086" customFormat="1" ht="18" customHeight="1">
      <c r="A31" s="3390"/>
      <c r="B31" s="3391"/>
      <c r="C31" s="3421"/>
      <c r="D31" s="3422"/>
      <c r="E31" s="3422"/>
      <c r="F31" s="3423"/>
      <c r="G31" s="3389"/>
      <c r="H31" s="3076" t="s">
        <v>3258</v>
      </c>
      <c r="I31" s="3116">
        <v>0.9</v>
      </c>
      <c r="J31" s="3117"/>
      <c r="K31" s="3097"/>
      <c r="L31" s="3097"/>
    </row>
    <row r="32" spans="1:12" s="3086" customFormat="1" ht="18" customHeight="1">
      <c r="A32" s="3069"/>
      <c r="B32" s="3118"/>
      <c r="C32" s="3119"/>
      <c r="D32" s="3119"/>
      <c r="E32" s="3119"/>
      <c r="F32" s="3119"/>
      <c r="G32" s="3120"/>
      <c r="H32" s="3121"/>
      <c r="I32" s="3069"/>
      <c r="J32" s="3122"/>
      <c r="K32" s="3097"/>
      <c r="L32" s="3097"/>
    </row>
    <row r="33" spans="1:13" s="3086" customFormat="1" ht="18" customHeight="1">
      <c r="A33" s="3069"/>
      <c r="B33" s="3425" t="s">
        <v>3259</v>
      </c>
      <c r="C33" s="3425"/>
      <c r="D33" s="3425"/>
      <c r="E33" s="3425"/>
      <c r="F33" s="3425"/>
      <c r="G33" s="3123"/>
      <c r="H33" s="3124"/>
      <c r="I33" s="3069"/>
      <c r="J33" s="3084"/>
      <c r="K33" s="3097"/>
      <c r="L33" s="3097"/>
      <c r="M33" s="3069"/>
    </row>
    <row r="34" spans="1:13" s="3086" customFormat="1" ht="18" customHeight="1">
      <c r="A34" s="3069"/>
      <c r="B34" s="3125" t="s">
        <v>3260</v>
      </c>
      <c r="C34" s="3126" t="s">
        <v>3171</v>
      </c>
      <c r="D34" s="3426" t="s">
        <v>3261</v>
      </c>
      <c r="E34" s="3426"/>
      <c r="F34" s="3426"/>
      <c r="G34" s="3123"/>
      <c r="H34" s="3124"/>
      <c r="I34" s="3069"/>
      <c r="J34" s="3110"/>
      <c r="K34" s="3069"/>
      <c r="L34" s="3069"/>
      <c r="M34" s="3069"/>
    </row>
    <row r="35" spans="1:13">
      <c r="B35" s="3125" t="s">
        <v>3262</v>
      </c>
      <c r="C35" s="3127">
        <v>0.5</v>
      </c>
      <c r="D35" s="3427">
        <f>'比较法-住宅'!C49</f>
        <v>36.6</v>
      </c>
      <c r="E35" s="3427"/>
      <c r="F35" s="3427"/>
      <c r="G35" s="3123">
        <f ca="1">(D35-D36)/D36</f>
        <v>-2.269692923898535E-2</v>
      </c>
      <c r="H35" s="3124"/>
      <c r="K35" s="3069"/>
      <c r="L35" s="3069"/>
    </row>
    <row r="36" spans="1:13" ht="20.100000000000001" customHeight="1">
      <c r="B36" s="3125" t="s">
        <v>3263</v>
      </c>
      <c r="C36" s="3127">
        <f>1-C35</f>
        <v>0.5</v>
      </c>
      <c r="D36" s="3427">
        <f ca="1">C30</f>
        <v>37.450000000000003</v>
      </c>
      <c r="E36" s="3427"/>
      <c r="F36" s="3427"/>
      <c r="G36" s="3123"/>
      <c r="H36" s="3124"/>
      <c r="J36" s="3069"/>
      <c r="K36" s="3069"/>
      <c r="L36" s="3069"/>
    </row>
    <row r="37" spans="1:13" ht="22.5" customHeight="1">
      <c r="B37" s="3428" t="s">
        <v>3264</v>
      </c>
      <c r="C37" s="3428"/>
      <c r="D37" s="3424">
        <f ca="1">ROUND(C35*D35+C36*D36,1)</f>
        <v>37</v>
      </c>
      <c r="E37" s="3424"/>
      <c r="F37" s="3424"/>
      <c r="G37" s="3123"/>
      <c r="H37" s="3137">
        <f ca="1">D37+H39</f>
        <v>39.61</v>
      </c>
      <c r="J37" s="3069"/>
      <c r="K37" s="3069"/>
      <c r="L37" s="3069"/>
    </row>
    <row r="38" spans="1:13" ht="22.5" customHeight="1">
      <c r="B38" s="3125" t="s">
        <v>3265</v>
      </c>
      <c r="C38" s="3125">
        <f ca="1">ROUND(D37*0.9,1)</f>
        <v>33.299999999999997</v>
      </c>
      <c r="D38" s="3128" t="s">
        <v>3266</v>
      </c>
      <c r="E38" s="3424">
        <f ca="1">ROUND(D37*1.1,1)</f>
        <v>40.700000000000003</v>
      </c>
      <c r="F38" s="3424"/>
      <c r="G38" s="3123" t="s">
        <v>3267</v>
      </c>
      <c r="H38" s="3129">
        <v>12</v>
      </c>
      <c r="J38" s="3069"/>
      <c r="K38" s="3069"/>
      <c r="L38" s="3069"/>
    </row>
    <row r="39" spans="1:13" ht="18" customHeight="1">
      <c r="B39" s="3125" t="s">
        <v>3268</v>
      </c>
      <c r="C39" s="3125">
        <f ca="1">ROUND(C38+H39,1)</f>
        <v>35.9</v>
      </c>
      <c r="D39" s="3128" t="s">
        <v>3266</v>
      </c>
      <c r="E39" s="3424">
        <f ca="1">ROUND(E38+H39,1)</f>
        <v>43.3</v>
      </c>
      <c r="F39" s="3424"/>
      <c r="G39" s="3130" t="s">
        <v>3269</v>
      </c>
      <c r="H39" s="3130">
        <v>2.61</v>
      </c>
      <c r="J39" s="3069"/>
      <c r="K39" s="3069"/>
      <c r="L39" s="3069"/>
    </row>
    <row r="40" spans="1:13" ht="18" customHeight="1">
      <c r="B40" s="3131"/>
      <c r="C40" s="3132"/>
      <c r="D40" s="3133"/>
      <c r="E40" s="3133"/>
      <c r="F40" s="3133"/>
      <c r="G40" s="3123"/>
      <c r="H40" s="3124"/>
      <c r="J40" s="3069"/>
    </row>
    <row r="41" spans="1:13" ht="18" customHeight="1">
      <c r="B41" s="3123" t="s">
        <v>3270</v>
      </c>
      <c r="C41" s="3133"/>
      <c r="D41" s="3133"/>
      <c r="E41" s="3123" t="s">
        <v>3271</v>
      </c>
      <c r="F41" s="3133"/>
      <c r="G41" s="3123"/>
      <c r="H41" s="3123" t="s">
        <v>3272</v>
      </c>
      <c r="J41" s="3069"/>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6"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7" zoomScale="130" zoomScaleNormal="100" zoomScaleSheetLayoutView="130" workbookViewId="0">
      <selection activeCell="C3" sqref="C3:F3"/>
    </sheetView>
  </sheetViews>
  <sheetFormatPr defaultRowHeight="13.5"/>
  <cols>
    <col min="1" max="1" width="6.375" style="3069" customWidth="1"/>
    <col min="2" max="2" width="19.375" style="3134" customWidth="1"/>
    <col min="3" max="3" width="7" style="3135" customWidth="1"/>
    <col min="4" max="4" width="3.25" style="3135" customWidth="1"/>
    <col min="5" max="5" width="7.375" style="3135" customWidth="1"/>
    <col min="6" max="6" width="3.5" style="3135" customWidth="1"/>
    <col min="7" max="7" width="19.375" style="3136" customWidth="1"/>
    <col min="8" max="8" width="19.5" style="3069" customWidth="1"/>
    <col min="9" max="9" width="8.625" style="3069" customWidth="1"/>
    <col min="10" max="10" width="10.5" style="3065" customWidth="1"/>
    <col min="11" max="11" width="4.875" style="3097" customWidth="1"/>
    <col min="12" max="12" width="16.375" style="3097" customWidth="1"/>
    <col min="13" max="16" width="8.125" style="3069" customWidth="1"/>
    <col min="17" max="256" width="9" style="3069"/>
    <col min="257" max="257" width="6.375" style="3069" customWidth="1"/>
    <col min="258" max="258" width="19.375" style="3069" customWidth="1"/>
    <col min="259" max="259" width="7" style="3069" customWidth="1"/>
    <col min="260" max="260" width="3.25" style="3069" customWidth="1"/>
    <col min="261" max="261" width="7.375" style="3069" customWidth="1"/>
    <col min="262" max="262" width="3.5" style="3069" customWidth="1"/>
    <col min="263" max="263" width="19.375" style="3069" customWidth="1"/>
    <col min="264" max="264" width="19.5" style="3069" customWidth="1"/>
    <col min="265" max="265" width="8.625" style="3069" customWidth="1"/>
    <col min="266" max="266" width="10.5" style="3069" customWidth="1"/>
    <col min="267" max="267" width="4.875" style="3069" customWidth="1"/>
    <col min="268" max="268" width="16.375" style="3069" customWidth="1"/>
    <col min="269" max="272" width="8.125" style="3069" customWidth="1"/>
    <col min="273" max="512" width="9" style="3069"/>
    <col min="513" max="513" width="6.375" style="3069" customWidth="1"/>
    <col min="514" max="514" width="19.375" style="3069" customWidth="1"/>
    <col min="515" max="515" width="7" style="3069" customWidth="1"/>
    <col min="516" max="516" width="3.25" style="3069" customWidth="1"/>
    <col min="517" max="517" width="7.375" style="3069" customWidth="1"/>
    <col min="518" max="518" width="3.5" style="3069" customWidth="1"/>
    <col min="519" max="519" width="19.375" style="3069" customWidth="1"/>
    <col min="520" max="520" width="19.5" style="3069" customWidth="1"/>
    <col min="521" max="521" width="8.625" style="3069" customWidth="1"/>
    <col min="522" max="522" width="10.5" style="3069" customWidth="1"/>
    <col min="523" max="523" width="4.875" style="3069" customWidth="1"/>
    <col min="524" max="524" width="16.375" style="3069" customWidth="1"/>
    <col min="525" max="528" width="8.125" style="3069" customWidth="1"/>
    <col min="529" max="768" width="9" style="3069"/>
    <col min="769" max="769" width="6.375" style="3069" customWidth="1"/>
    <col min="770" max="770" width="19.375" style="3069" customWidth="1"/>
    <col min="771" max="771" width="7" style="3069" customWidth="1"/>
    <col min="772" max="772" width="3.25" style="3069" customWidth="1"/>
    <col min="773" max="773" width="7.375" style="3069" customWidth="1"/>
    <col min="774" max="774" width="3.5" style="3069" customWidth="1"/>
    <col min="775" max="775" width="19.375" style="3069" customWidth="1"/>
    <col min="776" max="776" width="19.5" style="3069" customWidth="1"/>
    <col min="777" max="777" width="8.625" style="3069" customWidth="1"/>
    <col min="778" max="778" width="10.5" style="3069" customWidth="1"/>
    <col min="779" max="779" width="4.875" style="3069" customWidth="1"/>
    <col min="780" max="780" width="16.375" style="3069" customWidth="1"/>
    <col min="781" max="784" width="8.125" style="3069" customWidth="1"/>
    <col min="785" max="1024" width="9" style="3069"/>
    <col min="1025" max="1025" width="6.375" style="3069" customWidth="1"/>
    <col min="1026" max="1026" width="19.375" style="3069" customWidth="1"/>
    <col min="1027" max="1027" width="7" style="3069" customWidth="1"/>
    <col min="1028" max="1028" width="3.25" style="3069" customWidth="1"/>
    <col min="1029" max="1029" width="7.375" style="3069" customWidth="1"/>
    <col min="1030" max="1030" width="3.5" style="3069" customWidth="1"/>
    <col min="1031" max="1031" width="19.375" style="3069" customWidth="1"/>
    <col min="1032" max="1032" width="19.5" style="3069" customWidth="1"/>
    <col min="1033" max="1033" width="8.625" style="3069" customWidth="1"/>
    <col min="1034" max="1034" width="10.5" style="3069" customWidth="1"/>
    <col min="1035" max="1035" width="4.875" style="3069" customWidth="1"/>
    <col min="1036" max="1036" width="16.375" style="3069" customWidth="1"/>
    <col min="1037" max="1040" width="8.125" style="3069" customWidth="1"/>
    <col min="1041" max="1280" width="9" style="3069"/>
    <col min="1281" max="1281" width="6.375" style="3069" customWidth="1"/>
    <col min="1282" max="1282" width="19.375" style="3069" customWidth="1"/>
    <col min="1283" max="1283" width="7" style="3069" customWidth="1"/>
    <col min="1284" max="1284" width="3.25" style="3069" customWidth="1"/>
    <col min="1285" max="1285" width="7.375" style="3069" customWidth="1"/>
    <col min="1286" max="1286" width="3.5" style="3069" customWidth="1"/>
    <col min="1287" max="1287" width="19.375" style="3069" customWidth="1"/>
    <col min="1288" max="1288" width="19.5" style="3069" customWidth="1"/>
    <col min="1289" max="1289" width="8.625" style="3069" customWidth="1"/>
    <col min="1290" max="1290" width="10.5" style="3069" customWidth="1"/>
    <col min="1291" max="1291" width="4.875" style="3069" customWidth="1"/>
    <col min="1292" max="1292" width="16.375" style="3069" customWidth="1"/>
    <col min="1293" max="1296" width="8.125" style="3069" customWidth="1"/>
    <col min="1297" max="1536" width="9" style="3069"/>
    <col min="1537" max="1537" width="6.375" style="3069" customWidth="1"/>
    <col min="1538" max="1538" width="19.375" style="3069" customWidth="1"/>
    <col min="1539" max="1539" width="7" style="3069" customWidth="1"/>
    <col min="1540" max="1540" width="3.25" style="3069" customWidth="1"/>
    <col min="1541" max="1541" width="7.375" style="3069" customWidth="1"/>
    <col min="1542" max="1542" width="3.5" style="3069" customWidth="1"/>
    <col min="1543" max="1543" width="19.375" style="3069" customWidth="1"/>
    <col min="1544" max="1544" width="19.5" style="3069" customWidth="1"/>
    <col min="1545" max="1545" width="8.625" style="3069" customWidth="1"/>
    <col min="1546" max="1546" width="10.5" style="3069" customWidth="1"/>
    <col min="1547" max="1547" width="4.875" style="3069" customWidth="1"/>
    <col min="1548" max="1548" width="16.375" style="3069" customWidth="1"/>
    <col min="1549" max="1552" width="8.125" style="3069" customWidth="1"/>
    <col min="1553" max="1792" width="9" style="3069"/>
    <col min="1793" max="1793" width="6.375" style="3069" customWidth="1"/>
    <col min="1794" max="1794" width="19.375" style="3069" customWidth="1"/>
    <col min="1795" max="1795" width="7" style="3069" customWidth="1"/>
    <col min="1796" max="1796" width="3.25" style="3069" customWidth="1"/>
    <col min="1797" max="1797" width="7.375" style="3069" customWidth="1"/>
    <col min="1798" max="1798" width="3.5" style="3069" customWidth="1"/>
    <col min="1799" max="1799" width="19.375" style="3069" customWidth="1"/>
    <col min="1800" max="1800" width="19.5" style="3069" customWidth="1"/>
    <col min="1801" max="1801" width="8.625" style="3069" customWidth="1"/>
    <col min="1802" max="1802" width="10.5" style="3069" customWidth="1"/>
    <col min="1803" max="1803" width="4.875" style="3069" customWidth="1"/>
    <col min="1804" max="1804" width="16.375" style="3069" customWidth="1"/>
    <col min="1805" max="1808" width="8.125" style="3069" customWidth="1"/>
    <col min="1809" max="2048" width="9" style="3069"/>
    <col min="2049" max="2049" width="6.375" style="3069" customWidth="1"/>
    <col min="2050" max="2050" width="19.375" style="3069" customWidth="1"/>
    <col min="2051" max="2051" width="7" style="3069" customWidth="1"/>
    <col min="2052" max="2052" width="3.25" style="3069" customWidth="1"/>
    <col min="2053" max="2053" width="7.375" style="3069" customWidth="1"/>
    <col min="2054" max="2054" width="3.5" style="3069" customWidth="1"/>
    <col min="2055" max="2055" width="19.375" style="3069" customWidth="1"/>
    <col min="2056" max="2056" width="19.5" style="3069" customWidth="1"/>
    <col min="2057" max="2057" width="8.625" style="3069" customWidth="1"/>
    <col min="2058" max="2058" width="10.5" style="3069" customWidth="1"/>
    <col min="2059" max="2059" width="4.875" style="3069" customWidth="1"/>
    <col min="2060" max="2060" width="16.375" style="3069" customWidth="1"/>
    <col min="2061" max="2064" width="8.125" style="3069" customWidth="1"/>
    <col min="2065" max="2304" width="9" style="3069"/>
    <col min="2305" max="2305" width="6.375" style="3069" customWidth="1"/>
    <col min="2306" max="2306" width="19.375" style="3069" customWidth="1"/>
    <col min="2307" max="2307" width="7" style="3069" customWidth="1"/>
    <col min="2308" max="2308" width="3.25" style="3069" customWidth="1"/>
    <col min="2309" max="2309" width="7.375" style="3069" customWidth="1"/>
    <col min="2310" max="2310" width="3.5" style="3069" customWidth="1"/>
    <col min="2311" max="2311" width="19.375" style="3069" customWidth="1"/>
    <col min="2312" max="2312" width="19.5" style="3069" customWidth="1"/>
    <col min="2313" max="2313" width="8.625" style="3069" customWidth="1"/>
    <col min="2314" max="2314" width="10.5" style="3069" customWidth="1"/>
    <col min="2315" max="2315" width="4.875" style="3069" customWidth="1"/>
    <col min="2316" max="2316" width="16.375" style="3069" customWidth="1"/>
    <col min="2317" max="2320" width="8.125" style="3069" customWidth="1"/>
    <col min="2321" max="2560" width="9" style="3069"/>
    <col min="2561" max="2561" width="6.375" style="3069" customWidth="1"/>
    <col min="2562" max="2562" width="19.375" style="3069" customWidth="1"/>
    <col min="2563" max="2563" width="7" style="3069" customWidth="1"/>
    <col min="2564" max="2564" width="3.25" style="3069" customWidth="1"/>
    <col min="2565" max="2565" width="7.375" style="3069" customWidth="1"/>
    <col min="2566" max="2566" width="3.5" style="3069" customWidth="1"/>
    <col min="2567" max="2567" width="19.375" style="3069" customWidth="1"/>
    <col min="2568" max="2568" width="19.5" style="3069" customWidth="1"/>
    <col min="2569" max="2569" width="8.625" style="3069" customWidth="1"/>
    <col min="2570" max="2570" width="10.5" style="3069" customWidth="1"/>
    <col min="2571" max="2571" width="4.875" style="3069" customWidth="1"/>
    <col min="2572" max="2572" width="16.375" style="3069" customWidth="1"/>
    <col min="2573" max="2576" width="8.125" style="3069" customWidth="1"/>
    <col min="2577" max="2816" width="9" style="3069"/>
    <col min="2817" max="2817" width="6.375" style="3069" customWidth="1"/>
    <col min="2818" max="2818" width="19.375" style="3069" customWidth="1"/>
    <col min="2819" max="2819" width="7" style="3069" customWidth="1"/>
    <col min="2820" max="2820" width="3.25" style="3069" customWidth="1"/>
    <col min="2821" max="2821" width="7.375" style="3069" customWidth="1"/>
    <col min="2822" max="2822" width="3.5" style="3069" customWidth="1"/>
    <col min="2823" max="2823" width="19.375" style="3069" customWidth="1"/>
    <col min="2824" max="2824" width="19.5" style="3069" customWidth="1"/>
    <col min="2825" max="2825" width="8.625" style="3069" customWidth="1"/>
    <col min="2826" max="2826" width="10.5" style="3069" customWidth="1"/>
    <col min="2827" max="2827" width="4.875" style="3069" customWidth="1"/>
    <col min="2828" max="2828" width="16.375" style="3069" customWidth="1"/>
    <col min="2829" max="2832" width="8.125" style="3069" customWidth="1"/>
    <col min="2833" max="3072" width="9" style="3069"/>
    <col min="3073" max="3073" width="6.375" style="3069" customWidth="1"/>
    <col min="3074" max="3074" width="19.375" style="3069" customWidth="1"/>
    <col min="3075" max="3075" width="7" style="3069" customWidth="1"/>
    <col min="3076" max="3076" width="3.25" style="3069" customWidth="1"/>
    <col min="3077" max="3077" width="7.375" style="3069" customWidth="1"/>
    <col min="3078" max="3078" width="3.5" style="3069" customWidth="1"/>
    <col min="3079" max="3079" width="19.375" style="3069" customWidth="1"/>
    <col min="3080" max="3080" width="19.5" style="3069" customWidth="1"/>
    <col min="3081" max="3081" width="8.625" style="3069" customWidth="1"/>
    <col min="3082" max="3082" width="10.5" style="3069" customWidth="1"/>
    <col min="3083" max="3083" width="4.875" style="3069" customWidth="1"/>
    <col min="3084" max="3084" width="16.375" style="3069" customWidth="1"/>
    <col min="3085" max="3088" width="8.125" style="3069" customWidth="1"/>
    <col min="3089" max="3328" width="9" style="3069"/>
    <col min="3329" max="3329" width="6.375" style="3069" customWidth="1"/>
    <col min="3330" max="3330" width="19.375" style="3069" customWidth="1"/>
    <col min="3331" max="3331" width="7" style="3069" customWidth="1"/>
    <col min="3332" max="3332" width="3.25" style="3069" customWidth="1"/>
    <col min="3333" max="3333" width="7.375" style="3069" customWidth="1"/>
    <col min="3334" max="3334" width="3.5" style="3069" customWidth="1"/>
    <col min="3335" max="3335" width="19.375" style="3069" customWidth="1"/>
    <col min="3336" max="3336" width="19.5" style="3069" customWidth="1"/>
    <col min="3337" max="3337" width="8.625" style="3069" customWidth="1"/>
    <col min="3338" max="3338" width="10.5" style="3069" customWidth="1"/>
    <col min="3339" max="3339" width="4.875" style="3069" customWidth="1"/>
    <col min="3340" max="3340" width="16.375" style="3069" customWidth="1"/>
    <col min="3341" max="3344" width="8.125" style="3069" customWidth="1"/>
    <col min="3345" max="3584" width="9" style="3069"/>
    <col min="3585" max="3585" width="6.375" style="3069" customWidth="1"/>
    <col min="3586" max="3586" width="19.375" style="3069" customWidth="1"/>
    <col min="3587" max="3587" width="7" style="3069" customWidth="1"/>
    <col min="3588" max="3588" width="3.25" style="3069" customWidth="1"/>
    <col min="3589" max="3589" width="7.375" style="3069" customWidth="1"/>
    <col min="3590" max="3590" width="3.5" style="3069" customWidth="1"/>
    <col min="3591" max="3591" width="19.375" style="3069" customWidth="1"/>
    <col min="3592" max="3592" width="19.5" style="3069" customWidth="1"/>
    <col min="3593" max="3593" width="8.625" style="3069" customWidth="1"/>
    <col min="3594" max="3594" width="10.5" style="3069" customWidth="1"/>
    <col min="3595" max="3595" width="4.875" style="3069" customWidth="1"/>
    <col min="3596" max="3596" width="16.375" style="3069" customWidth="1"/>
    <col min="3597" max="3600" width="8.125" style="3069" customWidth="1"/>
    <col min="3601" max="3840" width="9" style="3069"/>
    <col min="3841" max="3841" width="6.375" style="3069" customWidth="1"/>
    <col min="3842" max="3842" width="19.375" style="3069" customWidth="1"/>
    <col min="3843" max="3843" width="7" style="3069" customWidth="1"/>
    <col min="3844" max="3844" width="3.25" style="3069" customWidth="1"/>
    <col min="3845" max="3845" width="7.375" style="3069" customWidth="1"/>
    <col min="3846" max="3846" width="3.5" style="3069" customWidth="1"/>
    <col min="3847" max="3847" width="19.375" style="3069" customWidth="1"/>
    <col min="3848" max="3848" width="19.5" style="3069" customWidth="1"/>
    <col min="3849" max="3849" width="8.625" style="3069" customWidth="1"/>
    <col min="3850" max="3850" width="10.5" style="3069" customWidth="1"/>
    <col min="3851" max="3851" width="4.875" style="3069" customWidth="1"/>
    <col min="3852" max="3852" width="16.375" style="3069" customWidth="1"/>
    <col min="3853" max="3856" width="8.125" style="3069" customWidth="1"/>
    <col min="3857" max="4096" width="9" style="3069"/>
    <col min="4097" max="4097" width="6.375" style="3069" customWidth="1"/>
    <col min="4098" max="4098" width="19.375" style="3069" customWidth="1"/>
    <col min="4099" max="4099" width="7" style="3069" customWidth="1"/>
    <col min="4100" max="4100" width="3.25" style="3069" customWidth="1"/>
    <col min="4101" max="4101" width="7.375" style="3069" customWidth="1"/>
    <col min="4102" max="4102" width="3.5" style="3069" customWidth="1"/>
    <col min="4103" max="4103" width="19.375" style="3069" customWidth="1"/>
    <col min="4104" max="4104" width="19.5" style="3069" customWidth="1"/>
    <col min="4105" max="4105" width="8.625" style="3069" customWidth="1"/>
    <col min="4106" max="4106" width="10.5" style="3069" customWidth="1"/>
    <col min="4107" max="4107" width="4.875" style="3069" customWidth="1"/>
    <col min="4108" max="4108" width="16.375" style="3069" customWidth="1"/>
    <col min="4109" max="4112" width="8.125" style="3069" customWidth="1"/>
    <col min="4113" max="4352" width="9" style="3069"/>
    <col min="4353" max="4353" width="6.375" style="3069" customWidth="1"/>
    <col min="4354" max="4354" width="19.375" style="3069" customWidth="1"/>
    <col min="4355" max="4355" width="7" style="3069" customWidth="1"/>
    <col min="4356" max="4356" width="3.25" style="3069" customWidth="1"/>
    <col min="4357" max="4357" width="7.375" style="3069" customWidth="1"/>
    <col min="4358" max="4358" width="3.5" style="3069" customWidth="1"/>
    <col min="4359" max="4359" width="19.375" style="3069" customWidth="1"/>
    <col min="4360" max="4360" width="19.5" style="3069" customWidth="1"/>
    <col min="4361" max="4361" width="8.625" style="3069" customWidth="1"/>
    <col min="4362" max="4362" width="10.5" style="3069" customWidth="1"/>
    <col min="4363" max="4363" width="4.875" style="3069" customWidth="1"/>
    <col min="4364" max="4364" width="16.375" style="3069" customWidth="1"/>
    <col min="4365" max="4368" width="8.125" style="3069" customWidth="1"/>
    <col min="4369" max="4608" width="9" style="3069"/>
    <col min="4609" max="4609" width="6.375" style="3069" customWidth="1"/>
    <col min="4610" max="4610" width="19.375" style="3069" customWidth="1"/>
    <col min="4611" max="4611" width="7" style="3069" customWidth="1"/>
    <col min="4612" max="4612" width="3.25" style="3069" customWidth="1"/>
    <col min="4613" max="4613" width="7.375" style="3069" customWidth="1"/>
    <col min="4614" max="4614" width="3.5" style="3069" customWidth="1"/>
    <col min="4615" max="4615" width="19.375" style="3069" customWidth="1"/>
    <col min="4616" max="4616" width="19.5" style="3069" customWidth="1"/>
    <col min="4617" max="4617" width="8.625" style="3069" customWidth="1"/>
    <col min="4618" max="4618" width="10.5" style="3069" customWidth="1"/>
    <col min="4619" max="4619" width="4.875" style="3069" customWidth="1"/>
    <col min="4620" max="4620" width="16.375" style="3069" customWidth="1"/>
    <col min="4621" max="4624" width="8.125" style="3069" customWidth="1"/>
    <col min="4625" max="4864" width="9" style="3069"/>
    <col min="4865" max="4865" width="6.375" style="3069" customWidth="1"/>
    <col min="4866" max="4866" width="19.375" style="3069" customWidth="1"/>
    <col min="4867" max="4867" width="7" style="3069" customWidth="1"/>
    <col min="4868" max="4868" width="3.25" style="3069" customWidth="1"/>
    <col min="4869" max="4869" width="7.375" style="3069" customWidth="1"/>
    <col min="4870" max="4870" width="3.5" style="3069" customWidth="1"/>
    <col min="4871" max="4871" width="19.375" style="3069" customWidth="1"/>
    <col min="4872" max="4872" width="19.5" style="3069" customWidth="1"/>
    <col min="4873" max="4873" width="8.625" style="3069" customWidth="1"/>
    <col min="4874" max="4874" width="10.5" style="3069" customWidth="1"/>
    <col min="4875" max="4875" width="4.875" style="3069" customWidth="1"/>
    <col min="4876" max="4876" width="16.375" style="3069" customWidth="1"/>
    <col min="4877" max="4880" width="8.125" style="3069" customWidth="1"/>
    <col min="4881" max="5120" width="9" style="3069"/>
    <col min="5121" max="5121" width="6.375" style="3069" customWidth="1"/>
    <col min="5122" max="5122" width="19.375" style="3069" customWidth="1"/>
    <col min="5123" max="5123" width="7" style="3069" customWidth="1"/>
    <col min="5124" max="5124" width="3.25" style="3069" customWidth="1"/>
    <col min="5125" max="5125" width="7.375" style="3069" customWidth="1"/>
    <col min="5126" max="5126" width="3.5" style="3069" customWidth="1"/>
    <col min="5127" max="5127" width="19.375" style="3069" customWidth="1"/>
    <col min="5128" max="5128" width="19.5" style="3069" customWidth="1"/>
    <col min="5129" max="5129" width="8.625" style="3069" customWidth="1"/>
    <col min="5130" max="5130" width="10.5" style="3069" customWidth="1"/>
    <col min="5131" max="5131" width="4.875" style="3069" customWidth="1"/>
    <col min="5132" max="5132" width="16.375" style="3069" customWidth="1"/>
    <col min="5133" max="5136" width="8.125" style="3069" customWidth="1"/>
    <col min="5137" max="5376" width="9" style="3069"/>
    <col min="5377" max="5377" width="6.375" style="3069" customWidth="1"/>
    <col min="5378" max="5378" width="19.375" style="3069" customWidth="1"/>
    <col min="5379" max="5379" width="7" style="3069" customWidth="1"/>
    <col min="5380" max="5380" width="3.25" style="3069" customWidth="1"/>
    <col min="5381" max="5381" width="7.375" style="3069" customWidth="1"/>
    <col min="5382" max="5382" width="3.5" style="3069" customWidth="1"/>
    <col min="5383" max="5383" width="19.375" style="3069" customWidth="1"/>
    <col min="5384" max="5384" width="19.5" style="3069" customWidth="1"/>
    <col min="5385" max="5385" width="8.625" style="3069" customWidth="1"/>
    <col min="5386" max="5386" width="10.5" style="3069" customWidth="1"/>
    <col min="5387" max="5387" width="4.875" style="3069" customWidth="1"/>
    <col min="5388" max="5388" width="16.375" style="3069" customWidth="1"/>
    <col min="5389" max="5392" width="8.125" style="3069" customWidth="1"/>
    <col min="5393" max="5632" width="9" style="3069"/>
    <col min="5633" max="5633" width="6.375" style="3069" customWidth="1"/>
    <col min="5634" max="5634" width="19.375" style="3069" customWidth="1"/>
    <col min="5635" max="5635" width="7" style="3069" customWidth="1"/>
    <col min="5636" max="5636" width="3.25" style="3069" customWidth="1"/>
    <col min="5637" max="5637" width="7.375" style="3069" customWidth="1"/>
    <col min="5638" max="5638" width="3.5" style="3069" customWidth="1"/>
    <col min="5639" max="5639" width="19.375" style="3069" customWidth="1"/>
    <col min="5640" max="5640" width="19.5" style="3069" customWidth="1"/>
    <col min="5641" max="5641" width="8.625" style="3069" customWidth="1"/>
    <col min="5642" max="5642" width="10.5" style="3069" customWidth="1"/>
    <col min="5643" max="5643" width="4.875" style="3069" customWidth="1"/>
    <col min="5644" max="5644" width="16.375" style="3069" customWidth="1"/>
    <col min="5645" max="5648" width="8.125" style="3069" customWidth="1"/>
    <col min="5649" max="5888" width="9" style="3069"/>
    <col min="5889" max="5889" width="6.375" style="3069" customWidth="1"/>
    <col min="5890" max="5890" width="19.375" style="3069" customWidth="1"/>
    <col min="5891" max="5891" width="7" style="3069" customWidth="1"/>
    <col min="5892" max="5892" width="3.25" style="3069" customWidth="1"/>
    <col min="5893" max="5893" width="7.375" style="3069" customWidth="1"/>
    <col min="5894" max="5894" width="3.5" style="3069" customWidth="1"/>
    <col min="5895" max="5895" width="19.375" style="3069" customWidth="1"/>
    <col min="5896" max="5896" width="19.5" style="3069" customWidth="1"/>
    <col min="5897" max="5897" width="8.625" style="3069" customWidth="1"/>
    <col min="5898" max="5898" width="10.5" style="3069" customWidth="1"/>
    <col min="5899" max="5899" width="4.875" style="3069" customWidth="1"/>
    <col min="5900" max="5900" width="16.375" style="3069" customWidth="1"/>
    <col min="5901" max="5904" width="8.125" style="3069" customWidth="1"/>
    <col min="5905" max="6144" width="9" style="3069"/>
    <col min="6145" max="6145" width="6.375" style="3069" customWidth="1"/>
    <col min="6146" max="6146" width="19.375" style="3069" customWidth="1"/>
    <col min="6147" max="6147" width="7" style="3069" customWidth="1"/>
    <col min="6148" max="6148" width="3.25" style="3069" customWidth="1"/>
    <col min="6149" max="6149" width="7.375" style="3069" customWidth="1"/>
    <col min="6150" max="6150" width="3.5" style="3069" customWidth="1"/>
    <col min="6151" max="6151" width="19.375" style="3069" customWidth="1"/>
    <col min="6152" max="6152" width="19.5" style="3069" customWidth="1"/>
    <col min="6153" max="6153" width="8.625" style="3069" customWidth="1"/>
    <col min="6154" max="6154" width="10.5" style="3069" customWidth="1"/>
    <col min="6155" max="6155" width="4.875" style="3069" customWidth="1"/>
    <col min="6156" max="6156" width="16.375" style="3069" customWidth="1"/>
    <col min="6157" max="6160" width="8.125" style="3069" customWidth="1"/>
    <col min="6161" max="6400" width="9" style="3069"/>
    <col min="6401" max="6401" width="6.375" style="3069" customWidth="1"/>
    <col min="6402" max="6402" width="19.375" style="3069" customWidth="1"/>
    <col min="6403" max="6403" width="7" style="3069" customWidth="1"/>
    <col min="6404" max="6404" width="3.25" style="3069" customWidth="1"/>
    <col min="6405" max="6405" width="7.375" style="3069" customWidth="1"/>
    <col min="6406" max="6406" width="3.5" style="3069" customWidth="1"/>
    <col min="6407" max="6407" width="19.375" style="3069" customWidth="1"/>
    <col min="6408" max="6408" width="19.5" style="3069" customWidth="1"/>
    <col min="6409" max="6409" width="8.625" style="3069" customWidth="1"/>
    <col min="6410" max="6410" width="10.5" style="3069" customWidth="1"/>
    <col min="6411" max="6411" width="4.875" style="3069" customWidth="1"/>
    <col min="6412" max="6412" width="16.375" style="3069" customWidth="1"/>
    <col min="6413" max="6416" width="8.125" style="3069" customWidth="1"/>
    <col min="6417" max="6656" width="9" style="3069"/>
    <col min="6657" max="6657" width="6.375" style="3069" customWidth="1"/>
    <col min="6658" max="6658" width="19.375" style="3069" customWidth="1"/>
    <col min="6659" max="6659" width="7" style="3069" customWidth="1"/>
    <col min="6660" max="6660" width="3.25" style="3069" customWidth="1"/>
    <col min="6661" max="6661" width="7.375" style="3069" customWidth="1"/>
    <col min="6662" max="6662" width="3.5" style="3069" customWidth="1"/>
    <col min="6663" max="6663" width="19.375" style="3069" customWidth="1"/>
    <col min="6664" max="6664" width="19.5" style="3069" customWidth="1"/>
    <col min="6665" max="6665" width="8.625" style="3069" customWidth="1"/>
    <col min="6666" max="6666" width="10.5" style="3069" customWidth="1"/>
    <col min="6667" max="6667" width="4.875" style="3069" customWidth="1"/>
    <col min="6668" max="6668" width="16.375" style="3069" customWidth="1"/>
    <col min="6669" max="6672" width="8.125" style="3069" customWidth="1"/>
    <col min="6673" max="6912" width="9" style="3069"/>
    <col min="6913" max="6913" width="6.375" style="3069" customWidth="1"/>
    <col min="6914" max="6914" width="19.375" style="3069" customWidth="1"/>
    <col min="6915" max="6915" width="7" style="3069" customWidth="1"/>
    <col min="6916" max="6916" width="3.25" style="3069" customWidth="1"/>
    <col min="6917" max="6917" width="7.375" style="3069" customWidth="1"/>
    <col min="6918" max="6918" width="3.5" style="3069" customWidth="1"/>
    <col min="6919" max="6919" width="19.375" style="3069" customWidth="1"/>
    <col min="6920" max="6920" width="19.5" style="3069" customWidth="1"/>
    <col min="6921" max="6921" width="8.625" style="3069" customWidth="1"/>
    <col min="6922" max="6922" width="10.5" style="3069" customWidth="1"/>
    <col min="6923" max="6923" width="4.875" style="3069" customWidth="1"/>
    <col min="6924" max="6924" width="16.375" style="3069" customWidth="1"/>
    <col min="6925" max="6928" width="8.125" style="3069" customWidth="1"/>
    <col min="6929" max="7168" width="9" style="3069"/>
    <col min="7169" max="7169" width="6.375" style="3069" customWidth="1"/>
    <col min="7170" max="7170" width="19.375" style="3069" customWidth="1"/>
    <col min="7171" max="7171" width="7" style="3069" customWidth="1"/>
    <col min="7172" max="7172" width="3.25" style="3069" customWidth="1"/>
    <col min="7173" max="7173" width="7.375" style="3069" customWidth="1"/>
    <col min="7174" max="7174" width="3.5" style="3069" customWidth="1"/>
    <col min="7175" max="7175" width="19.375" style="3069" customWidth="1"/>
    <col min="7176" max="7176" width="19.5" style="3069" customWidth="1"/>
    <col min="7177" max="7177" width="8.625" style="3069" customWidth="1"/>
    <col min="7178" max="7178" width="10.5" style="3069" customWidth="1"/>
    <col min="7179" max="7179" width="4.875" style="3069" customWidth="1"/>
    <col min="7180" max="7180" width="16.375" style="3069" customWidth="1"/>
    <col min="7181" max="7184" width="8.125" style="3069" customWidth="1"/>
    <col min="7185" max="7424" width="9" style="3069"/>
    <col min="7425" max="7425" width="6.375" style="3069" customWidth="1"/>
    <col min="7426" max="7426" width="19.375" style="3069" customWidth="1"/>
    <col min="7427" max="7427" width="7" style="3069" customWidth="1"/>
    <col min="7428" max="7428" width="3.25" style="3069" customWidth="1"/>
    <col min="7429" max="7429" width="7.375" style="3069" customWidth="1"/>
    <col min="7430" max="7430" width="3.5" style="3069" customWidth="1"/>
    <col min="7431" max="7431" width="19.375" style="3069" customWidth="1"/>
    <col min="7432" max="7432" width="19.5" style="3069" customWidth="1"/>
    <col min="7433" max="7433" width="8.625" style="3069" customWidth="1"/>
    <col min="7434" max="7434" width="10.5" style="3069" customWidth="1"/>
    <col min="7435" max="7435" width="4.875" style="3069" customWidth="1"/>
    <col min="7436" max="7436" width="16.375" style="3069" customWidth="1"/>
    <col min="7437" max="7440" width="8.125" style="3069" customWidth="1"/>
    <col min="7441" max="7680" width="9" style="3069"/>
    <col min="7681" max="7681" width="6.375" style="3069" customWidth="1"/>
    <col min="7682" max="7682" width="19.375" style="3069" customWidth="1"/>
    <col min="7683" max="7683" width="7" style="3069" customWidth="1"/>
    <col min="7684" max="7684" width="3.25" style="3069" customWidth="1"/>
    <col min="7685" max="7685" width="7.375" style="3069" customWidth="1"/>
    <col min="7686" max="7686" width="3.5" style="3069" customWidth="1"/>
    <col min="7687" max="7687" width="19.375" style="3069" customWidth="1"/>
    <col min="7688" max="7688" width="19.5" style="3069" customWidth="1"/>
    <col min="7689" max="7689" width="8.625" style="3069" customWidth="1"/>
    <col min="7690" max="7690" width="10.5" style="3069" customWidth="1"/>
    <col min="7691" max="7691" width="4.875" style="3069" customWidth="1"/>
    <col min="7692" max="7692" width="16.375" style="3069" customWidth="1"/>
    <col min="7693" max="7696" width="8.125" style="3069" customWidth="1"/>
    <col min="7697" max="7936" width="9" style="3069"/>
    <col min="7937" max="7937" width="6.375" style="3069" customWidth="1"/>
    <col min="7938" max="7938" width="19.375" style="3069" customWidth="1"/>
    <col min="7939" max="7939" width="7" style="3069" customWidth="1"/>
    <col min="7940" max="7940" width="3.25" style="3069" customWidth="1"/>
    <col min="7941" max="7941" width="7.375" style="3069" customWidth="1"/>
    <col min="7942" max="7942" width="3.5" style="3069" customWidth="1"/>
    <col min="7943" max="7943" width="19.375" style="3069" customWidth="1"/>
    <col min="7944" max="7944" width="19.5" style="3069" customWidth="1"/>
    <col min="7945" max="7945" width="8.625" style="3069" customWidth="1"/>
    <col min="7946" max="7946" width="10.5" style="3069" customWidth="1"/>
    <col min="7947" max="7947" width="4.875" style="3069" customWidth="1"/>
    <col min="7948" max="7948" width="16.375" style="3069" customWidth="1"/>
    <col min="7949" max="7952" width="8.125" style="3069" customWidth="1"/>
    <col min="7953" max="8192" width="9" style="3069"/>
    <col min="8193" max="8193" width="6.375" style="3069" customWidth="1"/>
    <col min="8194" max="8194" width="19.375" style="3069" customWidth="1"/>
    <col min="8195" max="8195" width="7" style="3069" customWidth="1"/>
    <col min="8196" max="8196" width="3.25" style="3069" customWidth="1"/>
    <col min="8197" max="8197" width="7.375" style="3069" customWidth="1"/>
    <col min="8198" max="8198" width="3.5" style="3069" customWidth="1"/>
    <col min="8199" max="8199" width="19.375" style="3069" customWidth="1"/>
    <col min="8200" max="8200" width="19.5" style="3069" customWidth="1"/>
    <col min="8201" max="8201" width="8.625" style="3069" customWidth="1"/>
    <col min="8202" max="8202" width="10.5" style="3069" customWidth="1"/>
    <col min="8203" max="8203" width="4.875" style="3069" customWidth="1"/>
    <col min="8204" max="8204" width="16.375" style="3069" customWidth="1"/>
    <col min="8205" max="8208" width="8.125" style="3069" customWidth="1"/>
    <col min="8209" max="8448" width="9" style="3069"/>
    <col min="8449" max="8449" width="6.375" style="3069" customWidth="1"/>
    <col min="8450" max="8450" width="19.375" style="3069" customWidth="1"/>
    <col min="8451" max="8451" width="7" style="3069" customWidth="1"/>
    <col min="8452" max="8452" width="3.25" style="3069" customWidth="1"/>
    <col min="8453" max="8453" width="7.375" style="3069" customWidth="1"/>
    <col min="8454" max="8454" width="3.5" style="3069" customWidth="1"/>
    <col min="8455" max="8455" width="19.375" style="3069" customWidth="1"/>
    <col min="8456" max="8456" width="19.5" style="3069" customWidth="1"/>
    <col min="8457" max="8457" width="8.625" style="3069" customWidth="1"/>
    <col min="8458" max="8458" width="10.5" style="3069" customWidth="1"/>
    <col min="8459" max="8459" width="4.875" style="3069" customWidth="1"/>
    <col min="8460" max="8460" width="16.375" style="3069" customWidth="1"/>
    <col min="8461" max="8464" width="8.125" style="3069" customWidth="1"/>
    <col min="8465" max="8704" width="9" style="3069"/>
    <col min="8705" max="8705" width="6.375" style="3069" customWidth="1"/>
    <col min="8706" max="8706" width="19.375" style="3069" customWidth="1"/>
    <col min="8707" max="8707" width="7" style="3069" customWidth="1"/>
    <col min="8708" max="8708" width="3.25" style="3069" customWidth="1"/>
    <col min="8709" max="8709" width="7.375" style="3069" customWidth="1"/>
    <col min="8710" max="8710" width="3.5" style="3069" customWidth="1"/>
    <col min="8711" max="8711" width="19.375" style="3069" customWidth="1"/>
    <col min="8712" max="8712" width="19.5" style="3069" customWidth="1"/>
    <col min="8713" max="8713" width="8.625" style="3069" customWidth="1"/>
    <col min="8714" max="8714" width="10.5" style="3069" customWidth="1"/>
    <col min="8715" max="8715" width="4.875" style="3069" customWidth="1"/>
    <col min="8716" max="8716" width="16.375" style="3069" customWidth="1"/>
    <col min="8717" max="8720" width="8.125" style="3069" customWidth="1"/>
    <col min="8721" max="8960" width="9" style="3069"/>
    <col min="8961" max="8961" width="6.375" style="3069" customWidth="1"/>
    <col min="8962" max="8962" width="19.375" style="3069" customWidth="1"/>
    <col min="8963" max="8963" width="7" style="3069" customWidth="1"/>
    <col min="8964" max="8964" width="3.25" style="3069" customWidth="1"/>
    <col min="8965" max="8965" width="7.375" style="3069" customWidth="1"/>
    <col min="8966" max="8966" width="3.5" style="3069" customWidth="1"/>
    <col min="8967" max="8967" width="19.375" style="3069" customWidth="1"/>
    <col min="8968" max="8968" width="19.5" style="3069" customWidth="1"/>
    <col min="8969" max="8969" width="8.625" style="3069" customWidth="1"/>
    <col min="8970" max="8970" width="10.5" style="3069" customWidth="1"/>
    <col min="8971" max="8971" width="4.875" style="3069" customWidth="1"/>
    <col min="8972" max="8972" width="16.375" style="3069" customWidth="1"/>
    <col min="8973" max="8976" width="8.125" style="3069" customWidth="1"/>
    <col min="8977" max="9216" width="9" style="3069"/>
    <col min="9217" max="9217" width="6.375" style="3069" customWidth="1"/>
    <col min="9218" max="9218" width="19.375" style="3069" customWidth="1"/>
    <col min="9219" max="9219" width="7" style="3069" customWidth="1"/>
    <col min="9220" max="9220" width="3.25" style="3069" customWidth="1"/>
    <col min="9221" max="9221" width="7.375" style="3069" customWidth="1"/>
    <col min="9222" max="9222" width="3.5" style="3069" customWidth="1"/>
    <col min="9223" max="9223" width="19.375" style="3069" customWidth="1"/>
    <col min="9224" max="9224" width="19.5" style="3069" customWidth="1"/>
    <col min="9225" max="9225" width="8.625" style="3069" customWidth="1"/>
    <col min="9226" max="9226" width="10.5" style="3069" customWidth="1"/>
    <col min="9227" max="9227" width="4.875" style="3069" customWidth="1"/>
    <col min="9228" max="9228" width="16.375" style="3069" customWidth="1"/>
    <col min="9229" max="9232" width="8.125" style="3069" customWidth="1"/>
    <col min="9233" max="9472" width="9" style="3069"/>
    <col min="9473" max="9473" width="6.375" style="3069" customWidth="1"/>
    <col min="9474" max="9474" width="19.375" style="3069" customWidth="1"/>
    <col min="9475" max="9475" width="7" style="3069" customWidth="1"/>
    <col min="9476" max="9476" width="3.25" style="3069" customWidth="1"/>
    <col min="9477" max="9477" width="7.375" style="3069" customWidth="1"/>
    <col min="9478" max="9478" width="3.5" style="3069" customWidth="1"/>
    <col min="9479" max="9479" width="19.375" style="3069" customWidth="1"/>
    <col min="9480" max="9480" width="19.5" style="3069" customWidth="1"/>
    <col min="9481" max="9481" width="8.625" style="3069" customWidth="1"/>
    <col min="9482" max="9482" width="10.5" style="3069" customWidth="1"/>
    <col min="9483" max="9483" width="4.875" style="3069" customWidth="1"/>
    <col min="9484" max="9484" width="16.375" style="3069" customWidth="1"/>
    <col min="9485" max="9488" width="8.125" style="3069" customWidth="1"/>
    <col min="9489" max="9728" width="9" style="3069"/>
    <col min="9729" max="9729" width="6.375" style="3069" customWidth="1"/>
    <col min="9730" max="9730" width="19.375" style="3069" customWidth="1"/>
    <col min="9731" max="9731" width="7" style="3069" customWidth="1"/>
    <col min="9732" max="9732" width="3.25" style="3069" customWidth="1"/>
    <col min="9733" max="9733" width="7.375" style="3069" customWidth="1"/>
    <col min="9734" max="9734" width="3.5" style="3069" customWidth="1"/>
    <col min="9735" max="9735" width="19.375" style="3069" customWidth="1"/>
    <col min="9736" max="9736" width="19.5" style="3069" customWidth="1"/>
    <col min="9737" max="9737" width="8.625" style="3069" customWidth="1"/>
    <col min="9738" max="9738" width="10.5" style="3069" customWidth="1"/>
    <col min="9739" max="9739" width="4.875" style="3069" customWidth="1"/>
    <col min="9740" max="9740" width="16.375" style="3069" customWidth="1"/>
    <col min="9741" max="9744" width="8.125" style="3069" customWidth="1"/>
    <col min="9745" max="9984" width="9" style="3069"/>
    <col min="9985" max="9985" width="6.375" style="3069" customWidth="1"/>
    <col min="9986" max="9986" width="19.375" style="3069" customWidth="1"/>
    <col min="9987" max="9987" width="7" style="3069" customWidth="1"/>
    <col min="9988" max="9988" width="3.25" style="3069" customWidth="1"/>
    <col min="9989" max="9989" width="7.375" style="3069" customWidth="1"/>
    <col min="9990" max="9990" width="3.5" style="3069" customWidth="1"/>
    <col min="9991" max="9991" width="19.375" style="3069" customWidth="1"/>
    <col min="9992" max="9992" width="19.5" style="3069" customWidth="1"/>
    <col min="9993" max="9993" width="8.625" style="3069" customWidth="1"/>
    <col min="9994" max="9994" width="10.5" style="3069" customWidth="1"/>
    <col min="9995" max="9995" width="4.875" style="3069" customWidth="1"/>
    <col min="9996" max="9996" width="16.375" style="3069" customWidth="1"/>
    <col min="9997" max="10000" width="8.125" style="3069" customWidth="1"/>
    <col min="10001" max="10240" width="9" style="3069"/>
    <col min="10241" max="10241" width="6.375" style="3069" customWidth="1"/>
    <col min="10242" max="10242" width="19.375" style="3069" customWidth="1"/>
    <col min="10243" max="10243" width="7" style="3069" customWidth="1"/>
    <col min="10244" max="10244" width="3.25" style="3069" customWidth="1"/>
    <col min="10245" max="10245" width="7.375" style="3069" customWidth="1"/>
    <col min="10246" max="10246" width="3.5" style="3069" customWidth="1"/>
    <col min="10247" max="10247" width="19.375" style="3069" customWidth="1"/>
    <col min="10248" max="10248" width="19.5" style="3069" customWidth="1"/>
    <col min="10249" max="10249" width="8.625" style="3069" customWidth="1"/>
    <col min="10250" max="10250" width="10.5" style="3069" customWidth="1"/>
    <col min="10251" max="10251" width="4.875" style="3069" customWidth="1"/>
    <col min="10252" max="10252" width="16.375" style="3069" customWidth="1"/>
    <col min="10253" max="10256" width="8.125" style="3069" customWidth="1"/>
    <col min="10257" max="10496" width="9" style="3069"/>
    <col min="10497" max="10497" width="6.375" style="3069" customWidth="1"/>
    <col min="10498" max="10498" width="19.375" style="3069" customWidth="1"/>
    <col min="10499" max="10499" width="7" style="3069" customWidth="1"/>
    <col min="10500" max="10500" width="3.25" style="3069" customWidth="1"/>
    <col min="10501" max="10501" width="7.375" style="3069" customWidth="1"/>
    <col min="10502" max="10502" width="3.5" style="3069" customWidth="1"/>
    <col min="10503" max="10503" width="19.375" style="3069" customWidth="1"/>
    <col min="10504" max="10504" width="19.5" style="3069" customWidth="1"/>
    <col min="10505" max="10505" width="8.625" style="3069" customWidth="1"/>
    <col min="10506" max="10506" width="10.5" style="3069" customWidth="1"/>
    <col min="10507" max="10507" width="4.875" style="3069" customWidth="1"/>
    <col min="10508" max="10508" width="16.375" style="3069" customWidth="1"/>
    <col min="10509" max="10512" width="8.125" style="3069" customWidth="1"/>
    <col min="10513" max="10752" width="9" style="3069"/>
    <col min="10753" max="10753" width="6.375" style="3069" customWidth="1"/>
    <col min="10754" max="10754" width="19.375" style="3069" customWidth="1"/>
    <col min="10755" max="10755" width="7" style="3069" customWidth="1"/>
    <col min="10756" max="10756" width="3.25" style="3069" customWidth="1"/>
    <col min="10757" max="10757" width="7.375" style="3069" customWidth="1"/>
    <col min="10758" max="10758" width="3.5" style="3069" customWidth="1"/>
    <col min="10759" max="10759" width="19.375" style="3069" customWidth="1"/>
    <col min="10760" max="10760" width="19.5" style="3069" customWidth="1"/>
    <col min="10761" max="10761" width="8.625" style="3069" customWidth="1"/>
    <col min="10762" max="10762" width="10.5" style="3069" customWidth="1"/>
    <col min="10763" max="10763" width="4.875" style="3069" customWidth="1"/>
    <col min="10764" max="10764" width="16.375" style="3069" customWidth="1"/>
    <col min="10765" max="10768" width="8.125" style="3069" customWidth="1"/>
    <col min="10769" max="11008" width="9" style="3069"/>
    <col min="11009" max="11009" width="6.375" style="3069" customWidth="1"/>
    <col min="11010" max="11010" width="19.375" style="3069" customWidth="1"/>
    <col min="11011" max="11011" width="7" style="3069" customWidth="1"/>
    <col min="11012" max="11012" width="3.25" style="3069" customWidth="1"/>
    <col min="11013" max="11013" width="7.375" style="3069" customWidth="1"/>
    <col min="11014" max="11014" width="3.5" style="3069" customWidth="1"/>
    <col min="11015" max="11015" width="19.375" style="3069" customWidth="1"/>
    <col min="11016" max="11016" width="19.5" style="3069" customWidth="1"/>
    <col min="11017" max="11017" width="8.625" style="3069" customWidth="1"/>
    <col min="11018" max="11018" width="10.5" style="3069" customWidth="1"/>
    <col min="11019" max="11019" width="4.875" style="3069" customWidth="1"/>
    <col min="11020" max="11020" width="16.375" style="3069" customWidth="1"/>
    <col min="11021" max="11024" width="8.125" style="3069" customWidth="1"/>
    <col min="11025" max="11264" width="9" style="3069"/>
    <col min="11265" max="11265" width="6.375" style="3069" customWidth="1"/>
    <col min="11266" max="11266" width="19.375" style="3069" customWidth="1"/>
    <col min="11267" max="11267" width="7" style="3069" customWidth="1"/>
    <col min="11268" max="11268" width="3.25" style="3069" customWidth="1"/>
    <col min="11269" max="11269" width="7.375" style="3069" customWidth="1"/>
    <col min="11270" max="11270" width="3.5" style="3069" customWidth="1"/>
    <col min="11271" max="11271" width="19.375" style="3069" customWidth="1"/>
    <col min="11272" max="11272" width="19.5" style="3069" customWidth="1"/>
    <col min="11273" max="11273" width="8.625" style="3069" customWidth="1"/>
    <col min="11274" max="11274" width="10.5" style="3069" customWidth="1"/>
    <col min="11275" max="11275" width="4.875" style="3069" customWidth="1"/>
    <col min="11276" max="11276" width="16.375" style="3069" customWidth="1"/>
    <col min="11277" max="11280" width="8.125" style="3069" customWidth="1"/>
    <col min="11281" max="11520" width="9" style="3069"/>
    <col min="11521" max="11521" width="6.375" style="3069" customWidth="1"/>
    <col min="11522" max="11522" width="19.375" style="3069" customWidth="1"/>
    <col min="11523" max="11523" width="7" style="3069" customWidth="1"/>
    <col min="11524" max="11524" width="3.25" style="3069" customWidth="1"/>
    <col min="11525" max="11525" width="7.375" style="3069" customWidth="1"/>
    <col min="11526" max="11526" width="3.5" style="3069" customWidth="1"/>
    <col min="11527" max="11527" width="19.375" style="3069" customWidth="1"/>
    <col min="11528" max="11528" width="19.5" style="3069" customWidth="1"/>
    <col min="11529" max="11529" width="8.625" style="3069" customWidth="1"/>
    <col min="11530" max="11530" width="10.5" style="3069" customWidth="1"/>
    <col min="11531" max="11531" width="4.875" style="3069" customWidth="1"/>
    <col min="11532" max="11532" width="16.375" style="3069" customWidth="1"/>
    <col min="11533" max="11536" width="8.125" style="3069" customWidth="1"/>
    <col min="11537" max="11776" width="9" style="3069"/>
    <col min="11777" max="11777" width="6.375" style="3069" customWidth="1"/>
    <col min="11778" max="11778" width="19.375" style="3069" customWidth="1"/>
    <col min="11779" max="11779" width="7" style="3069" customWidth="1"/>
    <col min="11780" max="11780" width="3.25" style="3069" customWidth="1"/>
    <col min="11781" max="11781" width="7.375" style="3069" customWidth="1"/>
    <col min="11782" max="11782" width="3.5" style="3069" customWidth="1"/>
    <col min="11783" max="11783" width="19.375" style="3069" customWidth="1"/>
    <col min="11784" max="11784" width="19.5" style="3069" customWidth="1"/>
    <col min="11785" max="11785" width="8.625" style="3069" customWidth="1"/>
    <col min="11786" max="11786" width="10.5" style="3069" customWidth="1"/>
    <col min="11787" max="11787" width="4.875" style="3069" customWidth="1"/>
    <col min="11788" max="11788" width="16.375" style="3069" customWidth="1"/>
    <col min="11789" max="11792" width="8.125" style="3069" customWidth="1"/>
    <col min="11793" max="12032" width="9" style="3069"/>
    <col min="12033" max="12033" width="6.375" style="3069" customWidth="1"/>
    <col min="12034" max="12034" width="19.375" style="3069" customWidth="1"/>
    <col min="12035" max="12035" width="7" style="3069" customWidth="1"/>
    <col min="12036" max="12036" width="3.25" style="3069" customWidth="1"/>
    <col min="12037" max="12037" width="7.375" style="3069" customWidth="1"/>
    <col min="12038" max="12038" width="3.5" style="3069" customWidth="1"/>
    <col min="12039" max="12039" width="19.375" style="3069" customWidth="1"/>
    <col min="12040" max="12040" width="19.5" style="3069" customWidth="1"/>
    <col min="12041" max="12041" width="8.625" style="3069" customWidth="1"/>
    <col min="12042" max="12042" width="10.5" style="3069" customWidth="1"/>
    <col min="12043" max="12043" width="4.875" style="3069" customWidth="1"/>
    <col min="12044" max="12044" width="16.375" style="3069" customWidth="1"/>
    <col min="12045" max="12048" width="8.125" style="3069" customWidth="1"/>
    <col min="12049" max="12288" width="9" style="3069"/>
    <col min="12289" max="12289" width="6.375" style="3069" customWidth="1"/>
    <col min="12290" max="12290" width="19.375" style="3069" customWidth="1"/>
    <col min="12291" max="12291" width="7" style="3069" customWidth="1"/>
    <col min="12292" max="12292" width="3.25" style="3069" customWidth="1"/>
    <col min="12293" max="12293" width="7.375" style="3069" customWidth="1"/>
    <col min="12294" max="12294" width="3.5" style="3069" customWidth="1"/>
    <col min="12295" max="12295" width="19.375" style="3069" customWidth="1"/>
    <col min="12296" max="12296" width="19.5" style="3069" customWidth="1"/>
    <col min="12297" max="12297" width="8.625" style="3069" customWidth="1"/>
    <col min="12298" max="12298" width="10.5" style="3069" customWidth="1"/>
    <col min="12299" max="12299" width="4.875" style="3069" customWidth="1"/>
    <col min="12300" max="12300" width="16.375" style="3069" customWidth="1"/>
    <col min="12301" max="12304" width="8.125" style="3069" customWidth="1"/>
    <col min="12305" max="12544" width="9" style="3069"/>
    <col min="12545" max="12545" width="6.375" style="3069" customWidth="1"/>
    <col min="12546" max="12546" width="19.375" style="3069" customWidth="1"/>
    <col min="12547" max="12547" width="7" style="3069" customWidth="1"/>
    <col min="12548" max="12548" width="3.25" style="3069" customWidth="1"/>
    <col min="12549" max="12549" width="7.375" style="3069" customWidth="1"/>
    <col min="12550" max="12550" width="3.5" style="3069" customWidth="1"/>
    <col min="12551" max="12551" width="19.375" style="3069" customWidth="1"/>
    <col min="12552" max="12552" width="19.5" style="3069" customWidth="1"/>
    <col min="12553" max="12553" width="8.625" style="3069" customWidth="1"/>
    <col min="12554" max="12554" width="10.5" style="3069" customWidth="1"/>
    <col min="12555" max="12555" width="4.875" style="3069" customWidth="1"/>
    <col min="12556" max="12556" width="16.375" style="3069" customWidth="1"/>
    <col min="12557" max="12560" width="8.125" style="3069" customWidth="1"/>
    <col min="12561" max="12800" width="9" style="3069"/>
    <col min="12801" max="12801" width="6.375" style="3069" customWidth="1"/>
    <col min="12802" max="12802" width="19.375" style="3069" customWidth="1"/>
    <col min="12803" max="12803" width="7" style="3069" customWidth="1"/>
    <col min="12804" max="12804" width="3.25" style="3069" customWidth="1"/>
    <col min="12805" max="12805" width="7.375" style="3069" customWidth="1"/>
    <col min="12806" max="12806" width="3.5" style="3069" customWidth="1"/>
    <col min="12807" max="12807" width="19.375" style="3069" customWidth="1"/>
    <col min="12808" max="12808" width="19.5" style="3069" customWidth="1"/>
    <col min="12809" max="12809" width="8.625" style="3069" customWidth="1"/>
    <col min="12810" max="12810" width="10.5" style="3069" customWidth="1"/>
    <col min="12811" max="12811" width="4.875" style="3069" customWidth="1"/>
    <col min="12812" max="12812" width="16.375" style="3069" customWidth="1"/>
    <col min="12813" max="12816" width="8.125" style="3069" customWidth="1"/>
    <col min="12817" max="13056" width="9" style="3069"/>
    <col min="13057" max="13057" width="6.375" style="3069" customWidth="1"/>
    <col min="13058" max="13058" width="19.375" style="3069" customWidth="1"/>
    <col min="13059" max="13059" width="7" style="3069" customWidth="1"/>
    <col min="13060" max="13060" width="3.25" style="3069" customWidth="1"/>
    <col min="13061" max="13061" width="7.375" style="3069" customWidth="1"/>
    <col min="13062" max="13062" width="3.5" style="3069" customWidth="1"/>
    <col min="13063" max="13063" width="19.375" style="3069" customWidth="1"/>
    <col min="13064" max="13064" width="19.5" style="3069" customWidth="1"/>
    <col min="13065" max="13065" width="8.625" style="3069" customWidth="1"/>
    <col min="13066" max="13066" width="10.5" style="3069" customWidth="1"/>
    <col min="13067" max="13067" width="4.875" style="3069" customWidth="1"/>
    <col min="13068" max="13068" width="16.375" style="3069" customWidth="1"/>
    <col min="13069" max="13072" width="8.125" style="3069" customWidth="1"/>
    <col min="13073" max="13312" width="9" style="3069"/>
    <col min="13313" max="13313" width="6.375" style="3069" customWidth="1"/>
    <col min="13314" max="13314" width="19.375" style="3069" customWidth="1"/>
    <col min="13315" max="13315" width="7" style="3069" customWidth="1"/>
    <col min="13316" max="13316" width="3.25" style="3069" customWidth="1"/>
    <col min="13317" max="13317" width="7.375" style="3069" customWidth="1"/>
    <col min="13318" max="13318" width="3.5" style="3069" customWidth="1"/>
    <col min="13319" max="13319" width="19.375" style="3069" customWidth="1"/>
    <col min="13320" max="13320" width="19.5" style="3069" customWidth="1"/>
    <col min="13321" max="13321" width="8.625" style="3069" customWidth="1"/>
    <col min="13322" max="13322" width="10.5" style="3069" customWidth="1"/>
    <col min="13323" max="13323" width="4.875" style="3069" customWidth="1"/>
    <col min="13324" max="13324" width="16.375" style="3069" customWidth="1"/>
    <col min="13325" max="13328" width="8.125" style="3069" customWidth="1"/>
    <col min="13329" max="13568" width="9" style="3069"/>
    <col min="13569" max="13569" width="6.375" style="3069" customWidth="1"/>
    <col min="13570" max="13570" width="19.375" style="3069" customWidth="1"/>
    <col min="13571" max="13571" width="7" style="3069" customWidth="1"/>
    <col min="13572" max="13572" width="3.25" style="3069" customWidth="1"/>
    <col min="13573" max="13573" width="7.375" style="3069" customWidth="1"/>
    <col min="13574" max="13574" width="3.5" style="3069" customWidth="1"/>
    <col min="13575" max="13575" width="19.375" style="3069" customWidth="1"/>
    <col min="13576" max="13576" width="19.5" style="3069" customWidth="1"/>
    <col min="13577" max="13577" width="8.625" style="3069" customWidth="1"/>
    <col min="13578" max="13578" width="10.5" style="3069" customWidth="1"/>
    <col min="13579" max="13579" width="4.875" style="3069" customWidth="1"/>
    <col min="13580" max="13580" width="16.375" style="3069" customWidth="1"/>
    <col min="13581" max="13584" width="8.125" style="3069" customWidth="1"/>
    <col min="13585" max="13824" width="9" style="3069"/>
    <col min="13825" max="13825" width="6.375" style="3069" customWidth="1"/>
    <col min="13826" max="13826" width="19.375" style="3069" customWidth="1"/>
    <col min="13827" max="13827" width="7" style="3069" customWidth="1"/>
    <col min="13828" max="13828" width="3.25" style="3069" customWidth="1"/>
    <col min="13829" max="13829" width="7.375" style="3069" customWidth="1"/>
    <col min="13830" max="13830" width="3.5" style="3069" customWidth="1"/>
    <col min="13831" max="13831" width="19.375" style="3069" customWidth="1"/>
    <col min="13832" max="13832" width="19.5" style="3069" customWidth="1"/>
    <col min="13833" max="13833" width="8.625" style="3069" customWidth="1"/>
    <col min="13834" max="13834" width="10.5" style="3069" customWidth="1"/>
    <col min="13835" max="13835" width="4.875" style="3069" customWidth="1"/>
    <col min="13836" max="13836" width="16.375" style="3069" customWidth="1"/>
    <col min="13837" max="13840" width="8.125" style="3069" customWidth="1"/>
    <col min="13841" max="14080" width="9" style="3069"/>
    <col min="14081" max="14081" width="6.375" style="3069" customWidth="1"/>
    <col min="14082" max="14082" width="19.375" style="3069" customWidth="1"/>
    <col min="14083" max="14083" width="7" style="3069" customWidth="1"/>
    <col min="14084" max="14084" width="3.25" style="3069" customWidth="1"/>
    <col min="14085" max="14085" width="7.375" style="3069" customWidth="1"/>
    <col min="14086" max="14086" width="3.5" style="3069" customWidth="1"/>
    <col min="14087" max="14087" width="19.375" style="3069" customWidth="1"/>
    <col min="14088" max="14088" width="19.5" style="3069" customWidth="1"/>
    <col min="14089" max="14089" width="8.625" style="3069" customWidth="1"/>
    <col min="14090" max="14090" width="10.5" style="3069" customWidth="1"/>
    <col min="14091" max="14091" width="4.875" style="3069" customWidth="1"/>
    <col min="14092" max="14092" width="16.375" style="3069" customWidth="1"/>
    <col min="14093" max="14096" width="8.125" style="3069" customWidth="1"/>
    <col min="14097" max="14336" width="9" style="3069"/>
    <col min="14337" max="14337" width="6.375" style="3069" customWidth="1"/>
    <col min="14338" max="14338" width="19.375" style="3069" customWidth="1"/>
    <col min="14339" max="14339" width="7" style="3069" customWidth="1"/>
    <col min="14340" max="14340" width="3.25" style="3069" customWidth="1"/>
    <col min="14341" max="14341" width="7.375" style="3069" customWidth="1"/>
    <col min="14342" max="14342" width="3.5" style="3069" customWidth="1"/>
    <col min="14343" max="14343" width="19.375" style="3069" customWidth="1"/>
    <col min="14344" max="14344" width="19.5" style="3069" customWidth="1"/>
    <col min="14345" max="14345" width="8.625" style="3069" customWidth="1"/>
    <col min="14346" max="14346" width="10.5" style="3069" customWidth="1"/>
    <col min="14347" max="14347" width="4.875" style="3069" customWidth="1"/>
    <col min="14348" max="14348" width="16.375" style="3069" customWidth="1"/>
    <col min="14349" max="14352" width="8.125" style="3069" customWidth="1"/>
    <col min="14353" max="14592" width="9" style="3069"/>
    <col min="14593" max="14593" width="6.375" style="3069" customWidth="1"/>
    <col min="14594" max="14594" width="19.375" style="3069" customWidth="1"/>
    <col min="14595" max="14595" width="7" style="3069" customWidth="1"/>
    <col min="14596" max="14596" width="3.25" style="3069" customWidth="1"/>
    <col min="14597" max="14597" width="7.375" style="3069" customWidth="1"/>
    <col min="14598" max="14598" width="3.5" style="3069" customWidth="1"/>
    <col min="14599" max="14599" width="19.375" style="3069" customWidth="1"/>
    <col min="14600" max="14600" width="19.5" style="3069" customWidth="1"/>
    <col min="14601" max="14601" width="8.625" style="3069" customWidth="1"/>
    <col min="14602" max="14602" width="10.5" style="3069" customWidth="1"/>
    <col min="14603" max="14603" width="4.875" style="3069" customWidth="1"/>
    <col min="14604" max="14604" width="16.375" style="3069" customWidth="1"/>
    <col min="14605" max="14608" width="8.125" style="3069" customWidth="1"/>
    <col min="14609" max="14848" width="9" style="3069"/>
    <col min="14849" max="14849" width="6.375" style="3069" customWidth="1"/>
    <col min="14850" max="14850" width="19.375" style="3069" customWidth="1"/>
    <col min="14851" max="14851" width="7" style="3069" customWidth="1"/>
    <col min="14852" max="14852" width="3.25" style="3069" customWidth="1"/>
    <col min="14853" max="14853" width="7.375" style="3069" customWidth="1"/>
    <col min="14854" max="14854" width="3.5" style="3069" customWidth="1"/>
    <col min="14855" max="14855" width="19.375" style="3069" customWidth="1"/>
    <col min="14856" max="14856" width="19.5" style="3069" customWidth="1"/>
    <col min="14857" max="14857" width="8.625" style="3069" customWidth="1"/>
    <col min="14858" max="14858" width="10.5" style="3069" customWidth="1"/>
    <col min="14859" max="14859" width="4.875" style="3069" customWidth="1"/>
    <col min="14860" max="14860" width="16.375" style="3069" customWidth="1"/>
    <col min="14861" max="14864" width="8.125" style="3069" customWidth="1"/>
    <col min="14865" max="15104" width="9" style="3069"/>
    <col min="15105" max="15105" width="6.375" style="3069" customWidth="1"/>
    <col min="15106" max="15106" width="19.375" style="3069" customWidth="1"/>
    <col min="15107" max="15107" width="7" style="3069" customWidth="1"/>
    <col min="15108" max="15108" width="3.25" style="3069" customWidth="1"/>
    <col min="15109" max="15109" width="7.375" style="3069" customWidth="1"/>
    <col min="15110" max="15110" width="3.5" style="3069" customWidth="1"/>
    <col min="15111" max="15111" width="19.375" style="3069" customWidth="1"/>
    <col min="15112" max="15112" width="19.5" style="3069" customWidth="1"/>
    <col min="15113" max="15113" width="8.625" style="3069" customWidth="1"/>
    <col min="15114" max="15114" width="10.5" style="3069" customWidth="1"/>
    <col min="15115" max="15115" width="4.875" style="3069" customWidth="1"/>
    <col min="15116" max="15116" width="16.375" style="3069" customWidth="1"/>
    <col min="15117" max="15120" width="8.125" style="3069" customWidth="1"/>
    <col min="15121" max="15360" width="9" style="3069"/>
    <col min="15361" max="15361" width="6.375" style="3069" customWidth="1"/>
    <col min="15362" max="15362" width="19.375" style="3069" customWidth="1"/>
    <col min="15363" max="15363" width="7" style="3069" customWidth="1"/>
    <col min="15364" max="15364" width="3.25" style="3069" customWidth="1"/>
    <col min="15365" max="15365" width="7.375" style="3069" customWidth="1"/>
    <col min="15366" max="15366" width="3.5" style="3069" customWidth="1"/>
    <col min="15367" max="15367" width="19.375" style="3069" customWidth="1"/>
    <col min="15368" max="15368" width="19.5" style="3069" customWidth="1"/>
    <col min="15369" max="15369" width="8.625" style="3069" customWidth="1"/>
    <col min="15370" max="15370" width="10.5" style="3069" customWidth="1"/>
    <col min="15371" max="15371" width="4.875" style="3069" customWidth="1"/>
    <col min="15372" max="15372" width="16.375" style="3069" customWidth="1"/>
    <col min="15373" max="15376" width="8.125" style="3069" customWidth="1"/>
    <col min="15377" max="15616" width="9" style="3069"/>
    <col min="15617" max="15617" width="6.375" style="3069" customWidth="1"/>
    <col min="15618" max="15618" width="19.375" style="3069" customWidth="1"/>
    <col min="15619" max="15619" width="7" style="3069" customWidth="1"/>
    <col min="15620" max="15620" width="3.25" style="3069" customWidth="1"/>
    <col min="15621" max="15621" width="7.375" style="3069" customWidth="1"/>
    <col min="15622" max="15622" width="3.5" style="3069" customWidth="1"/>
    <col min="15623" max="15623" width="19.375" style="3069" customWidth="1"/>
    <col min="15624" max="15624" width="19.5" style="3069" customWidth="1"/>
    <col min="15625" max="15625" width="8.625" style="3069" customWidth="1"/>
    <col min="15626" max="15626" width="10.5" style="3069" customWidth="1"/>
    <col min="15627" max="15627" width="4.875" style="3069" customWidth="1"/>
    <col min="15628" max="15628" width="16.375" style="3069" customWidth="1"/>
    <col min="15629" max="15632" width="8.125" style="3069" customWidth="1"/>
    <col min="15633" max="15872" width="9" style="3069"/>
    <col min="15873" max="15873" width="6.375" style="3069" customWidth="1"/>
    <col min="15874" max="15874" width="19.375" style="3069" customWidth="1"/>
    <col min="15875" max="15875" width="7" style="3069" customWidth="1"/>
    <col min="15876" max="15876" width="3.25" style="3069" customWidth="1"/>
    <col min="15877" max="15877" width="7.375" style="3069" customWidth="1"/>
    <col min="15878" max="15878" width="3.5" style="3069" customWidth="1"/>
    <col min="15879" max="15879" width="19.375" style="3069" customWidth="1"/>
    <col min="15880" max="15880" width="19.5" style="3069" customWidth="1"/>
    <col min="15881" max="15881" width="8.625" style="3069" customWidth="1"/>
    <col min="15882" max="15882" width="10.5" style="3069" customWidth="1"/>
    <col min="15883" max="15883" width="4.875" style="3069" customWidth="1"/>
    <col min="15884" max="15884" width="16.375" style="3069" customWidth="1"/>
    <col min="15885" max="15888" width="8.125" style="3069" customWidth="1"/>
    <col min="15889" max="16128" width="9" style="3069"/>
    <col min="16129" max="16129" width="6.375" style="3069" customWidth="1"/>
    <col min="16130" max="16130" width="19.375" style="3069" customWidth="1"/>
    <col min="16131" max="16131" width="7" style="3069" customWidth="1"/>
    <col min="16132" max="16132" width="3.25" style="3069" customWidth="1"/>
    <col min="16133" max="16133" width="7.375" style="3069" customWidth="1"/>
    <col min="16134" max="16134" width="3.5" style="3069" customWidth="1"/>
    <col min="16135" max="16135" width="19.375" style="3069" customWidth="1"/>
    <col min="16136" max="16136" width="19.5" style="3069" customWidth="1"/>
    <col min="16137" max="16137" width="8.625" style="3069" customWidth="1"/>
    <col min="16138" max="16138" width="10.5" style="3069" customWidth="1"/>
    <col min="16139" max="16139" width="4.875" style="3069" customWidth="1"/>
    <col min="16140" max="16140" width="16.375" style="3069" customWidth="1"/>
    <col min="16141" max="16144" width="8.125" style="3069" customWidth="1"/>
    <col min="16145" max="16384" width="9" style="3069"/>
  </cols>
  <sheetData>
    <row r="1" spans="1:16">
      <c r="A1" s="3384" t="s">
        <v>3144</v>
      </c>
      <c r="B1" s="3384"/>
      <c r="C1" s="3384"/>
      <c r="D1" s="3384"/>
      <c r="E1" s="3384"/>
      <c r="F1" s="3384"/>
      <c r="G1" s="3384"/>
      <c r="H1" s="3384"/>
      <c r="I1" s="3384"/>
      <c r="K1" s="3385" t="s">
        <v>3145</v>
      </c>
      <c r="L1" s="3066" t="s">
        <v>3146</v>
      </c>
      <c r="M1" s="3067">
        <v>0</v>
      </c>
      <c r="N1" s="3068"/>
      <c r="O1" s="3068"/>
    </row>
    <row r="2" spans="1:16" ht="15.75" customHeight="1">
      <c r="A2" s="3070" t="s">
        <v>608</v>
      </c>
      <c r="B2" s="3071" t="s">
        <v>3147</v>
      </c>
      <c r="C2" s="3386" t="s">
        <v>3148</v>
      </c>
      <c r="D2" s="3387"/>
      <c r="E2" s="3387"/>
      <c r="F2" s="3388"/>
      <c r="G2" s="3072" t="s">
        <v>3149</v>
      </c>
      <c r="H2" s="3389" t="s">
        <v>1048</v>
      </c>
      <c r="I2" s="3389"/>
      <c r="K2" s="3385"/>
      <c r="L2" s="3066" t="s">
        <v>3150</v>
      </c>
      <c r="M2" s="3073" t="s">
        <v>3151</v>
      </c>
      <c r="N2" s="3074"/>
      <c r="O2" s="3074"/>
    </row>
    <row r="3" spans="1:16">
      <c r="A3" s="3075" t="s">
        <v>3152</v>
      </c>
      <c r="B3" s="3076" t="s">
        <v>3153</v>
      </c>
      <c r="C3" s="3386">
        <f ca="1">'成本法（仓储）'!B2*10000</f>
        <v>0</v>
      </c>
      <c r="D3" s="3387"/>
      <c r="E3" s="3387"/>
      <c r="F3" s="3388"/>
      <c r="G3" s="3075" t="s">
        <v>3154</v>
      </c>
      <c r="H3" s="3077" t="s">
        <v>3155</v>
      </c>
      <c r="I3" s="3078">
        <f ca="1">'成本法（仓储）'!B2</f>
        <v>0</v>
      </c>
      <c r="K3" s="3385"/>
      <c r="L3" s="3066" t="s">
        <v>3156</v>
      </c>
      <c r="M3" s="3073" t="s">
        <v>3157</v>
      </c>
      <c r="N3" s="3074"/>
      <c r="O3" s="3079"/>
    </row>
    <row r="4" spans="1:16">
      <c r="A4" s="3390" t="s">
        <v>3158</v>
      </c>
      <c r="B4" s="3391" t="s">
        <v>3159</v>
      </c>
      <c r="C4" s="3392">
        <f ca="1">ROUND(C3*(I4-I6)/(1-((1+I6)/(1+I4))^I5),0)</f>
        <v>0</v>
      </c>
      <c r="D4" s="3393"/>
      <c r="E4" s="3393"/>
      <c r="F4" s="3394"/>
      <c r="G4" s="3390" t="s">
        <v>3160</v>
      </c>
      <c r="H4" s="3080" t="s">
        <v>3161</v>
      </c>
      <c r="I4" s="3081">
        <f>'数据-取费表'!I6</f>
        <v>0.05</v>
      </c>
      <c r="K4" s="3385"/>
      <c r="L4" s="3066" t="s">
        <v>3162</v>
      </c>
      <c r="M4" s="3082">
        <f>ROUND(1-(1-M1)*M2/M3,2)</f>
        <v>0.55000000000000004</v>
      </c>
      <c r="N4" s="3074"/>
      <c r="O4" s="3074"/>
    </row>
    <row r="5" spans="1:16" s="3086" customFormat="1" ht="18" customHeight="1">
      <c r="A5" s="3390"/>
      <c r="B5" s="3391"/>
      <c r="C5" s="3395"/>
      <c r="D5" s="3396"/>
      <c r="E5" s="3396"/>
      <c r="F5" s="3397"/>
      <c r="G5" s="3390"/>
      <c r="H5" s="3076" t="s">
        <v>3163</v>
      </c>
      <c r="I5" s="3083">
        <f>'数据-取费表'!D7</f>
        <v>50</v>
      </c>
      <c r="J5" s="3084"/>
      <c r="K5" s="3385"/>
      <c r="L5" s="3066" t="s">
        <v>3164</v>
      </c>
      <c r="M5" s="3085">
        <v>0.5</v>
      </c>
      <c r="N5" s="3074"/>
      <c r="O5" s="3074"/>
    </row>
    <row r="6" spans="1:16" s="3086" customFormat="1" ht="18" customHeight="1">
      <c r="A6" s="3390"/>
      <c r="B6" s="3391"/>
      <c r="C6" s="3398"/>
      <c r="D6" s="3399"/>
      <c r="E6" s="3399"/>
      <c r="F6" s="3400"/>
      <c r="G6" s="3390"/>
      <c r="H6" s="3076" t="s">
        <v>3165</v>
      </c>
      <c r="I6" s="3081">
        <f>'数据-取费表'!V6</f>
        <v>0.03</v>
      </c>
      <c r="J6" s="3087"/>
      <c r="K6" s="3401" t="s">
        <v>3166</v>
      </c>
      <c r="L6" s="3088" t="s">
        <v>3167</v>
      </c>
      <c r="M6" s="3089" t="s">
        <v>3168</v>
      </c>
      <c r="N6" s="3089" t="s">
        <v>3169</v>
      </c>
      <c r="O6" s="3089" t="s">
        <v>3170</v>
      </c>
      <c r="P6" s="3089" t="s">
        <v>3171</v>
      </c>
    </row>
    <row r="7" spans="1:16" s="3086" customFormat="1" ht="18" customHeight="1">
      <c r="A7" s="3075" t="s">
        <v>3172</v>
      </c>
      <c r="B7" s="3076" t="s">
        <v>3173</v>
      </c>
      <c r="C7" s="3386">
        <f ca="1">ROUND(C23*I7,0)</f>
        <v>0</v>
      </c>
      <c r="D7" s="3387"/>
      <c r="E7" s="3387"/>
      <c r="F7" s="3388"/>
      <c r="G7" s="3072" t="s">
        <v>3174</v>
      </c>
      <c r="H7" s="3076" t="s">
        <v>3175</v>
      </c>
      <c r="I7" s="3090">
        <f>'数据-取费表'!Y6</f>
        <v>0.95</v>
      </c>
      <c r="K7" s="3401"/>
      <c r="L7" s="3088" t="s">
        <v>3176</v>
      </c>
      <c r="M7" s="3089">
        <v>100</v>
      </c>
      <c r="N7" s="3089" t="s">
        <v>3177</v>
      </c>
      <c r="O7" s="3089">
        <v>80</v>
      </c>
      <c r="P7" s="3091">
        <v>0.3</v>
      </c>
    </row>
    <row r="8" spans="1:16" s="3086" customFormat="1" ht="18" customHeight="1">
      <c r="A8" s="3070" t="s">
        <v>3178</v>
      </c>
      <c r="B8" s="3076" t="s">
        <v>3179</v>
      </c>
      <c r="C8" s="3386">
        <f ca="1">ROUND(I8*I3,0)</f>
        <v>0</v>
      </c>
      <c r="D8" s="3387"/>
      <c r="E8" s="3387"/>
      <c r="F8" s="3388"/>
      <c r="G8" s="3072" t="s">
        <v>3180</v>
      </c>
      <c r="H8" s="3076" t="s">
        <v>3181</v>
      </c>
      <c r="I8" s="3072">
        <f>'数据-取费表'!L6</f>
        <v>3500</v>
      </c>
      <c r="J8" s="3092">
        <f>D35</f>
        <v>36.6</v>
      </c>
      <c r="K8" s="3401"/>
      <c r="L8" s="3088" t="s">
        <v>3182</v>
      </c>
      <c r="M8" s="3089">
        <v>100</v>
      </c>
      <c r="N8" s="3089" t="s">
        <v>3177</v>
      </c>
      <c r="O8" s="3089">
        <v>80</v>
      </c>
      <c r="P8" s="3091">
        <v>0.5</v>
      </c>
    </row>
    <row r="9" spans="1:16" s="3086" customFormat="1" ht="18" customHeight="1">
      <c r="A9" s="3070" t="s">
        <v>3183</v>
      </c>
      <c r="B9" s="3076" t="s">
        <v>3184</v>
      </c>
      <c r="C9" s="3386">
        <f ca="1">ROUND(C8*H9,0)</f>
        <v>0</v>
      </c>
      <c r="D9" s="3387"/>
      <c r="E9" s="3387"/>
      <c r="F9" s="3388"/>
      <c r="G9" s="3072" t="s">
        <v>3185</v>
      </c>
      <c r="H9" s="3402">
        <f>'数据-取费表'!B33</f>
        <v>0.05</v>
      </c>
      <c r="I9" s="3402"/>
      <c r="J9" s="3092" t="e">
        <f ca="1">D36</f>
        <v>#DIV/0!</v>
      </c>
      <c r="K9" s="3401"/>
      <c r="L9" s="3088" t="s">
        <v>3186</v>
      </c>
      <c r="M9" s="3089">
        <v>100</v>
      </c>
      <c r="N9" s="3089" t="s">
        <v>3177</v>
      </c>
      <c r="O9" s="3089">
        <v>80</v>
      </c>
      <c r="P9" s="3091">
        <f>1-P7-P8</f>
        <v>0.19999999999999996</v>
      </c>
    </row>
    <row r="10" spans="1:16" s="3086" customFormat="1" ht="18" customHeight="1">
      <c r="A10" s="3070" t="s">
        <v>3187</v>
      </c>
      <c r="B10" s="3076" t="s">
        <v>3188</v>
      </c>
      <c r="C10" s="3386">
        <f ca="1">ROUND(C8*H10,0)</f>
        <v>0</v>
      </c>
      <c r="D10" s="3387"/>
      <c r="E10" s="3387"/>
      <c r="F10" s="3388"/>
      <c r="G10" s="3072" t="s">
        <v>3185</v>
      </c>
      <c r="H10" s="3402">
        <f>'数据-取费表'!B34</f>
        <v>0.05</v>
      </c>
      <c r="I10" s="3402"/>
      <c r="J10" s="3092" t="e">
        <f ca="1">D37</f>
        <v>#DIV/0!</v>
      </c>
      <c r="K10" s="3401"/>
      <c r="L10" s="3093" t="s">
        <v>3164</v>
      </c>
      <c r="M10" s="3094">
        <f>1-M5</f>
        <v>0.5</v>
      </c>
      <c r="N10" s="3089" t="s">
        <v>3162</v>
      </c>
      <c r="O10" s="3095">
        <f>ROUND((O7*P7+O8*P8+O9*P9)/100,2)</f>
        <v>0.8</v>
      </c>
      <c r="P10" s="3096"/>
    </row>
    <row r="11" spans="1:16" s="3086" customFormat="1" ht="29.25" customHeight="1">
      <c r="A11" s="3070" t="s">
        <v>3189</v>
      </c>
      <c r="B11" s="3076" t="s">
        <v>3190</v>
      </c>
      <c r="C11" s="3386">
        <f ca="1">ROUND(I11*I3,0)</f>
        <v>0</v>
      </c>
      <c r="D11" s="3387"/>
      <c r="E11" s="3387"/>
      <c r="F11" s="3388"/>
      <c r="G11" s="3072" t="s">
        <v>3191</v>
      </c>
      <c r="H11" s="3076" t="s">
        <v>3192</v>
      </c>
      <c r="I11" s="3072">
        <f>'数据-取费表'!B28</f>
        <v>200</v>
      </c>
      <c r="J11" s="3084"/>
      <c r="K11" s="3097"/>
      <c r="L11" s="3097"/>
    </row>
    <row r="12" spans="1:16" s="3086" customFormat="1" ht="18" customHeight="1">
      <c r="A12" s="3070" t="s">
        <v>3193</v>
      </c>
      <c r="B12" s="3076" t="s">
        <v>3194</v>
      </c>
      <c r="C12" s="3386">
        <f ca="1">ROUND(C8*H12,0)</f>
        <v>0</v>
      </c>
      <c r="D12" s="3387"/>
      <c r="E12" s="3387"/>
      <c r="F12" s="3388"/>
      <c r="G12" s="3072" t="s">
        <v>3185</v>
      </c>
      <c r="H12" s="3402">
        <f>'数据-取费表'!B36</f>
        <v>1.4999999999999999E-2</v>
      </c>
      <c r="I12" s="3402"/>
      <c r="J12" s="3098" t="s">
        <v>3195</v>
      </c>
      <c r="L12" s="3099"/>
    </row>
    <row r="13" spans="1:16" s="3086" customFormat="1" ht="18" customHeight="1">
      <c r="A13" s="3070" t="s">
        <v>3196</v>
      </c>
      <c r="B13" s="3076" t="s">
        <v>3197</v>
      </c>
      <c r="C13" s="3386">
        <f ca="1">SUM(C8:F12)</f>
        <v>0</v>
      </c>
      <c r="D13" s="3387"/>
      <c r="E13" s="3387"/>
      <c r="F13" s="3388"/>
      <c r="G13" s="3389" t="s">
        <v>3198</v>
      </c>
      <c r="H13" s="3389"/>
      <c r="I13" s="3389"/>
      <c r="J13" s="3098" t="s">
        <v>3199</v>
      </c>
      <c r="L13" s="3099"/>
    </row>
    <row r="14" spans="1:16" s="3086" customFormat="1" ht="18" customHeight="1">
      <c r="A14" s="3070" t="s">
        <v>3200</v>
      </c>
      <c r="B14" s="3076" t="s">
        <v>3201</v>
      </c>
      <c r="C14" s="3386">
        <f ca="1">ROUND(C13*H14,0)</f>
        <v>0</v>
      </c>
      <c r="D14" s="3387"/>
      <c r="E14" s="3387"/>
      <c r="F14" s="3388"/>
      <c r="G14" s="3072" t="s">
        <v>3202</v>
      </c>
      <c r="H14" s="3402">
        <f>'数据-取费表'!B37</f>
        <v>0.03</v>
      </c>
      <c r="I14" s="3402"/>
      <c r="J14" s="3084"/>
      <c r="L14" s="3099"/>
    </row>
    <row r="15" spans="1:16" s="3086" customFormat="1" ht="18" customHeight="1">
      <c r="A15" s="3070" t="s">
        <v>3203</v>
      </c>
      <c r="B15" s="3076" t="s">
        <v>3204</v>
      </c>
      <c r="C15" s="3407">
        <f>H15</f>
        <v>0.01</v>
      </c>
      <c r="D15" s="3408"/>
      <c r="E15" s="3405" t="str">
        <f>E18</f>
        <v>V</v>
      </c>
      <c r="F15" s="3406"/>
      <c r="G15" s="3072" t="s">
        <v>3205</v>
      </c>
      <c r="H15" s="3402">
        <f>'数据-取费表'!B38</f>
        <v>0.01</v>
      </c>
      <c r="I15" s="3402"/>
      <c r="J15" s="3100"/>
      <c r="K15" s="3101"/>
    </row>
    <row r="16" spans="1:16" s="3086" customFormat="1" ht="18" customHeight="1">
      <c r="A16" s="3102" t="s">
        <v>3206</v>
      </c>
      <c r="B16" s="3103" t="s">
        <v>3207</v>
      </c>
      <c r="C16" s="3104">
        <f ca="1">C17</f>
        <v>0</v>
      </c>
      <c r="D16" s="3105" t="s">
        <v>3208</v>
      </c>
      <c r="E16" s="3106">
        <f>C18</f>
        <v>4.75E-4</v>
      </c>
      <c r="F16" s="3107" t="str">
        <f>E18</f>
        <v>V</v>
      </c>
      <c r="G16" s="3386" t="s">
        <v>3209</v>
      </c>
      <c r="H16" s="3387"/>
      <c r="I16" s="3388"/>
      <c r="J16" s="3084"/>
      <c r="K16" s="3097"/>
    </row>
    <row r="17" spans="1:12" s="3086" customFormat="1" ht="18" customHeight="1">
      <c r="A17" s="3070" t="s">
        <v>3210</v>
      </c>
      <c r="B17" s="3076" t="s">
        <v>3211</v>
      </c>
      <c r="C17" s="3386">
        <f ca="1">ROUND((C13+C14)*I18*(I17/2),0)</f>
        <v>0</v>
      </c>
      <c r="D17" s="3387"/>
      <c r="E17" s="3387"/>
      <c r="F17" s="3388"/>
      <c r="G17" s="3104" t="s">
        <v>3212</v>
      </c>
      <c r="H17" s="3076" t="s">
        <v>3213</v>
      </c>
      <c r="I17" s="3108">
        <f>'数据-取费表'!B20</f>
        <v>2</v>
      </c>
      <c r="J17" s="3098" t="s">
        <v>3214</v>
      </c>
      <c r="K17" s="3097"/>
      <c r="L17" s="3097"/>
    </row>
    <row r="18" spans="1:12" s="3086" customFormat="1" ht="18" customHeight="1">
      <c r="A18" s="3070" t="s">
        <v>3215</v>
      </c>
      <c r="B18" s="3076" t="s">
        <v>3216</v>
      </c>
      <c r="C18" s="3403">
        <f>H15*I18*I17/2</f>
        <v>4.75E-4</v>
      </c>
      <c r="D18" s="3404"/>
      <c r="E18" s="3405" t="s">
        <v>3217</v>
      </c>
      <c r="F18" s="3406"/>
      <c r="G18" s="3104" t="s">
        <v>3218</v>
      </c>
      <c r="H18" s="3076" t="s">
        <v>3219</v>
      </c>
      <c r="I18" s="3109">
        <v>4.7500000000000001E-2</v>
      </c>
      <c r="J18" s="3098" t="s">
        <v>3220</v>
      </c>
      <c r="K18" s="3097"/>
      <c r="L18" s="3097"/>
    </row>
    <row r="19" spans="1:12" s="3086" customFormat="1" ht="27" customHeight="1">
      <c r="A19" s="3070" t="s">
        <v>3221</v>
      </c>
      <c r="B19" s="3076" t="s">
        <v>3222</v>
      </c>
      <c r="C19" s="3104">
        <f ca="1">C20</f>
        <v>0</v>
      </c>
      <c r="D19" s="3105" t="s">
        <v>3208</v>
      </c>
      <c r="E19" s="3105">
        <f>C21</f>
        <v>1E-3</v>
      </c>
      <c r="F19" s="3107" t="str">
        <f>E21</f>
        <v>V</v>
      </c>
      <c r="G19" s="3386" t="s">
        <v>3223</v>
      </c>
      <c r="H19" s="3387"/>
      <c r="I19" s="3388"/>
      <c r="J19" s="3084"/>
      <c r="K19" s="3097"/>
      <c r="L19" s="3097"/>
    </row>
    <row r="20" spans="1:12" s="3086" customFormat="1" ht="26.25" customHeight="1">
      <c r="A20" s="3070" t="s">
        <v>3224</v>
      </c>
      <c r="B20" s="3076" t="s">
        <v>3225</v>
      </c>
      <c r="C20" s="3386">
        <f ca="1">ROUND((C13+C14)*I20,0)</f>
        <v>0</v>
      </c>
      <c r="D20" s="3387"/>
      <c r="E20" s="3387"/>
      <c r="F20" s="3388"/>
      <c r="G20" s="3072" t="s">
        <v>3226</v>
      </c>
      <c r="H20" s="3411" t="s">
        <v>3227</v>
      </c>
      <c r="I20" s="3413">
        <f>'数据-取费表'!Q6</f>
        <v>0.1</v>
      </c>
      <c r="J20" s="3098" t="s">
        <v>3228</v>
      </c>
      <c r="K20" s="3097"/>
      <c r="L20" s="3097"/>
    </row>
    <row r="21" spans="1:12" s="3086" customFormat="1" ht="27" customHeight="1">
      <c r="A21" s="3070" t="s">
        <v>3224</v>
      </c>
      <c r="B21" s="3076" t="s">
        <v>3229</v>
      </c>
      <c r="C21" s="3414">
        <f>H15*I20</f>
        <v>1E-3</v>
      </c>
      <c r="D21" s="3415"/>
      <c r="E21" s="3405" t="s">
        <v>3217</v>
      </c>
      <c r="F21" s="3406"/>
      <c r="G21" s="3072" t="s">
        <v>3230</v>
      </c>
      <c r="H21" s="3412"/>
      <c r="I21" s="3413"/>
      <c r="J21" s="3084"/>
      <c r="K21" s="3097"/>
      <c r="L21" s="3097"/>
    </row>
    <row r="22" spans="1:12" s="3086" customFormat="1" ht="18" customHeight="1">
      <c r="A22" s="3070" t="s">
        <v>3231</v>
      </c>
      <c r="B22" s="3076" t="s">
        <v>3232</v>
      </c>
      <c r="C22" s="3414">
        <f>ROUND(H22/1.05,4)</f>
        <v>5.33E-2</v>
      </c>
      <c r="D22" s="3415"/>
      <c r="E22" s="3405" t="s">
        <v>3217</v>
      </c>
      <c r="F22" s="3406"/>
      <c r="G22" s="3072" t="s">
        <v>3233</v>
      </c>
      <c r="H22" s="3402">
        <v>5.6000000000000001E-2</v>
      </c>
      <c r="I22" s="3402"/>
      <c r="J22" s="3110"/>
      <c r="K22" s="3097"/>
      <c r="L22" s="3097"/>
    </row>
    <row r="23" spans="1:12" s="3086" customFormat="1" ht="18" customHeight="1">
      <c r="A23" s="3070" t="s">
        <v>3234</v>
      </c>
      <c r="B23" s="3076" t="s">
        <v>3235</v>
      </c>
      <c r="C23" s="3386">
        <f ca="1">ROUND((C13+C14+C17+C20)/(1-H15-C18-C21-C22),0)</f>
        <v>0</v>
      </c>
      <c r="D23" s="3387"/>
      <c r="E23" s="3387"/>
      <c r="F23" s="3388"/>
      <c r="G23" s="3386" t="s">
        <v>3236</v>
      </c>
      <c r="H23" s="3387"/>
      <c r="I23" s="3388"/>
      <c r="J23" s="3110"/>
      <c r="K23" s="3097"/>
      <c r="L23" s="3097"/>
    </row>
    <row r="24" spans="1:12" s="3086" customFormat="1" ht="18" customHeight="1">
      <c r="A24" s="3070" t="s">
        <v>3237</v>
      </c>
      <c r="B24" s="3076" t="s">
        <v>3238</v>
      </c>
      <c r="C24" s="3111">
        <f ca="1">C26+C27</f>
        <v>0</v>
      </c>
      <c r="D24" s="3112" t="s">
        <v>3239</v>
      </c>
      <c r="E24" s="3409">
        <f>H25+H28</f>
        <v>0.18240000000000001</v>
      </c>
      <c r="F24" s="3410"/>
      <c r="G24" s="3389" t="s">
        <v>3240</v>
      </c>
      <c r="H24" s="3389"/>
      <c r="I24" s="3389"/>
      <c r="J24" s="3110"/>
      <c r="K24" s="3097"/>
      <c r="L24" s="3097"/>
    </row>
    <row r="25" spans="1:12" s="3086" customFormat="1" ht="18" customHeight="1">
      <c r="A25" s="3070" t="s">
        <v>3196</v>
      </c>
      <c r="B25" s="3076" t="s">
        <v>3241</v>
      </c>
      <c r="C25" s="3407" t="s">
        <v>3242</v>
      </c>
      <c r="D25" s="3408"/>
      <c r="E25" s="3409">
        <f>H25</f>
        <v>0.1724</v>
      </c>
      <c r="F25" s="3410"/>
      <c r="G25" s="3072" t="s">
        <v>3243</v>
      </c>
      <c r="H25" s="3416">
        <f>ROUND(5.5%/1.05+12%,4)</f>
        <v>0.1724</v>
      </c>
      <c r="I25" s="3416"/>
      <c r="J25" s="3100"/>
      <c r="K25" s="3097"/>
      <c r="L25" s="3097"/>
    </row>
    <row r="26" spans="1:12" s="3086" customFormat="1" ht="18" customHeight="1">
      <c r="A26" s="3070" t="s">
        <v>3200</v>
      </c>
      <c r="B26" s="3076" t="s">
        <v>3244</v>
      </c>
      <c r="C26" s="3386">
        <f ca="1">ROUND(C23*H26,0)</f>
        <v>0</v>
      </c>
      <c r="D26" s="3387"/>
      <c r="E26" s="3387"/>
      <c r="F26" s="3388"/>
      <c r="G26" s="3072" t="s">
        <v>3245</v>
      </c>
      <c r="H26" s="3416">
        <f>'数据-取费表'!AK6</f>
        <v>1.4999999999999999E-2</v>
      </c>
      <c r="I26" s="3416"/>
      <c r="J26" s="3100"/>
      <c r="K26" s="3097"/>
      <c r="L26" s="3097"/>
    </row>
    <row r="27" spans="1:12" s="3086" customFormat="1" ht="18" customHeight="1">
      <c r="A27" s="3070" t="s">
        <v>3203</v>
      </c>
      <c r="B27" s="3076" t="s">
        <v>3246</v>
      </c>
      <c r="C27" s="3386">
        <f ca="1">ROUND(C7*H27,0)</f>
        <v>0</v>
      </c>
      <c r="D27" s="3387"/>
      <c r="E27" s="3387"/>
      <c r="F27" s="3388"/>
      <c r="G27" s="3072" t="s">
        <v>3247</v>
      </c>
      <c r="H27" s="3417">
        <f>'数据-取费表'!AL6</f>
        <v>1.5E-3</v>
      </c>
      <c r="I27" s="3417"/>
      <c r="J27" s="3084"/>
      <c r="K27" s="3097"/>
      <c r="L27" s="3097"/>
    </row>
    <row r="28" spans="1:12" s="3086" customFormat="1" ht="18" customHeight="1">
      <c r="A28" s="3070" t="s">
        <v>3206</v>
      </c>
      <c r="B28" s="3076" t="s">
        <v>3248</v>
      </c>
      <c r="C28" s="3407" t="s">
        <v>3242</v>
      </c>
      <c r="D28" s="3408"/>
      <c r="E28" s="3409">
        <f>H28</f>
        <v>0.01</v>
      </c>
      <c r="F28" s="3410"/>
      <c r="G28" s="3072" t="s">
        <v>3249</v>
      </c>
      <c r="H28" s="3416">
        <f>'数据-取费表'!AM6</f>
        <v>0.01</v>
      </c>
      <c r="I28" s="3416"/>
      <c r="J28" s="3113"/>
      <c r="K28" s="3097"/>
      <c r="L28" s="3097"/>
    </row>
    <row r="29" spans="1:12" s="3086" customFormat="1" ht="18" customHeight="1">
      <c r="A29" s="3075" t="s">
        <v>3250</v>
      </c>
      <c r="B29" s="3076" t="s">
        <v>3251</v>
      </c>
      <c r="C29" s="3386">
        <f ca="1">ROUND((C4+C24)/(1-E24),0)</f>
        <v>0</v>
      </c>
      <c r="D29" s="3387"/>
      <c r="E29" s="3387"/>
      <c r="F29" s="3388"/>
      <c r="G29" s="3390" t="s">
        <v>3252</v>
      </c>
      <c r="H29" s="3390"/>
      <c r="I29" s="3390"/>
      <c r="J29" s="3114" t="s">
        <v>3253</v>
      </c>
      <c r="K29" s="3097"/>
      <c r="L29" s="3097"/>
    </row>
    <row r="30" spans="1:12" s="3086" customFormat="1" ht="18" customHeight="1">
      <c r="A30" s="3390" t="s">
        <v>3254</v>
      </c>
      <c r="B30" s="3391" t="s">
        <v>3255</v>
      </c>
      <c r="C30" s="3418" t="e">
        <f ca="1">ROUND(C29/I30/I31/I3,2)</f>
        <v>#DIV/0!</v>
      </c>
      <c r="D30" s="3419"/>
      <c r="E30" s="3419"/>
      <c r="F30" s="3420"/>
      <c r="G30" s="3389" t="s">
        <v>3256</v>
      </c>
      <c r="H30" s="3076" t="s">
        <v>3257</v>
      </c>
      <c r="I30" s="3072">
        <v>12</v>
      </c>
      <c r="J30" s="3115"/>
      <c r="K30" s="3097"/>
      <c r="L30" s="3097"/>
    </row>
    <row r="31" spans="1:12" s="3086" customFormat="1" ht="18" customHeight="1">
      <c r="A31" s="3390"/>
      <c r="B31" s="3391"/>
      <c r="C31" s="3421"/>
      <c r="D31" s="3422"/>
      <c r="E31" s="3422"/>
      <c r="F31" s="3423"/>
      <c r="G31" s="3389"/>
      <c r="H31" s="3076" t="s">
        <v>3258</v>
      </c>
      <c r="I31" s="3116">
        <v>0.95</v>
      </c>
      <c r="J31" s="3117"/>
      <c r="K31" s="3097"/>
      <c r="L31" s="3097"/>
    </row>
    <row r="32" spans="1:12" s="3086" customFormat="1" ht="18" customHeight="1">
      <c r="A32" s="3069"/>
      <c r="B32" s="3118"/>
      <c r="C32" s="3119"/>
      <c r="D32" s="3119"/>
      <c r="E32" s="3119"/>
      <c r="F32" s="3119"/>
      <c r="G32" s="3120"/>
      <c r="H32" s="3121"/>
      <c r="I32" s="3069"/>
      <c r="J32" s="3122"/>
      <c r="K32" s="3097"/>
      <c r="L32" s="3097"/>
    </row>
    <row r="33" spans="1:13" s="3086" customFormat="1" ht="18" customHeight="1">
      <c r="A33" s="3069"/>
      <c r="B33" s="3425" t="s">
        <v>3259</v>
      </c>
      <c r="C33" s="3425"/>
      <c r="D33" s="3425"/>
      <c r="E33" s="3425"/>
      <c r="F33" s="3425"/>
      <c r="G33" s="3123"/>
      <c r="H33" s="3124"/>
      <c r="I33" s="3069"/>
      <c r="J33" s="3084"/>
      <c r="K33" s="3097"/>
      <c r="L33" s="3097"/>
      <c r="M33" s="3069"/>
    </row>
    <row r="34" spans="1:13" s="3086" customFormat="1" ht="18" customHeight="1">
      <c r="A34" s="3069"/>
      <c r="B34" s="3125" t="s">
        <v>3260</v>
      </c>
      <c r="C34" s="3126" t="s">
        <v>3171</v>
      </c>
      <c r="D34" s="3426" t="s">
        <v>3261</v>
      </c>
      <c r="E34" s="3426"/>
      <c r="F34" s="3426"/>
      <c r="G34" s="3123"/>
      <c r="H34" s="3124"/>
      <c r="I34" s="3069"/>
      <c r="J34" s="3110"/>
      <c r="K34" s="3069"/>
      <c r="L34" s="3069"/>
      <c r="M34" s="3069"/>
    </row>
    <row r="35" spans="1:13">
      <c r="B35" s="3125" t="s">
        <v>3262</v>
      </c>
      <c r="C35" s="3127">
        <v>0.8</v>
      </c>
      <c r="D35" s="3427">
        <f>'比较法-住宅'!C49</f>
        <v>36.6</v>
      </c>
      <c r="E35" s="3427"/>
      <c r="F35" s="3427"/>
      <c r="G35" s="3123" t="e">
        <f ca="1">(D35-D36)/D36</f>
        <v>#DIV/0!</v>
      </c>
      <c r="H35" s="3124"/>
      <c r="K35" s="3069"/>
      <c r="L35" s="3069"/>
    </row>
    <row r="36" spans="1:13" ht="20.100000000000001" customHeight="1">
      <c r="B36" s="3125" t="s">
        <v>3263</v>
      </c>
      <c r="C36" s="3127">
        <f>1-C35</f>
        <v>0.19999999999999996</v>
      </c>
      <c r="D36" s="3427" t="e">
        <f ca="1">C30</f>
        <v>#DIV/0!</v>
      </c>
      <c r="E36" s="3427"/>
      <c r="F36" s="3427"/>
      <c r="G36" s="3123"/>
      <c r="H36" s="3124"/>
      <c r="J36" s="3069"/>
      <c r="K36" s="3069"/>
      <c r="L36" s="3069"/>
    </row>
    <row r="37" spans="1:13" ht="22.5" customHeight="1">
      <c r="B37" s="3428" t="s">
        <v>3264</v>
      </c>
      <c r="C37" s="3428"/>
      <c r="D37" s="3424" t="e">
        <f ca="1">ROUND(C35*D35+C36*D36,1)</f>
        <v>#DIV/0!</v>
      </c>
      <c r="E37" s="3424"/>
      <c r="F37" s="3424"/>
      <c r="G37" s="3123"/>
      <c r="H37" s="3124"/>
      <c r="J37" s="3069"/>
      <c r="K37" s="3069"/>
      <c r="L37" s="3069"/>
    </row>
    <row r="38" spans="1:13" ht="22.5" customHeight="1">
      <c r="B38" s="3125" t="s">
        <v>3265</v>
      </c>
      <c r="C38" s="3125" t="e">
        <f ca="1">ROUND(D37*0.9,1)</f>
        <v>#DIV/0!</v>
      </c>
      <c r="D38" s="3128" t="s">
        <v>3266</v>
      </c>
      <c r="E38" s="3424" t="e">
        <f ca="1">ROUND(D37*1.1,1)</f>
        <v>#DIV/0!</v>
      </c>
      <c r="F38" s="3424"/>
      <c r="G38" s="3123" t="s">
        <v>3267</v>
      </c>
      <c r="H38" s="3129">
        <v>12</v>
      </c>
      <c r="J38" s="3069"/>
      <c r="K38" s="3069"/>
      <c r="L38" s="3069"/>
    </row>
    <row r="39" spans="1:13" ht="18" customHeight="1">
      <c r="B39" s="3125" t="s">
        <v>3268</v>
      </c>
      <c r="C39" s="3125" t="e">
        <f ca="1">ROUND(C38+H39,1)</f>
        <v>#DIV/0!</v>
      </c>
      <c r="D39" s="3128" t="s">
        <v>3266</v>
      </c>
      <c r="E39" s="3424" t="e">
        <f ca="1">ROUND(E38+H39,1)</f>
        <v>#DIV/0!</v>
      </c>
      <c r="F39" s="3424"/>
      <c r="G39" s="3130" t="s">
        <v>3269</v>
      </c>
      <c r="H39" s="3130">
        <v>0</v>
      </c>
      <c r="J39" s="3069"/>
      <c r="K39" s="3069"/>
      <c r="L39" s="3069"/>
    </row>
    <row r="40" spans="1:13" ht="18" customHeight="1">
      <c r="B40" s="3131"/>
      <c r="C40" s="3132"/>
      <c r="D40" s="3133"/>
      <c r="E40" s="3133"/>
      <c r="F40" s="3133"/>
      <c r="G40" s="3123"/>
      <c r="H40" s="3124"/>
      <c r="J40" s="3069"/>
    </row>
    <row r="41" spans="1:13" ht="18" customHeight="1">
      <c r="B41" s="3123" t="s">
        <v>3270</v>
      </c>
      <c r="C41" s="3133"/>
      <c r="D41" s="3133"/>
      <c r="E41" s="3123" t="s">
        <v>3271</v>
      </c>
      <c r="F41" s="3133"/>
      <c r="G41" s="3123"/>
      <c r="H41" s="3123" t="s">
        <v>3272</v>
      </c>
      <c r="J41" s="3069"/>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6"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受贵公司委托，我公司对北京市房地产市场价值进行了预评估。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估价对象为北京市房地产，为所有。根据《国有土地使用证》[]，估价对象（分摊）出让国有建设用地使用权面积为16732.06平方米，建筑面积为16732.06平方米。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估价对象为北京市房地产,属开发建设的，该项目尚在开发建设中。根据《国有土地使用证》[]，估价对象（分摊）出让国有建设用地使用权面积为16732.06平方米，规划建筑面积为16732.06平方米。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2021年3月1日（评估专业人员实地查勘之日）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本次估价的“房地产价值”是指在正常市场情况下，在价值时点2021年3月1日，估价对象规划用途为，土地取得方式为划拨，假定未设立法定优先受偿款下的房地产市场价值。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本次评估采用的主估价方法为基准地价系数修正法和基准地价系数修正法。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60" zoomScaleSheetLayoutView="85" workbookViewId="0">
      <selection activeCell="K16" sqref="K1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t="s">
        <v>3103</v>
      </c>
      <c r="E1" s="2545"/>
      <c r="F1" s="2066" t="s">
        <v>3142</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51</v>
      </c>
      <c r="C2" s="2068" t="s">
        <v>70</v>
      </c>
      <c r="D2" s="1275" t="e">
        <f ca="1">SUMIF(INDIRECT("'"&amp;F2&amp;"'"&amp;"!A:A"),"承租人权益价值",INDIRECT("'"&amp;F2&amp;"'"&amp;"!c:c"))</f>
        <v>#REF!</v>
      </c>
      <c r="E2" s="2069" t="s">
        <v>2353</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36.6</v>
      </c>
      <c r="C3" s="360" t="s">
        <v>2354</v>
      </c>
      <c r="D3" s="359">
        <f>IF(D1="",'数据-汇总表'!E3,SUMIF('数据-汇总表'!$C19:$C33,D1,'数据-汇总表'!$E19:$E33))</f>
        <v>13966.28</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2355</v>
      </c>
      <c r="B4" s="362"/>
      <c r="C4" s="3447" t="s">
        <v>2356</v>
      </c>
      <c r="D4" s="3448"/>
      <c r="E4" s="3449" t="s">
        <v>2357</v>
      </c>
      <c r="F4" s="3450"/>
      <c r="G4" s="3447" t="s">
        <v>2358</v>
      </c>
      <c r="H4" s="3448"/>
      <c r="I4" s="3447" t="s">
        <v>2359</v>
      </c>
      <c r="J4" s="3448"/>
      <c r="K4" s="2076" t="s">
        <v>2360</v>
      </c>
      <c r="L4" s="2944"/>
      <c r="M4" s="2945"/>
      <c r="N4" s="2945"/>
      <c r="O4" s="2945"/>
      <c r="P4" s="3451" t="s">
        <v>2361</v>
      </c>
      <c r="Q4" s="3452"/>
      <c r="R4" s="3457" t="s">
        <v>2357</v>
      </c>
      <c r="S4" s="3458"/>
      <c r="T4" s="3457" t="s">
        <v>2358</v>
      </c>
      <c r="U4" s="3458"/>
      <c r="V4" s="3463" t="s">
        <v>2359</v>
      </c>
      <c r="W4" s="3463"/>
      <c r="X4" s="1540"/>
      <c r="Y4" s="3457" t="s">
        <v>2361</v>
      </c>
      <c r="Z4" s="3458"/>
      <c r="AA4" s="3444" t="s">
        <v>2357</v>
      </c>
      <c r="AB4" s="3444" t="s">
        <v>2358</v>
      </c>
      <c r="AC4" s="3444" t="s">
        <v>2359</v>
      </c>
    </row>
    <row r="5" spans="1:29" ht="15">
      <c r="A5" s="364"/>
      <c r="B5" s="365"/>
      <c r="C5" s="3471" t="str">
        <f>项目基本情况!C10</f>
        <v>朗清园</v>
      </c>
      <c r="D5" s="3467"/>
      <c r="E5" s="3474" t="s">
        <v>3135</v>
      </c>
      <c r="F5" s="3475"/>
      <c r="G5" s="3466" t="s">
        <v>3111</v>
      </c>
      <c r="H5" s="3467"/>
      <c r="I5" s="3466" t="s">
        <v>3112</v>
      </c>
      <c r="J5" s="3467"/>
      <c r="K5" s="2077"/>
      <c r="L5" s="2944"/>
      <c r="M5" s="2945"/>
      <c r="N5" s="2945"/>
      <c r="O5" s="2945"/>
      <c r="P5" s="3453"/>
      <c r="Q5" s="3454"/>
      <c r="R5" s="3459"/>
      <c r="S5" s="3460"/>
      <c r="T5" s="3459"/>
      <c r="U5" s="3460"/>
      <c r="V5" s="3463"/>
      <c r="W5" s="3463"/>
      <c r="X5" s="1540"/>
      <c r="Y5" s="3459"/>
      <c r="Z5" s="3460"/>
      <c r="AA5" s="3445"/>
      <c r="AB5" s="3445"/>
      <c r="AC5" s="3445"/>
    </row>
    <row r="6" spans="1:29" ht="15.75" thickBot="1">
      <c r="A6" s="366"/>
      <c r="B6" s="367"/>
      <c r="C6" s="3464" t="s">
        <v>2366</v>
      </c>
      <c r="D6" s="3465"/>
      <c r="E6" s="3472" t="s">
        <v>2366</v>
      </c>
      <c r="F6" s="3473"/>
      <c r="G6" s="3464" t="s">
        <v>2366</v>
      </c>
      <c r="H6" s="3465"/>
      <c r="I6" s="3464" t="s">
        <v>2366</v>
      </c>
      <c r="J6" s="3465"/>
      <c r="K6" s="2077" t="s">
        <v>2367</v>
      </c>
      <c r="L6" s="2944"/>
      <c r="M6" s="2945"/>
      <c r="N6" s="2945"/>
      <c r="O6" s="2945"/>
      <c r="P6" s="3455"/>
      <c r="Q6" s="3456"/>
      <c r="R6" s="3459"/>
      <c r="S6" s="3460"/>
      <c r="T6" s="3461"/>
      <c r="U6" s="3462"/>
      <c r="V6" s="3463"/>
      <c r="W6" s="3463"/>
      <c r="X6" s="1540"/>
      <c r="Y6" s="3461"/>
      <c r="Z6" s="3462"/>
      <c r="AA6" s="3446"/>
      <c r="AB6" s="3446"/>
      <c r="AC6" s="3446"/>
    </row>
    <row r="7" spans="1:29" s="113" customFormat="1" ht="15.75" thickBot="1">
      <c r="A7" s="368" t="s">
        <v>2368</v>
      </c>
      <c r="B7" s="369"/>
      <c r="C7" s="370">
        <f>'数据-取费表'!B2</f>
        <v>44256</v>
      </c>
      <c r="D7" s="371">
        <v>100</v>
      </c>
      <c r="E7" s="372">
        <v>44256</v>
      </c>
      <c r="F7" s="373">
        <f>SUMIF(58:58,YEAR(E7)&amp;"-"&amp;MONTH(E7),59:59)</f>
        <v>100</v>
      </c>
      <c r="G7" s="372">
        <f>E7</f>
        <v>44256</v>
      </c>
      <c r="H7" s="371">
        <f>SUMIF(58:58,YEAR(G7)&amp;"-"&amp;MONTH(G7),59:59)</f>
        <v>100</v>
      </c>
      <c r="I7" s="372">
        <f>E7</f>
        <v>44256</v>
      </c>
      <c r="J7" s="371">
        <f>SUMIF(58:58,YEAR(I7)&amp;"-"&amp;MONTH(I7),59:59)</f>
        <v>100</v>
      </c>
      <c r="K7" s="2078"/>
      <c r="L7" s="2946"/>
      <c r="M7" s="2947"/>
      <c r="N7" s="2947"/>
      <c r="O7" s="2947"/>
      <c r="P7" s="3468" t="s">
        <v>2369</v>
      </c>
      <c r="Q7" s="3470"/>
      <c r="R7" s="710" t="s">
        <v>23</v>
      </c>
      <c r="S7" s="711">
        <f t="shared" ref="S7:S15" si="0">F7</f>
        <v>100</v>
      </c>
      <c r="T7" s="710" t="s">
        <v>23</v>
      </c>
      <c r="U7" s="711">
        <f t="shared" ref="U7:U15" si="1">H7</f>
        <v>100</v>
      </c>
      <c r="V7" s="710" t="s">
        <v>23</v>
      </c>
      <c r="W7" s="711">
        <f t="shared" ref="W7:W15" si="2">J7</f>
        <v>100</v>
      </c>
      <c r="X7" s="712"/>
      <c r="Y7" s="3468" t="s">
        <v>2369</v>
      </c>
      <c r="Z7" s="3469"/>
      <c r="AA7" s="713">
        <f>D7/F7</f>
        <v>1</v>
      </c>
      <c r="AB7" s="713">
        <f>D7/H7</f>
        <v>1</v>
      </c>
      <c r="AC7" s="713">
        <f>D7/J7</f>
        <v>1</v>
      </c>
    </row>
    <row r="8" spans="1:29" s="113" customFormat="1" ht="15.75" thickBot="1">
      <c r="A8" s="368" t="s">
        <v>2370</v>
      </c>
      <c r="B8" s="369"/>
      <c r="C8" s="374" t="s">
        <v>2371</v>
      </c>
      <c r="D8" s="371">
        <v>100</v>
      </c>
      <c r="E8" s="2079" t="s">
        <v>3113</v>
      </c>
      <c r="F8" s="373">
        <f>SUMIF(61:61,E8,62:62)-SUMIF(61:61,C8,62:62)+100</f>
        <v>100</v>
      </c>
      <c r="G8" s="374" t="s">
        <v>3113</v>
      </c>
      <c r="H8" s="371">
        <f>SUMIF(61:61,G8,62:62)-SUMIF(61:61,C8,62:62)+100</f>
        <v>100</v>
      </c>
      <c r="I8" s="2079" t="s">
        <v>3113</v>
      </c>
      <c r="J8" s="371">
        <f>SUMIF(61:61,I8,62:62)-SUMIF(61:61,C8,62:62)+100</f>
        <v>100</v>
      </c>
      <c r="K8" s="2078"/>
      <c r="L8" s="2946"/>
      <c r="M8" s="2947"/>
      <c r="N8" s="2947"/>
      <c r="O8" s="2947"/>
      <c r="P8" s="3468" t="s">
        <v>2372</v>
      </c>
      <c r="Q8" s="3469"/>
      <c r="R8" s="710" t="s">
        <v>23</v>
      </c>
      <c r="S8" s="711">
        <f t="shared" si="0"/>
        <v>100</v>
      </c>
      <c r="T8" s="710" t="s">
        <v>23</v>
      </c>
      <c r="U8" s="711">
        <f t="shared" si="1"/>
        <v>100</v>
      </c>
      <c r="V8" s="710" t="s">
        <v>23</v>
      </c>
      <c r="W8" s="711">
        <f t="shared" si="2"/>
        <v>100</v>
      </c>
      <c r="X8" s="712"/>
      <c r="Y8" s="3468" t="s">
        <v>2372</v>
      </c>
      <c r="Z8" s="3469"/>
      <c r="AA8" s="713">
        <f t="shared" ref="AA8:AA19" si="3">D8/F8</f>
        <v>1</v>
      </c>
      <c r="AB8" s="713">
        <f t="shared" ref="AB8:AB19" si="4">D8/H8</f>
        <v>1</v>
      </c>
      <c r="AC8" s="713">
        <f t="shared" ref="AC8:AC19" si="5">D8/J8</f>
        <v>1</v>
      </c>
    </row>
    <row r="9" spans="1:29" s="113" customFormat="1" ht="15" thickBot="1">
      <c r="A9" s="375" t="s">
        <v>2373</v>
      </c>
      <c r="B9" s="67" t="s">
        <v>2374</v>
      </c>
      <c r="C9" s="3059" t="s">
        <v>3114</v>
      </c>
      <c r="D9" s="131">
        <v>100</v>
      </c>
      <c r="E9" s="377" t="s">
        <v>3103</v>
      </c>
      <c r="F9" s="378">
        <f>SUMIF(63:63,E9,64:64)-SUMIF(63:63,C9,64:64)+100</f>
        <v>100</v>
      </c>
      <c r="G9" s="379" t="s">
        <v>3103</v>
      </c>
      <c r="H9" s="131">
        <f>SUMIF(63:63,G9,64:64)-SUMIF(63:63,C9,64:64)+100</f>
        <v>100</v>
      </c>
      <c r="I9" s="379" t="s">
        <v>3103</v>
      </c>
      <c r="J9" s="131">
        <f>SUMIF(63:63,I9,64:64)-SUMIF(63:63,C9,64:64)+100</f>
        <v>100</v>
      </c>
      <c r="K9" s="2078"/>
      <c r="L9" s="2946"/>
      <c r="M9" s="2947"/>
      <c r="N9" s="2947"/>
      <c r="O9" s="2947"/>
      <c r="P9" s="3443" t="s">
        <v>2375</v>
      </c>
      <c r="Q9" s="1528" t="str">
        <f t="shared" ref="Q9:Q15" si="6">B9</f>
        <v>用途</v>
      </c>
      <c r="R9" s="710" t="s">
        <v>17</v>
      </c>
      <c r="S9" s="711">
        <f t="shared" si="0"/>
        <v>100</v>
      </c>
      <c r="T9" s="710" t="s">
        <v>17</v>
      </c>
      <c r="U9" s="711">
        <f t="shared" si="1"/>
        <v>100</v>
      </c>
      <c r="V9" s="710" t="s">
        <v>17</v>
      </c>
      <c r="W9" s="711">
        <f t="shared" si="2"/>
        <v>100</v>
      </c>
      <c r="X9" s="712"/>
      <c r="Y9" s="3231" t="s">
        <v>2376</v>
      </c>
      <c r="Z9" s="55" t="str">
        <f t="shared" ref="Z9:Z15" si="7">Q9</f>
        <v>用途</v>
      </c>
      <c r="AA9" s="713">
        <f t="shared" si="3"/>
        <v>1</v>
      </c>
      <c r="AB9" s="713">
        <f t="shared" si="4"/>
        <v>1</v>
      </c>
      <c r="AC9" s="713">
        <f t="shared" si="5"/>
        <v>1</v>
      </c>
    </row>
    <row r="10" spans="1:29" s="386" customFormat="1" ht="27" hidden="1">
      <c r="A10" s="380"/>
      <c r="B10" s="381" t="s">
        <v>2377</v>
      </c>
      <c r="C10" s="382" t="s">
        <v>3115</v>
      </c>
      <c r="D10" s="132">
        <v>100</v>
      </c>
      <c r="E10" s="383" t="s">
        <v>3115</v>
      </c>
      <c r="F10" s="384">
        <f>SUMIF(65:65,E10,66:66)-SUMIF(65:65,C10,66:66)+100</f>
        <v>100</v>
      </c>
      <c r="G10" s="382" t="s">
        <v>3115</v>
      </c>
      <c r="H10" s="132">
        <f>SUMIF(65:65,G10,66:66)-SUMIF(65:65,C10,66:66)+100</f>
        <v>100</v>
      </c>
      <c r="I10" s="382" t="s">
        <v>3115</v>
      </c>
      <c r="J10" s="132">
        <f>SUMIF(65:65,I10,66:66)-SUMIF(65:65,C10,66:66)+100</f>
        <v>100</v>
      </c>
      <c r="K10" s="385"/>
      <c r="L10" s="2948"/>
      <c r="M10" s="2949"/>
      <c r="N10" s="2949"/>
      <c r="O10" s="2949"/>
      <c r="P10" s="3443"/>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hidden="1">
      <c r="A11" s="387"/>
      <c r="B11" s="381" t="s">
        <v>2378</v>
      </c>
      <c r="C11" s="388">
        <f>'数据-汇总表'!I7</f>
        <v>1.61</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0"/>
      <c r="M11" s="2945"/>
      <c r="N11" s="2945"/>
      <c r="O11" s="2945"/>
      <c r="P11" s="3443"/>
      <c r="Q11" s="1528" t="str">
        <f t="shared" si="6"/>
        <v>容积率</v>
      </c>
      <c r="R11" s="710" t="s">
        <v>21</v>
      </c>
      <c r="S11" s="711">
        <f t="shared" si="0"/>
        <v>100</v>
      </c>
      <c r="T11" s="710" t="s">
        <v>21</v>
      </c>
      <c r="U11" s="711">
        <f t="shared" si="1"/>
        <v>100</v>
      </c>
      <c r="V11" s="710" t="s">
        <v>21</v>
      </c>
      <c r="W11" s="711">
        <f t="shared" si="2"/>
        <v>100</v>
      </c>
      <c r="X11" s="712"/>
      <c r="Y11" s="3231"/>
      <c r="Z11" s="55" t="str">
        <f t="shared" si="7"/>
        <v>容积率</v>
      </c>
      <c r="AA11" s="713">
        <f t="shared" si="3"/>
        <v>1</v>
      </c>
      <c r="AB11" s="713">
        <f t="shared" si="4"/>
        <v>1</v>
      </c>
      <c r="AC11" s="713">
        <f t="shared" si="5"/>
        <v>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443"/>
      <c r="Q12" s="1528">
        <f t="shared" si="6"/>
        <v>111</v>
      </c>
      <c r="R12" s="710" t="s">
        <v>21</v>
      </c>
      <c r="S12" s="711">
        <f t="shared" si="0"/>
        <v>100</v>
      </c>
      <c r="T12" s="710" t="s">
        <v>21</v>
      </c>
      <c r="U12" s="711">
        <f t="shared" si="1"/>
        <v>100</v>
      </c>
      <c r="V12" s="710" t="s">
        <v>21</v>
      </c>
      <c r="W12" s="711">
        <f t="shared" si="2"/>
        <v>100</v>
      </c>
      <c r="X12" s="712"/>
      <c r="Y12" s="3231"/>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443"/>
      <c r="Q13" s="1528">
        <f t="shared" si="6"/>
        <v>111</v>
      </c>
      <c r="R13" s="710" t="s">
        <v>21</v>
      </c>
      <c r="S13" s="711">
        <f t="shared" si="0"/>
        <v>100</v>
      </c>
      <c r="T13" s="710" t="s">
        <v>21</v>
      </c>
      <c r="U13" s="711">
        <f t="shared" si="1"/>
        <v>100</v>
      </c>
      <c r="V13" s="710" t="s">
        <v>21</v>
      </c>
      <c r="W13" s="711">
        <f t="shared" si="2"/>
        <v>100</v>
      </c>
      <c r="X13" s="712"/>
      <c r="Y13" s="3231"/>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443"/>
      <c r="Q14" s="1528">
        <f t="shared" si="6"/>
        <v>111</v>
      </c>
      <c r="R14" s="710" t="s">
        <v>21</v>
      </c>
      <c r="S14" s="711">
        <f t="shared" si="0"/>
        <v>100</v>
      </c>
      <c r="T14" s="710" t="s">
        <v>21</v>
      </c>
      <c r="U14" s="711">
        <f t="shared" si="1"/>
        <v>100</v>
      </c>
      <c r="V14" s="710" t="s">
        <v>21</v>
      </c>
      <c r="W14" s="711">
        <f t="shared" si="2"/>
        <v>100</v>
      </c>
      <c r="X14" s="712"/>
      <c r="Y14" s="3231"/>
      <c r="Z14" s="55">
        <f t="shared" si="7"/>
        <v>111</v>
      </c>
      <c r="AA14" s="713">
        <f t="shared" si="3"/>
        <v>1</v>
      </c>
      <c r="AB14" s="713">
        <f t="shared" si="4"/>
        <v>1</v>
      </c>
      <c r="AC14" s="713">
        <f t="shared" si="5"/>
        <v>1</v>
      </c>
    </row>
    <row r="15" spans="1:29" ht="99.75">
      <c r="A15" s="399" t="s">
        <v>2379</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103</v>
      </c>
      <c r="G15" s="401"/>
      <c r="H15" s="400">
        <f>SUMIF(76:76,G16,77:77)-SUMIF(76:76,C16,77:77)+100</f>
        <v>103</v>
      </c>
      <c r="I15" s="401"/>
      <c r="J15" s="400">
        <f>SUMIF(76:76,I16,77:77)-SUMIF(76:76,C16,77:77)+100</f>
        <v>103</v>
      </c>
      <c r="K15" s="404">
        <v>3</v>
      </c>
      <c r="L15" s="2951"/>
      <c r="M15" s="2945"/>
      <c r="N15" s="2945"/>
      <c r="O15" s="2945"/>
      <c r="P15" s="3441" t="s">
        <v>2380</v>
      </c>
      <c r="Q15" s="1537" t="str">
        <f t="shared" si="6"/>
        <v>居住社区成熟度</v>
      </c>
      <c r="R15" s="714" t="s">
        <v>21</v>
      </c>
      <c r="S15" s="715">
        <f t="shared" si="0"/>
        <v>103</v>
      </c>
      <c r="T15" s="714" t="s">
        <v>21</v>
      </c>
      <c r="U15" s="715">
        <f t="shared" si="1"/>
        <v>103</v>
      </c>
      <c r="V15" s="714" t="s">
        <v>21</v>
      </c>
      <c r="W15" s="715">
        <f t="shared" si="2"/>
        <v>103</v>
      </c>
      <c r="X15" s="1540"/>
      <c r="Y15" s="3434" t="s">
        <v>2380</v>
      </c>
      <c r="Z15" s="1541" t="str">
        <f t="shared" si="7"/>
        <v>居住社区成熟度</v>
      </c>
      <c r="AA15" s="1538">
        <f t="shared" si="3"/>
        <v>0.970873786407767</v>
      </c>
      <c r="AB15" s="1538">
        <f t="shared" si="4"/>
        <v>0.970873786407767</v>
      </c>
      <c r="AC15" s="1538">
        <f t="shared" si="5"/>
        <v>0.970873786407767</v>
      </c>
    </row>
    <row r="16" spans="1:29" ht="15">
      <c r="A16" s="387"/>
      <c r="B16" s="405"/>
      <c r="C16" s="406" t="s">
        <v>3136</v>
      </c>
      <c r="D16" s="407"/>
      <c r="E16" s="2084" t="s">
        <v>3137</v>
      </c>
      <c r="F16" s="407"/>
      <c r="G16" s="2085" t="s">
        <v>3137</v>
      </c>
      <c r="H16" s="409"/>
      <c r="I16" s="2085" t="s">
        <v>3137</v>
      </c>
      <c r="J16" s="407"/>
      <c r="K16" s="2086"/>
      <c r="L16" s="2951"/>
      <c r="M16" s="2945"/>
      <c r="N16" s="2945"/>
      <c r="O16" s="2945"/>
      <c r="P16" s="3442"/>
      <c r="Q16" s="1537"/>
      <c r="R16" s="714"/>
      <c r="S16" s="715"/>
      <c r="T16" s="714"/>
      <c r="U16" s="715"/>
      <c r="V16" s="714"/>
      <c r="W16" s="715"/>
      <c r="X16" s="1540"/>
      <c r="Y16" s="343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51"/>
      <c r="M17" s="2945"/>
      <c r="N17" s="2945"/>
      <c r="O17" s="2945"/>
      <c r="P17" s="3442"/>
      <c r="Q17" s="1537" t="str">
        <f>B17</f>
        <v>交通便捷度</v>
      </c>
      <c r="R17" s="714" t="s">
        <v>21</v>
      </c>
      <c r="S17" s="715">
        <f>F17</f>
        <v>100</v>
      </c>
      <c r="T17" s="714" t="s">
        <v>21</v>
      </c>
      <c r="U17" s="715">
        <f>H17</f>
        <v>100</v>
      </c>
      <c r="V17" s="714" t="s">
        <v>21</v>
      </c>
      <c r="W17" s="715">
        <f>J17</f>
        <v>100</v>
      </c>
      <c r="X17" s="1540"/>
      <c r="Y17" s="3435"/>
      <c r="Z17" s="1541" t="str">
        <f>Q17</f>
        <v>交通便捷度</v>
      </c>
      <c r="AA17" s="1538">
        <f t="shared" si="3"/>
        <v>1</v>
      </c>
      <c r="AB17" s="1538">
        <f t="shared" si="4"/>
        <v>1</v>
      </c>
      <c r="AC17" s="1538">
        <f t="shared" si="5"/>
        <v>1</v>
      </c>
    </row>
    <row r="18" spans="1:29" ht="15">
      <c r="A18" s="387"/>
      <c r="B18" s="415"/>
      <c r="C18" s="2088" t="s">
        <v>3136</v>
      </c>
      <c r="D18" s="409"/>
      <c r="E18" s="2089" t="s">
        <v>3136</v>
      </c>
      <c r="F18" s="409"/>
      <c r="G18" s="2090" t="s">
        <v>3136</v>
      </c>
      <c r="H18" s="407"/>
      <c r="I18" s="2090" t="s">
        <v>3136</v>
      </c>
      <c r="J18" s="407"/>
      <c r="K18" s="2086"/>
      <c r="L18" s="2951"/>
      <c r="M18" s="2945"/>
      <c r="N18" s="2945"/>
      <c r="O18" s="2945"/>
      <c r="P18" s="3442"/>
      <c r="Q18" s="1537"/>
      <c r="R18" s="714"/>
      <c r="S18" s="715"/>
      <c r="T18" s="714"/>
      <c r="U18" s="715"/>
      <c r="V18" s="714"/>
      <c r="W18" s="715"/>
      <c r="X18" s="1540"/>
      <c r="Y18" s="3435"/>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103</v>
      </c>
      <c r="G19" s="416"/>
      <c r="H19" s="409">
        <f>SUMIF(80:80,G20,81:81)-SUMIF(80:80,C20,81:81)+100</f>
        <v>103</v>
      </c>
      <c r="I19" s="416"/>
      <c r="J19" s="409">
        <f>SUMIF(80:80,I20,81:81)-SUMIF(80:80,C20,81:81)+100</f>
        <v>103</v>
      </c>
      <c r="K19" s="404">
        <v>3</v>
      </c>
      <c r="L19" s="2951"/>
      <c r="M19" s="2945"/>
      <c r="N19" s="2945"/>
      <c r="O19" s="2945"/>
      <c r="P19" s="3442"/>
      <c r="Q19" s="1537" t="str">
        <f>B19</f>
        <v>公共配套设施</v>
      </c>
      <c r="R19" s="714" t="s">
        <v>21</v>
      </c>
      <c r="S19" s="715">
        <f>F19</f>
        <v>103</v>
      </c>
      <c r="T19" s="714" t="s">
        <v>21</v>
      </c>
      <c r="U19" s="715">
        <f>H19</f>
        <v>103</v>
      </c>
      <c r="V19" s="714" t="s">
        <v>21</v>
      </c>
      <c r="W19" s="715">
        <f>J19</f>
        <v>103</v>
      </c>
      <c r="X19" s="1540"/>
      <c r="Y19" s="3435"/>
      <c r="Z19" s="1541" t="str">
        <f>Q19</f>
        <v>公共配套设施</v>
      </c>
      <c r="AA19" s="1538">
        <f t="shared" si="3"/>
        <v>0.970873786407767</v>
      </c>
      <c r="AB19" s="1538">
        <f t="shared" si="4"/>
        <v>0.970873786407767</v>
      </c>
      <c r="AC19" s="1538">
        <f t="shared" si="5"/>
        <v>0.970873786407767</v>
      </c>
    </row>
    <row r="20" spans="1:29" ht="15">
      <c r="A20" s="387"/>
      <c r="B20" s="415"/>
      <c r="C20" s="406" t="s">
        <v>3136</v>
      </c>
      <c r="D20" s="407"/>
      <c r="E20" s="2084" t="s">
        <v>3137</v>
      </c>
      <c r="F20" s="407"/>
      <c r="G20" s="2085" t="s">
        <v>3137</v>
      </c>
      <c r="H20" s="407"/>
      <c r="I20" s="2085" t="s">
        <v>3137</v>
      </c>
      <c r="J20" s="407"/>
      <c r="K20" s="2086"/>
      <c r="L20" s="2951"/>
      <c r="M20" s="2945"/>
      <c r="N20" s="2945"/>
      <c r="O20" s="2945"/>
      <c r="P20" s="3442"/>
      <c r="Q20" s="1537"/>
      <c r="R20" s="714"/>
      <c r="S20" s="715"/>
      <c r="T20" s="714"/>
      <c r="U20" s="715"/>
      <c r="V20" s="714"/>
      <c r="W20" s="715"/>
      <c r="X20" s="1540"/>
      <c r="Y20" s="3435"/>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42"/>
      <c r="Q21" s="1537" t="str">
        <f>B21</f>
        <v>基础设施水平</v>
      </c>
      <c r="R21" s="714" t="s">
        <v>17</v>
      </c>
      <c r="S21" s="715">
        <f>F21</f>
        <v>100</v>
      </c>
      <c r="T21" s="714" t="s">
        <v>17</v>
      </c>
      <c r="U21" s="715">
        <f>H21</f>
        <v>100</v>
      </c>
      <c r="V21" s="714" t="s">
        <v>17</v>
      </c>
      <c r="W21" s="715">
        <f>J21</f>
        <v>100</v>
      </c>
      <c r="X21" s="1540"/>
      <c r="Y21" s="3435"/>
      <c r="Z21" s="1541" t="str">
        <f>Q21</f>
        <v>基础设施水平</v>
      </c>
      <c r="AA21" s="1538">
        <f t="shared" ref="AA21" si="8">D21/F21</f>
        <v>1</v>
      </c>
      <c r="AB21" s="1538">
        <f t="shared" ref="AB21" si="9">D21/H21</f>
        <v>1</v>
      </c>
      <c r="AC21" s="1538">
        <f t="shared" ref="AC21" si="10">D21/J21</f>
        <v>1</v>
      </c>
    </row>
    <row r="22" spans="1:29" ht="15">
      <c r="A22" s="387"/>
      <c r="B22" s="1293"/>
      <c r="C22" s="2088" t="s">
        <v>3127</v>
      </c>
      <c r="D22" s="407"/>
      <c r="E22" s="406" t="s">
        <v>3127</v>
      </c>
      <c r="F22" s="407"/>
      <c r="G22" s="2091" t="s">
        <v>3127</v>
      </c>
      <c r="H22" s="407"/>
      <c r="I22" s="406" t="s">
        <v>3127</v>
      </c>
      <c r="J22" s="407"/>
      <c r="K22" s="2092"/>
      <c r="L22" s="2951"/>
      <c r="M22" s="2945"/>
      <c r="N22" s="2945"/>
      <c r="O22" s="2945"/>
      <c r="P22" s="3442"/>
      <c r="Q22" s="1537"/>
      <c r="R22" s="714"/>
      <c r="S22" s="715"/>
      <c r="T22" s="714"/>
      <c r="U22" s="715"/>
      <c r="V22" s="714"/>
      <c r="W22" s="715"/>
      <c r="X22" s="1540"/>
      <c r="Y22" s="3435"/>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42"/>
      <c r="Q23" s="1537" t="str">
        <f>B23</f>
        <v>自然及人文环境</v>
      </c>
      <c r="R23" s="714" t="s">
        <v>21</v>
      </c>
      <c r="S23" s="715">
        <f>F23</f>
        <v>100</v>
      </c>
      <c r="T23" s="714" t="s">
        <v>21</v>
      </c>
      <c r="U23" s="715">
        <f>H23</f>
        <v>100</v>
      </c>
      <c r="V23" s="714" t="s">
        <v>21</v>
      </c>
      <c r="W23" s="715">
        <f>J23</f>
        <v>100</v>
      </c>
      <c r="X23" s="1540"/>
      <c r="Y23" s="3435"/>
      <c r="Z23" s="1541" t="str">
        <f>Q23</f>
        <v>自然及人文环境</v>
      </c>
      <c r="AA23" s="1538">
        <f>D23/F23</f>
        <v>1</v>
      </c>
      <c r="AB23" s="1538">
        <f>D23/H23</f>
        <v>1</v>
      </c>
      <c r="AC23" s="1538">
        <f>D23/J23</f>
        <v>1</v>
      </c>
    </row>
    <row r="24" spans="1:29" ht="15.75" thickBot="1">
      <c r="A24" s="387"/>
      <c r="B24" s="415"/>
      <c r="C24" s="406" t="s">
        <v>3137</v>
      </c>
      <c r="D24" s="407"/>
      <c r="E24" s="2084" t="s">
        <v>3137</v>
      </c>
      <c r="F24" s="407"/>
      <c r="G24" s="2085" t="s">
        <v>3137</v>
      </c>
      <c r="H24" s="407"/>
      <c r="I24" s="2085" t="s">
        <v>3137</v>
      </c>
      <c r="J24" s="407"/>
      <c r="K24" s="2086"/>
      <c r="L24" s="2951"/>
      <c r="M24" s="2945"/>
      <c r="N24" s="2945"/>
      <c r="O24" s="2945"/>
      <c r="P24" s="3442"/>
      <c r="Q24" s="1537"/>
      <c r="R24" s="714"/>
      <c r="S24" s="715"/>
      <c r="T24" s="714"/>
      <c r="U24" s="715"/>
      <c r="V24" s="714"/>
      <c r="W24" s="715"/>
      <c r="X24" s="1540"/>
      <c r="Y24" s="3435"/>
      <c r="Z24" s="1541"/>
      <c r="AA24" s="1538">
        <v>1</v>
      </c>
      <c r="AB24" s="1538">
        <v>1</v>
      </c>
      <c r="AC24" s="1538">
        <v>1</v>
      </c>
    </row>
    <row r="25" spans="1:29" ht="15" hidden="1">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442"/>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435"/>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442"/>
      <c r="Q26" s="1537" t="str">
        <f t="shared" si="11"/>
        <v>朝向</v>
      </c>
      <c r="R26" s="714" t="s">
        <v>21</v>
      </c>
      <c r="S26" s="715">
        <f t="shared" si="12"/>
        <v>100</v>
      </c>
      <c r="T26" s="714" t="s">
        <v>21</v>
      </c>
      <c r="U26" s="715">
        <f t="shared" si="13"/>
        <v>100</v>
      </c>
      <c r="V26" s="714" t="s">
        <v>21</v>
      </c>
      <c r="W26" s="715">
        <f t="shared" si="14"/>
        <v>100</v>
      </c>
      <c r="X26" s="1540"/>
      <c r="Y26" s="3435"/>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442"/>
      <c r="Q27" s="1528">
        <f t="shared" si="11"/>
        <v>111</v>
      </c>
      <c r="R27" s="710" t="s">
        <v>21</v>
      </c>
      <c r="S27" s="711">
        <f t="shared" si="12"/>
        <v>100</v>
      </c>
      <c r="T27" s="710" t="s">
        <v>21</v>
      </c>
      <c r="U27" s="711">
        <f t="shared" si="13"/>
        <v>100</v>
      </c>
      <c r="V27" s="710" t="s">
        <v>21</v>
      </c>
      <c r="W27" s="711">
        <f t="shared" si="14"/>
        <v>100</v>
      </c>
      <c r="X27" s="712"/>
      <c r="Y27" s="3435"/>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442"/>
      <c r="Q28" s="1537">
        <f t="shared" si="11"/>
        <v>111</v>
      </c>
      <c r="R28" s="714" t="s">
        <v>21</v>
      </c>
      <c r="S28" s="715">
        <f t="shared" si="12"/>
        <v>100</v>
      </c>
      <c r="T28" s="714" t="s">
        <v>21</v>
      </c>
      <c r="U28" s="715">
        <f t="shared" si="13"/>
        <v>100</v>
      </c>
      <c r="V28" s="714" t="s">
        <v>21</v>
      </c>
      <c r="W28" s="715">
        <f t="shared" si="14"/>
        <v>100</v>
      </c>
      <c r="X28" s="1540"/>
      <c r="Y28" s="3435"/>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442"/>
      <c r="Q29" s="1537">
        <f t="shared" si="11"/>
        <v>111</v>
      </c>
      <c r="R29" s="714" t="s">
        <v>21</v>
      </c>
      <c r="S29" s="715">
        <f t="shared" si="12"/>
        <v>100</v>
      </c>
      <c r="T29" s="714" t="s">
        <v>21</v>
      </c>
      <c r="U29" s="715">
        <f t="shared" si="13"/>
        <v>100</v>
      </c>
      <c r="V29" s="714" t="s">
        <v>21</v>
      </c>
      <c r="W29" s="715">
        <f t="shared" si="14"/>
        <v>100</v>
      </c>
      <c r="X29" s="1540"/>
      <c r="Y29" s="3435"/>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442"/>
      <c r="Q30" s="1537">
        <f t="shared" si="11"/>
        <v>111</v>
      </c>
      <c r="R30" s="714" t="s">
        <v>21</v>
      </c>
      <c r="S30" s="715">
        <f t="shared" si="12"/>
        <v>100</v>
      </c>
      <c r="T30" s="714" t="s">
        <v>21</v>
      </c>
      <c r="U30" s="715">
        <f t="shared" si="13"/>
        <v>100</v>
      </c>
      <c r="V30" s="714" t="s">
        <v>21</v>
      </c>
      <c r="W30" s="715">
        <f t="shared" si="14"/>
        <v>100</v>
      </c>
      <c r="X30" s="1540"/>
      <c r="Y30" s="3435"/>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442"/>
      <c r="Q31" s="1537">
        <f t="shared" si="11"/>
        <v>111</v>
      </c>
      <c r="R31" s="714" t="s">
        <v>21</v>
      </c>
      <c r="S31" s="715">
        <f t="shared" si="12"/>
        <v>100</v>
      </c>
      <c r="T31" s="714" t="s">
        <v>21</v>
      </c>
      <c r="U31" s="715">
        <f t="shared" si="13"/>
        <v>100</v>
      </c>
      <c r="V31" s="714" t="s">
        <v>21</v>
      </c>
      <c r="W31" s="715">
        <f t="shared" si="14"/>
        <v>100</v>
      </c>
      <c r="X31" s="1540"/>
      <c r="Y31" s="3435"/>
      <c r="Z31" s="1541">
        <f t="shared" si="18"/>
        <v>111</v>
      </c>
      <c r="AA31" s="1538">
        <f t="shared" si="15"/>
        <v>1</v>
      </c>
      <c r="AB31" s="1538">
        <f t="shared" si="16"/>
        <v>1</v>
      </c>
      <c r="AC31" s="1538">
        <f t="shared" si="17"/>
        <v>1</v>
      </c>
    </row>
    <row r="32" spans="1:29" ht="15">
      <c r="A32" s="399" t="s">
        <v>2383</v>
      </c>
      <c r="B32" s="67" t="s">
        <v>2384</v>
      </c>
      <c r="C32" s="2097" t="s">
        <v>3120</v>
      </c>
      <c r="D32" s="426">
        <v>100</v>
      </c>
      <c r="E32" s="2098" t="s">
        <v>3120</v>
      </c>
      <c r="F32" s="420">
        <f>SUMIF(100:100,E32,101:101)-SUMIF(100:100,C32,101:101)+100</f>
        <v>100</v>
      </c>
      <c r="G32" s="2097" t="s">
        <v>3120</v>
      </c>
      <c r="H32" s="426">
        <f>SUMIF(100:100,G32,101:101)-SUMIF(100:100,C32,101:101)+100</f>
        <v>100</v>
      </c>
      <c r="I32" s="2098" t="s">
        <v>3120</v>
      </c>
      <c r="J32" s="394">
        <f>SUMIF(100:100,I32,101:101)-SUMIF(100:100,C32,101:101)+100</f>
        <v>100</v>
      </c>
      <c r="K32" s="385"/>
      <c r="L32" s="2951"/>
      <c r="M32" s="2945"/>
      <c r="N32" s="2945"/>
      <c r="O32" s="2945"/>
      <c r="P32" s="3436" t="s">
        <v>2385</v>
      </c>
      <c r="Q32" s="1537" t="str">
        <f t="shared" si="11"/>
        <v>建筑类型</v>
      </c>
      <c r="R32" s="714" t="s">
        <v>21</v>
      </c>
      <c r="S32" s="715">
        <f t="shared" si="12"/>
        <v>100</v>
      </c>
      <c r="T32" s="714" t="s">
        <v>21</v>
      </c>
      <c r="U32" s="715">
        <f t="shared" si="13"/>
        <v>100</v>
      </c>
      <c r="V32" s="714" t="s">
        <v>21</v>
      </c>
      <c r="W32" s="715">
        <f t="shared" si="14"/>
        <v>100</v>
      </c>
      <c r="X32" s="1540"/>
      <c r="Y32" s="3439" t="s">
        <v>2385</v>
      </c>
      <c r="Z32" s="1541" t="str">
        <f t="shared" si="18"/>
        <v>建筑类型</v>
      </c>
      <c r="AA32" s="1538">
        <f t="shared" si="15"/>
        <v>1</v>
      </c>
      <c r="AB32" s="1538">
        <f t="shared" si="16"/>
        <v>1</v>
      </c>
      <c r="AC32" s="1538">
        <f t="shared" si="17"/>
        <v>1</v>
      </c>
    </row>
    <row r="33" spans="1:29" s="430" customFormat="1" ht="15" hidden="1">
      <c r="A33" s="427"/>
      <c r="B33" s="381" t="s">
        <v>2386</v>
      </c>
      <c r="C33" s="428">
        <v>100000</v>
      </c>
      <c r="D33" s="132">
        <v>100</v>
      </c>
      <c r="E33" s="389">
        <v>100000</v>
      </c>
      <c r="F33" s="384">
        <f>LOOKUP(E33,103:103,104:104)-LOOKUP(C33,103:103,104:104)+100</f>
        <v>100</v>
      </c>
      <c r="G33" s="388">
        <v>100000</v>
      </c>
      <c r="H33" s="132">
        <f>LOOKUP(G33,103:103,104:104)-LOOKUP(C33,103:103,104:104)+100</f>
        <v>100</v>
      </c>
      <c r="I33" s="389">
        <v>100000</v>
      </c>
      <c r="J33" s="132">
        <f>LOOKUP(I33,103:103,104:104)-LOOKUP(C33,103:103,104:104)+100</f>
        <v>100</v>
      </c>
      <c r="K33" s="2081"/>
      <c r="L33" s="2950"/>
      <c r="M33" s="2952"/>
      <c r="N33" s="2952"/>
      <c r="O33" s="2952"/>
      <c r="P33" s="3437"/>
      <c r="Q33" s="716" t="str">
        <f t="shared" si="11"/>
        <v>项目建筑规模</v>
      </c>
      <c r="R33" s="717" t="s">
        <v>21</v>
      </c>
      <c r="S33" s="718">
        <f t="shared" si="12"/>
        <v>100</v>
      </c>
      <c r="T33" s="717" t="s">
        <v>21</v>
      </c>
      <c r="U33" s="718">
        <f t="shared" si="13"/>
        <v>100</v>
      </c>
      <c r="V33" s="717" t="s">
        <v>21</v>
      </c>
      <c r="W33" s="718">
        <f t="shared" si="14"/>
        <v>100</v>
      </c>
      <c r="X33" s="719"/>
      <c r="Y33" s="3439"/>
      <c r="Z33" s="720" t="str">
        <f t="shared" si="18"/>
        <v>项目建筑规模</v>
      </c>
      <c r="AA33" s="1538">
        <f t="shared" si="15"/>
        <v>1</v>
      </c>
      <c r="AB33" s="1538">
        <f t="shared" si="16"/>
        <v>1</v>
      </c>
      <c r="AC33" s="1538">
        <f t="shared" si="17"/>
        <v>1</v>
      </c>
    </row>
    <row r="34" spans="1:29" ht="15">
      <c r="A34" s="431"/>
      <c r="B34" s="381" t="s">
        <v>2387</v>
      </c>
      <c r="C34" s="2099" t="s">
        <v>3118</v>
      </c>
      <c r="D34" s="394">
        <v>100</v>
      </c>
      <c r="E34" s="2100" t="s">
        <v>3118</v>
      </c>
      <c r="F34" s="420">
        <f>SUMIF(105:105,E34,106:106)-SUMIF(105:105,C34,106:106)+100</f>
        <v>100</v>
      </c>
      <c r="G34" s="2099" t="s">
        <v>3118</v>
      </c>
      <c r="H34" s="394">
        <f>SUMIF(105:105,G34,106:106)-SUMIF(105:105,C34,106:106)+100</f>
        <v>100</v>
      </c>
      <c r="I34" s="2100" t="s">
        <v>3118</v>
      </c>
      <c r="J34" s="394">
        <f>SUMIF(105:105,I34,106:106)-SUMIF(105:105,C34,106:106)+100</f>
        <v>100</v>
      </c>
      <c r="K34" s="385">
        <v>2</v>
      </c>
      <c r="L34" s="2951"/>
      <c r="M34" s="2945"/>
      <c r="N34" s="2945"/>
      <c r="O34" s="2945"/>
      <c r="P34" s="3437"/>
      <c r="Q34" s="1537" t="str">
        <f t="shared" si="11"/>
        <v>建筑结构</v>
      </c>
      <c r="R34" s="714" t="s">
        <v>21</v>
      </c>
      <c r="S34" s="715">
        <f t="shared" si="12"/>
        <v>100</v>
      </c>
      <c r="T34" s="714" t="s">
        <v>21</v>
      </c>
      <c r="U34" s="715">
        <f t="shared" si="13"/>
        <v>100</v>
      </c>
      <c r="V34" s="714" t="s">
        <v>21</v>
      </c>
      <c r="W34" s="715">
        <f t="shared" si="14"/>
        <v>100</v>
      </c>
      <c r="X34" s="1540"/>
      <c r="Y34" s="3439"/>
      <c r="Z34" s="1541" t="str">
        <f t="shared" si="18"/>
        <v>建筑结构</v>
      </c>
      <c r="AA34" s="1538">
        <f t="shared" si="15"/>
        <v>1</v>
      </c>
      <c r="AB34" s="1538">
        <f t="shared" si="16"/>
        <v>1</v>
      </c>
      <c r="AC34" s="1538">
        <f t="shared" si="17"/>
        <v>1</v>
      </c>
    </row>
    <row r="35" spans="1:29" ht="15" hidden="1">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1"/>
      <c r="M35" s="2945"/>
      <c r="N35" s="2945"/>
      <c r="O35" s="2945"/>
      <c r="P35" s="3437"/>
      <c r="Q35" s="1537" t="str">
        <f t="shared" si="11"/>
        <v>建筑品质</v>
      </c>
      <c r="R35" s="714" t="s">
        <v>21</v>
      </c>
      <c r="S35" s="715">
        <f t="shared" si="12"/>
        <v>100</v>
      </c>
      <c r="T35" s="714" t="s">
        <v>21</v>
      </c>
      <c r="U35" s="715">
        <f t="shared" si="13"/>
        <v>100</v>
      </c>
      <c r="V35" s="714" t="s">
        <v>21</v>
      </c>
      <c r="W35" s="715">
        <f t="shared" si="14"/>
        <v>100</v>
      </c>
      <c r="X35" s="1540"/>
      <c r="Y35" s="3439"/>
      <c r="Z35" s="1541" t="str">
        <f t="shared" si="18"/>
        <v>建筑品质</v>
      </c>
      <c r="AA35" s="1538">
        <f t="shared" si="15"/>
        <v>1</v>
      </c>
      <c r="AB35" s="1538">
        <f t="shared" si="16"/>
        <v>1</v>
      </c>
      <c r="AC35" s="1538">
        <f t="shared" si="17"/>
        <v>1</v>
      </c>
    </row>
    <row r="36" spans="1:29" ht="15">
      <c r="A36" s="431"/>
      <c r="B36" s="381" t="s">
        <v>2389</v>
      </c>
      <c r="C36" s="2093" t="s">
        <v>3123</v>
      </c>
      <c r="D36" s="394">
        <v>100</v>
      </c>
      <c r="E36" s="2094" t="s">
        <v>3123</v>
      </c>
      <c r="F36" s="420">
        <f>SUMIF(109:109,E36,110:110)-SUMIF(109:109,C36,110:110)+100</f>
        <v>100</v>
      </c>
      <c r="G36" s="2093" t="s">
        <v>3123</v>
      </c>
      <c r="H36" s="394">
        <f>SUMIF(109:109,G36,110:110)-SUMIF(109:109,C36,110:110)+100</f>
        <v>100</v>
      </c>
      <c r="I36" s="2094" t="s">
        <v>3123</v>
      </c>
      <c r="J36" s="394">
        <f>SUMIF(109:109,I36,110:110)-SUMIF(109:109,C36,110:110)+100</f>
        <v>100</v>
      </c>
      <c r="K36" s="385"/>
      <c r="L36" s="2951"/>
      <c r="M36" s="2945"/>
      <c r="N36" s="2945"/>
      <c r="O36" s="2945"/>
      <c r="P36" s="3437"/>
      <c r="Q36" s="1537" t="str">
        <f t="shared" si="11"/>
        <v>公共部分装修</v>
      </c>
      <c r="R36" s="714" t="s">
        <v>21</v>
      </c>
      <c r="S36" s="715">
        <f t="shared" si="12"/>
        <v>100</v>
      </c>
      <c r="T36" s="714" t="s">
        <v>21</v>
      </c>
      <c r="U36" s="715">
        <f t="shared" si="13"/>
        <v>100</v>
      </c>
      <c r="V36" s="714" t="s">
        <v>21</v>
      </c>
      <c r="W36" s="715">
        <f t="shared" si="14"/>
        <v>100</v>
      </c>
      <c r="X36" s="1540"/>
      <c r="Y36" s="3439"/>
      <c r="Z36" s="1541" t="str">
        <f t="shared" si="18"/>
        <v>公共部分装修</v>
      </c>
      <c r="AA36" s="1538">
        <f t="shared" si="15"/>
        <v>1</v>
      </c>
      <c r="AB36" s="1538">
        <f t="shared" si="16"/>
        <v>1</v>
      </c>
      <c r="AC36" s="1538">
        <f t="shared" si="17"/>
        <v>1</v>
      </c>
    </row>
    <row r="37" spans="1:29" s="113" customFormat="1" ht="15" hidden="1">
      <c r="A37" s="432"/>
      <c r="B37" s="381" t="s">
        <v>2390</v>
      </c>
      <c r="C37" s="433">
        <f>'数据-取费表'!N6</f>
        <v>0.95</v>
      </c>
      <c r="D37" s="132">
        <v>100</v>
      </c>
      <c r="E37" s="433">
        <f>C37</f>
        <v>0.95</v>
      </c>
      <c r="F37" s="384">
        <f>LOOKUP(E37,112:112,113:113)-LOOKUP(C37,112:112,113:113)+100</f>
        <v>100</v>
      </c>
      <c r="G37" s="435">
        <f>C37</f>
        <v>0.95</v>
      </c>
      <c r="H37" s="132">
        <f>LOOKUP(G37,112:112,113:113)-LOOKUP(C37,112:112,113:113)+100</f>
        <v>100</v>
      </c>
      <c r="I37" s="434">
        <f>C37</f>
        <v>0.95</v>
      </c>
      <c r="J37" s="132">
        <f>LOOKUP(I37,112:112,113:113)-LOOKUP(C37,112:112,113:113)+100</f>
        <v>100</v>
      </c>
      <c r="K37" s="385"/>
      <c r="L37" s="2946"/>
      <c r="M37" s="2947"/>
      <c r="N37" s="2947"/>
      <c r="O37" s="2947"/>
      <c r="P37" s="3437"/>
      <c r="Q37" s="1528" t="str">
        <f t="shared" si="11"/>
        <v>成新度</v>
      </c>
      <c r="R37" s="710" t="s">
        <v>21</v>
      </c>
      <c r="S37" s="711">
        <f t="shared" si="12"/>
        <v>100</v>
      </c>
      <c r="T37" s="710" t="s">
        <v>21</v>
      </c>
      <c r="U37" s="711">
        <f t="shared" si="13"/>
        <v>100</v>
      </c>
      <c r="V37" s="710" t="s">
        <v>21</v>
      </c>
      <c r="W37" s="711">
        <f t="shared" si="14"/>
        <v>100</v>
      </c>
      <c r="X37" s="712"/>
      <c r="Y37" s="3439"/>
      <c r="Z37" s="55" t="str">
        <f t="shared" si="18"/>
        <v>成新度</v>
      </c>
      <c r="AA37" s="713">
        <f t="shared" si="15"/>
        <v>1</v>
      </c>
      <c r="AB37" s="713">
        <f t="shared" si="16"/>
        <v>1</v>
      </c>
      <c r="AC37" s="713">
        <f t="shared" si="17"/>
        <v>1</v>
      </c>
    </row>
    <row r="38" spans="1:29" ht="15">
      <c r="A38" s="431"/>
      <c r="B38" s="381" t="s">
        <v>2391</v>
      </c>
      <c r="C38" s="2093" t="s">
        <v>3125</v>
      </c>
      <c r="D38" s="394">
        <v>100</v>
      </c>
      <c r="E38" s="2094" t="s">
        <v>3125</v>
      </c>
      <c r="F38" s="420">
        <f>SUMIF(114:114,E38,115:115)-SUMIF(114:114,C38,115:115)+100</f>
        <v>100</v>
      </c>
      <c r="G38" s="2093" t="s">
        <v>3125</v>
      </c>
      <c r="H38" s="394">
        <f>SUMIF(114:114,G38,115:115)-SUMIF(114:114,C38,115:115)+100</f>
        <v>100</v>
      </c>
      <c r="I38" s="2094" t="s">
        <v>3125</v>
      </c>
      <c r="J38" s="394">
        <f>SUMIF(114:114,I38,115:115)-SUMIF(114:114,C38,115:115)+100</f>
        <v>100</v>
      </c>
      <c r="K38" s="385"/>
      <c r="L38" s="2951"/>
      <c r="M38" s="2945"/>
      <c r="N38" s="2945"/>
      <c r="O38" s="2945"/>
      <c r="P38" s="3437" t="s">
        <v>2385</v>
      </c>
      <c r="Q38" s="1537" t="str">
        <f t="shared" si="11"/>
        <v>物业管理</v>
      </c>
      <c r="R38" s="714" t="s">
        <v>21</v>
      </c>
      <c r="S38" s="715">
        <f t="shared" si="12"/>
        <v>100</v>
      </c>
      <c r="T38" s="714" t="s">
        <v>21</v>
      </c>
      <c r="U38" s="715">
        <f t="shared" si="13"/>
        <v>100</v>
      </c>
      <c r="V38" s="714" t="s">
        <v>21</v>
      </c>
      <c r="W38" s="715">
        <f t="shared" si="14"/>
        <v>100</v>
      </c>
      <c r="X38" s="1540"/>
      <c r="Y38" s="3439" t="s">
        <v>2385</v>
      </c>
      <c r="Z38" s="1541" t="str">
        <f t="shared" si="18"/>
        <v>物业管理</v>
      </c>
      <c r="AA38" s="1538">
        <f t="shared" si="15"/>
        <v>1</v>
      </c>
      <c r="AB38" s="1538">
        <f t="shared" si="16"/>
        <v>1</v>
      </c>
      <c r="AC38" s="1538">
        <f t="shared" si="17"/>
        <v>1</v>
      </c>
    </row>
    <row r="39" spans="1:29" ht="15">
      <c r="A39" s="431"/>
      <c r="B39" s="381" t="s">
        <v>2392</v>
      </c>
      <c r="C39" s="2093" t="s">
        <v>3129</v>
      </c>
      <c r="D39" s="394">
        <v>100</v>
      </c>
      <c r="E39" s="2094" t="s">
        <v>3127</v>
      </c>
      <c r="F39" s="420">
        <f>SUMIF(116:116,E39,117:117)-SUMIF(116:116,C39,117:117)+100</f>
        <v>105</v>
      </c>
      <c r="G39" s="2093" t="s">
        <v>3127</v>
      </c>
      <c r="H39" s="394">
        <f>SUMIF(116:116,G39,117:117)-SUMIF(116:116,C39,117:117)+100</f>
        <v>105</v>
      </c>
      <c r="I39" s="2094" t="s">
        <v>3127</v>
      </c>
      <c r="J39" s="394">
        <f>SUMIF(116:116,I39,117:117)-SUMIF(116:116,C39,117:117)+100</f>
        <v>105</v>
      </c>
      <c r="K39" s="385">
        <v>5</v>
      </c>
      <c r="L39" s="2951"/>
      <c r="M39" s="2945"/>
      <c r="N39" s="2945"/>
      <c r="O39" s="2945"/>
      <c r="P39" s="3437"/>
      <c r="Q39" s="1537" t="str">
        <f t="shared" si="11"/>
        <v>市政基础设施</v>
      </c>
      <c r="R39" s="714" t="s">
        <v>21</v>
      </c>
      <c r="S39" s="715">
        <f t="shared" si="12"/>
        <v>105</v>
      </c>
      <c r="T39" s="714" t="s">
        <v>21</v>
      </c>
      <c r="U39" s="715">
        <f t="shared" si="13"/>
        <v>105</v>
      </c>
      <c r="V39" s="714" t="s">
        <v>21</v>
      </c>
      <c r="W39" s="715">
        <f t="shared" si="14"/>
        <v>105</v>
      </c>
      <c r="X39" s="1540"/>
      <c r="Y39" s="3439"/>
      <c r="Z39" s="1541" t="str">
        <f t="shared" si="18"/>
        <v>市政基础设施</v>
      </c>
      <c r="AA39" s="1538">
        <f t="shared" si="15"/>
        <v>0.95238095238095233</v>
      </c>
      <c r="AB39" s="1538">
        <f t="shared" si="16"/>
        <v>0.95238095238095233</v>
      </c>
      <c r="AC39" s="1538">
        <f t="shared" si="17"/>
        <v>0.95238095238095233</v>
      </c>
    </row>
    <row r="40" spans="1:29" ht="15">
      <c r="A40" s="431"/>
      <c r="B40" s="381" t="s">
        <v>2393</v>
      </c>
      <c r="C40" s="2093" t="s">
        <v>3133</v>
      </c>
      <c r="D40" s="394">
        <v>100</v>
      </c>
      <c r="E40" s="2094" t="s">
        <v>3131</v>
      </c>
      <c r="F40" s="420">
        <f>SUMIF(118:118,E40,119:119)-SUMIF(118:118,C40,119:119)+100</f>
        <v>120</v>
      </c>
      <c r="G40" s="2093" t="s">
        <v>3131</v>
      </c>
      <c r="H40" s="394">
        <f>SUMIF(118:118,G40,119:119)-SUMIF(118:118,C40,119:119)+100</f>
        <v>120</v>
      </c>
      <c r="I40" s="2094" t="s">
        <v>3131</v>
      </c>
      <c r="J40" s="394">
        <f>SUMIF(118:118,I40,119:119)-SUMIF(118:118,C40,119:119)+100</f>
        <v>120</v>
      </c>
      <c r="K40" s="385">
        <v>20</v>
      </c>
      <c r="L40" s="2951"/>
      <c r="M40" s="2945"/>
      <c r="N40" s="2945"/>
      <c r="O40" s="2945"/>
      <c r="P40" s="3437"/>
      <c r="Q40" s="1537" t="str">
        <f t="shared" si="11"/>
        <v>房型</v>
      </c>
      <c r="R40" s="714" t="s">
        <v>21</v>
      </c>
      <c r="S40" s="715">
        <f t="shared" si="12"/>
        <v>120</v>
      </c>
      <c r="T40" s="714" t="s">
        <v>21</v>
      </c>
      <c r="U40" s="715">
        <f t="shared" si="13"/>
        <v>120</v>
      </c>
      <c r="V40" s="714" t="s">
        <v>21</v>
      </c>
      <c r="W40" s="715">
        <f t="shared" si="14"/>
        <v>120</v>
      </c>
      <c r="X40" s="1540"/>
      <c r="Y40" s="3439"/>
      <c r="Z40" s="1541" t="str">
        <f t="shared" si="18"/>
        <v>房型</v>
      </c>
      <c r="AA40" s="1538">
        <f t="shared" si="15"/>
        <v>0.83333333333333337</v>
      </c>
      <c r="AB40" s="1538">
        <f t="shared" si="16"/>
        <v>0.83333333333333337</v>
      </c>
      <c r="AC40" s="1538">
        <f t="shared" si="17"/>
        <v>0.83333333333333337</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0"/>
      <c r="M41" s="2952"/>
      <c r="N41" s="2952"/>
      <c r="O41" s="2952"/>
      <c r="P41" s="3437"/>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38">
        <f t="shared" si="15"/>
        <v>1</v>
      </c>
      <c r="AB41" s="1538">
        <f t="shared" si="16"/>
        <v>1</v>
      </c>
      <c r="AC41" s="1538">
        <f t="shared" si="17"/>
        <v>1</v>
      </c>
    </row>
    <row r="42" spans="1:29" ht="15">
      <c r="A42" s="431"/>
      <c r="B42" s="381" t="s">
        <v>2395</v>
      </c>
      <c r="C42" s="2093" t="s">
        <v>3123</v>
      </c>
      <c r="D42" s="394">
        <v>100</v>
      </c>
      <c r="E42" s="2094" t="s">
        <v>3123</v>
      </c>
      <c r="F42" s="420">
        <f>SUMIF(122:122,E42,123:123)-SUMIF(122:122,C42,123:123)+100</f>
        <v>100</v>
      </c>
      <c r="G42" s="2093" t="s">
        <v>3123</v>
      </c>
      <c r="H42" s="394">
        <f>SUMIF(122:122,G42,123:123)-SUMIF(122:122,C42,123:123)+100</f>
        <v>100</v>
      </c>
      <c r="I42" s="2094" t="s">
        <v>3123</v>
      </c>
      <c r="J42" s="394">
        <f>SUMIF(122:122,I42,123:123)-SUMIF(122:122,C42,123:123)+100</f>
        <v>100</v>
      </c>
      <c r="K42" s="385"/>
      <c r="L42" s="2951"/>
      <c r="M42" s="2945"/>
      <c r="N42" s="2945"/>
      <c r="O42" s="2945"/>
      <c r="P42" s="3437"/>
      <c r="Q42" s="1537" t="str">
        <f t="shared" si="11"/>
        <v>内部装修</v>
      </c>
      <c r="R42" s="714" t="s">
        <v>21</v>
      </c>
      <c r="S42" s="715">
        <f t="shared" si="12"/>
        <v>100</v>
      </c>
      <c r="T42" s="714" t="s">
        <v>21</v>
      </c>
      <c r="U42" s="715">
        <f t="shared" si="13"/>
        <v>100</v>
      </c>
      <c r="V42" s="714" t="s">
        <v>21</v>
      </c>
      <c r="W42" s="715">
        <f t="shared" si="14"/>
        <v>100</v>
      </c>
      <c r="X42" s="1540"/>
      <c r="Y42" s="3439"/>
      <c r="Z42" s="1541" t="str">
        <f t="shared" si="18"/>
        <v>内部装修</v>
      </c>
      <c r="AA42" s="1538">
        <f t="shared" si="15"/>
        <v>1</v>
      </c>
      <c r="AB42" s="1538">
        <f t="shared" si="16"/>
        <v>1</v>
      </c>
      <c r="AC42" s="1538">
        <f t="shared" si="17"/>
        <v>1</v>
      </c>
    </row>
    <row r="43" spans="1:29" ht="15">
      <c r="A43" s="431"/>
      <c r="B43" s="381" t="s">
        <v>2396</v>
      </c>
      <c r="C43" s="2093" t="s">
        <v>3137</v>
      </c>
      <c r="D43" s="394">
        <v>100</v>
      </c>
      <c r="E43" s="2094" t="s">
        <v>3137</v>
      </c>
      <c r="F43" s="420">
        <f>SUMIF(124:124,E43,125:125)-SUMIF(124:124,C43,125:125)+100</f>
        <v>100</v>
      </c>
      <c r="G43" s="2093" t="s">
        <v>3137</v>
      </c>
      <c r="H43" s="394">
        <f>SUMIF(124:124,G43,125:125)-SUMIF(124:124,C43,125:125)+100</f>
        <v>100</v>
      </c>
      <c r="I43" s="2094" t="s">
        <v>3137</v>
      </c>
      <c r="J43" s="394">
        <f>SUMIF(124:124,I43,125:125)-SUMIF(124:124,C43,125:125)+100</f>
        <v>100</v>
      </c>
      <c r="K43" s="385"/>
      <c r="L43" s="2951"/>
      <c r="M43" s="2945"/>
      <c r="N43" s="2945"/>
      <c r="O43" s="2945"/>
      <c r="P43" s="3437"/>
      <c r="Q43" s="1537" t="str">
        <f t="shared" si="11"/>
        <v>内部装修维护情况</v>
      </c>
      <c r="R43" s="714" t="s">
        <v>21</v>
      </c>
      <c r="S43" s="715">
        <f t="shared" si="12"/>
        <v>100</v>
      </c>
      <c r="T43" s="714" t="s">
        <v>21</v>
      </c>
      <c r="U43" s="715">
        <f t="shared" si="13"/>
        <v>100</v>
      </c>
      <c r="V43" s="714" t="s">
        <v>21</v>
      </c>
      <c r="W43" s="715">
        <f t="shared" si="14"/>
        <v>100</v>
      </c>
      <c r="X43" s="1540"/>
      <c r="Y43" s="3439"/>
      <c r="Z43" s="1541" t="str">
        <f t="shared" si="18"/>
        <v>内部装修维护情况</v>
      </c>
      <c r="AA43" s="1538">
        <f t="shared" si="15"/>
        <v>1</v>
      </c>
      <c r="AB43" s="1538">
        <f t="shared" si="16"/>
        <v>1</v>
      </c>
      <c r="AC43" s="1538">
        <f t="shared" si="17"/>
        <v>1</v>
      </c>
    </row>
    <row r="44" spans="1:29" s="113" customFormat="1" ht="15">
      <c r="A44" s="432"/>
      <c r="B44" s="3060" t="s">
        <v>3116</v>
      </c>
      <c r="C44" s="428">
        <v>2020</v>
      </c>
      <c r="D44" s="132">
        <v>100</v>
      </c>
      <c r="E44" s="428">
        <v>2001</v>
      </c>
      <c r="F44" s="384">
        <f>SUMIF(126:126,E44,127:127)-SUMIF(126:126,C44,127:127)+100</f>
        <v>98</v>
      </c>
      <c r="G44" s="428">
        <v>2001</v>
      </c>
      <c r="H44" s="132">
        <f>SUMIF(126:126,G44,127:127)-SUMIF(126:126,C44,127:127)+100</f>
        <v>98</v>
      </c>
      <c r="I44" s="428">
        <v>1998</v>
      </c>
      <c r="J44" s="132">
        <f>SUMIF(126:126,I44,127:127)-SUMIF(126:126,C44,127:127)+100</f>
        <v>98</v>
      </c>
      <c r="K44" s="2081"/>
      <c r="L44" s="2946"/>
      <c r="M44" s="2947"/>
      <c r="N44" s="2947"/>
      <c r="O44" s="2947"/>
      <c r="P44" s="3437"/>
      <c r="Q44" s="1528" t="str">
        <f t="shared" si="11"/>
        <v>建成年代</v>
      </c>
      <c r="R44" s="710" t="s">
        <v>21</v>
      </c>
      <c r="S44" s="711">
        <f t="shared" si="12"/>
        <v>98</v>
      </c>
      <c r="T44" s="710" t="s">
        <v>21</v>
      </c>
      <c r="U44" s="711">
        <f t="shared" si="13"/>
        <v>98</v>
      </c>
      <c r="V44" s="710" t="s">
        <v>21</v>
      </c>
      <c r="W44" s="711">
        <f t="shared" si="14"/>
        <v>98</v>
      </c>
      <c r="X44" s="712"/>
      <c r="Y44" s="3439"/>
      <c r="Z44" s="55" t="str">
        <f t="shared" si="18"/>
        <v>建成年代</v>
      </c>
      <c r="AA44" s="713">
        <f t="shared" si="15"/>
        <v>1.0204081632653061</v>
      </c>
      <c r="AB44" s="713">
        <f t="shared" si="16"/>
        <v>1.0204081632653061</v>
      </c>
      <c r="AC44" s="713">
        <f t="shared" si="17"/>
        <v>1.0204081632653061</v>
      </c>
    </row>
    <row r="45" spans="1:29" ht="15.75" thickBot="1">
      <c r="A45" s="431"/>
      <c r="B45" s="3060" t="s">
        <v>3138</v>
      </c>
      <c r="C45" s="3064" t="s">
        <v>3139</v>
      </c>
      <c r="D45" s="394">
        <v>100</v>
      </c>
      <c r="E45" s="3064" t="s">
        <v>3140</v>
      </c>
      <c r="F45" s="420">
        <f>SUMIF(128:128,E45,129:129)-SUMIF(128:128,C45,129:129)+100</f>
        <v>98</v>
      </c>
      <c r="G45" s="393" t="str">
        <f>E45</f>
        <v>否</v>
      </c>
      <c r="H45" s="394">
        <f>SUMIF(128:128,G45,129:129)-SUMIF(128:128,C45,129:129)+100</f>
        <v>98</v>
      </c>
      <c r="I45" s="393" t="str">
        <f>E45</f>
        <v>否</v>
      </c>
      <c r="J45" s="394">
        <f>SUMIF(128:128,I45,129:129)-SUMIF(128:128,C45,129:129)+100</f>
        <v>98</v>
      </c>
      <c r="K45" s="2081"/>
      <c r="L45" s="2951"/>
      <c r="M45" s="2945"/>
      <c r="N45" s="2945"/>
      <c r="O45" s="2945"/>
      <c r="P45" s="3437"/>
      <c r="Q45" s="1537" t="str">
        <f t="shared" si="11"/>
        <v>电梯</v>
      </c>
      <c r="R45" s="714" t="s">
        <v>21</v>
      </c>
      <c r="S45" s="715">
        <f t="shared" si="12"/>
        <v>98</v>
      </c>
      <c r="T45" s="714" t="s">
        <v>21</v>
      </c>
      <c r="U45" s="715">
        <f t="shared" si="13"/>
        <v>98</v>
      </c>
      <c r="V45" s="714" t="s">
        <v>21</v>
      </c>
      <c r="W45" s="715">
        <f t="shared" si="14"/>
        <v>98</v>
      </c>
      <c r="X45" s="1540"/>
      <c r="Y45" s="3439"/>
      <c r="Z45" s="1541" t="str">
        <f t="shared" si="18"/>
        <v>电梯</v>
      </c>
      <c r="AA45" s="1538">
        <f t="shared" si="15"/>
        <v>1.0204081632653061</v>
      </c>
      <c r="AB45" s="1538">
        <f t="shared" si="16"/>
        <v>1.0204081632653061</v>
      </c>
      <c r="AC45" s="1538">
        <f t="shared" si="17"/>
        <v>1.0204081632653061</v>
      </c>
    </row>
    <row r="46" spans="1:29" ht="15.75" hidden="1"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438"/>
      <c r="Q46" s="1537">
        <f t="shared" si="11"/>
        <v>111</v>
      </c>
      <c r="R46" s="714" t="s">
        <v>20</v>
      </c>
      <c r="S46" s="715">
        <f t="shared" si="12"/>
        <v>100</v>
      </c>
      <c r="T46" s="714" t="s">
        <v>20</v>
      </c>
      <c r="U46" s="715">
        <f t="shared" si="13"/>
        <v>100</v>
      </c>
      <c r="V46" s="714" t="s">
        <v>20</v>
      </c>
      <c r="W46" s="715">
        <f t="shared" si="14"/>
        <v>100</v>
      </c>
      <c r="X46" s="1540"/>
      <c r="Y46" s="3440"/>
      <c r="Z46" s="1541">
        <f t="shared" si="18"/>
        <v>111</v>
      </c>
      <c r="AA46" s="1538">
        <f t="shared" si="15"/>
        <v>1</v>
      </c>
      <c r="AB46" s="1538">
        <f t="shared" si="16"/>
        <v>1</v>
      </c>
      <c r="AC46" s="1538">
        <f t="shared" si="17"/>
        <v>1</v>
      </c>
    </row>
    <row r="47" spans="1:29" ht="15">
      <c r="A47" s="438" t="s">
        <v>2397</v>
      </c>
      <c r="B47" s="439"/>
      <c r="C47" s="1316" t="s">
        <v>19</v>
      </c>
      <c r="D47" s="1317"/>
      <c r="E47" s="1318">
        <v>47</v>
      </c>
      <c r="F47" s="1319"/>
      <c r="G47" s="1320">
        <v>50</v>
      </c>
      <c r="H47" s="1321"/>
      <c r="I47" s="1318">
        <v>44</v>
      </c>
      <c r="J47" s="1321"/>
      <c r="K47" s="2101"/>
      <c r="L47" s="2953"/>
      <c r="M47" s="2954"/>
      <c r="N47" s="2945"/>
      <c r="O47" s="2954"/>
      <c r="P47" s="3432" t="str">
        <f>A47</f>
        <v>成交单价（元/平方米）</v>
      </c>
      <c r="Q47" s="3432"/>
      <c r="R47" s="3433">
        <f>E47</f>
        <v>47</v>
      </c>
      <c r="S47" s="3433"/>
      <c r="T47" s="3433">
        <f>G47</f>
        <v>50</v>
      </c>
      <c r="U47" s="3433"/>
      <c r="V47" s="3433">
        <f>I47</f>
        <v>44</v>
      </c>
      <c r="W47" s="3433"/>
      <c r="X47" s="699"/>
      <c r="Y47" s="721"/>
      <c r="Z47" s="699"/>
      <c r="AA47" s="699"/>
      <c r="AB47" s="699"/>
      <c r="AC47" s="699"/>
    </row>
    <row r="48" spans="1:29" ht="15.75" thickBot="1">
      <c r="A48" s="445" t="s">
        <v>2398</v>
      </c>
      <c r="B48" s="446"/>
      <c r="C48" s="1322">
        <f>R49</f>
        <v>36.6</v>
      </c>
      <c r="D48" s="2539" t="s">
        <v>2877</v>
      </c>
      <c r="E48" s="1323">
        <f>R48</f>
        <v>36.6</v>
      </c>
      <c r="F48" s="2540"/>
      <c r="G48" s="1322">
        <f>T48</f>
        <v>38.9</v>
      </c>
      <c r="H48" s="2540"/>
      <c r="I48" s="1323">
        <f>V48</f>
        <v>34.299999999999997</v>
      </c>
      <c r="J48" s="2540"/>
      <c r="K48" s="2541">
        <f>F48+H48+J48</f>
        <v>0</v>
      </c>
      <c r="L48" s="2953"/>
      <c r="M48" s="2954"/>
      <c r="N48" s="2954"/>
      <c r="O48" s="2954"/>
      <c r="P48" s="3432" t="str">
        <f>A48</f>
        <v>比较价值（元/平方米）</v>
      </c>
      <c r="Q48" s="3432"/>
      <c r="R48" s="3433">
        <f>IF(F1="售价",ROUND(PRODUCT(R47,AA7:AA46),0),ROUND(PRODUCT(R47,AA7:AA46),1))</f>
        <v>36.6</v>
      </c>
      <c r="S48" s="3433"/>
      <c r="T48" s="3433">
        <f>IF(F1="售价",ROUND(PRODUCT(T47,AB7:AB46),0),ROUND(PRODUCT(T47,AB7:AB46),1))</f>
        <v>38.9</v>
      </c>
      <c r="U48" s="3433"/>
      <c r="V48" s="3433">
        <f>IF(F1="售价",ROUND(PRODUCT(V47,AC7:AC46),0),ROUND(PRODUCT(V47,AC7:AC46),1))</f>
        <v>34.299999999999997</v>
      </c>
      <c r="W48" s="3433"/>
      <c r="X48" s="699"/>
      <c r="Y48" s="699"/>
      <c r="Z48" s="699"/>
      <c r="AA48" s="699"/>
      <c r="AB48" s="699"/>
      <c r="AC48" s="699"/>
    </row>
    <row r="49" spans="1:29" ht="15.75" thickBot="1">
      <c r="A49" s="449" t="s">
        <v>3143</v>
      </c>
      <c r="B49" s="450"/>
      <c r="C49" s="1324">
        <f>R49</f>
        <v>36.6</v>
      </c>
      <c r="D49" s="1325"/>
      <c r="E49" s="1325"/>
      <c r="F49" s="1325"/>
      <c r="G49" s="1325"/>
      <c r="H49" s="1325"/>
      <c r="I49" s="1325"/>
      <c r="J49" s="1325"/>
      <c r="K49" s="2102"/>
      <c r="L49" s="2953"/>
      <c r="M49" s="2954"/>
      <c r="N49" s="2954"/>
      <c r="O49" s="2954"/>
      <c r="P49" s="3429" t="str">
        <f>A49</f>
        <v>估价对象住宅用房的比较价值（楼面单价，元/平方米）</v>
      </c>
      <c r="Q49" s="3430"/>
      <c r="R49" s="3431">
        <f>IF(F1="售价",ROUND(IF(D48="简单平均",AVERAGE(R48:V48),R48*F48+T48*H48+V48*J48),0),ROUND(IF(D48="简单平均",AVERAGE(R48:V48),R48*F48+T48*H48+V48*J48),1))</f>
        <v>36.6</v>
      </c>
      <c r="S49" s="3431"/>
      <c r="T49" s="3431"/>
      <c r="U49" s="3431"/>
      <c r="V49" s="3431"/>
      <c r="W49" s="343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f>IF(E47&lt;E48,E48/E47-1,E47/E48-1)</f>
        <v>0.28415300546448075</v>
      </c>
      <c r="F52" s="457" t="str">
        <f>IF(OR(E52&gt;=0.3,E52&lt;=-0.3),"超过30%","")</f>
        <v/>
      </c>
      <c r="G52" s="456">
        <f>IF(G47&lt;G48,G48/G47-1,G47/G48-1)</f>
        <v>0.28534704370179953</v>
      </c>
      <c r="H52" s="457" t="str">
        <f>IF(OR(G52&gt;=0.3,G52&lt;=-0.3),"超过30%","")</f>
        <v/>
      </c>
      <c r="I52" s="456">
        <f>IF(I47&lt;I48,I48/I47-1,I47/I48-1)</f>
        <v>0.28279883381924198</v>
      </c>
      <c r="J52" s="457" t="str">
        <f>IF(OR(I52&gt;=0.3,I52&lt;=-0.3),"超过30%","")</f>
        <v/>
      </c>
      <c r="K52" s="2959"/>
      <c r="L52" s="2955"/>
      <c r="M52" s="2954"/>
      <c r="N52" s="2954"/>
      <c r="O52" s="2954"/>
    </row>
    <row r="53" spans="1:29" ht="13.5" customHeight="1">
      <c r="A53" s="2954"/>
      <c r="B53" s="2954"/>
      <c r="C53" s="454" t="s">
        <v>2400</v>
      </c>
      <c r="D53" s="458"/>
      <c r="E53" s="456">
        <f>IF(E48&lt;G48,G48/E48-1,E48/G48-1)</f>
        <v>6.2841530054644767E-2</v>
      </c>
      <c r="F53" s="457" t="str">
        <f>IF(OR(E53&gt;=0.2,E53&lt;=-0.2),"超过20%","")</f>
        <v/>
      </c>
      <c r="G53" s="456">
        <f>IF(G48&lt;I48,I48/G48-1,G48/I48-1)</f>
        <v>0.13411078717201175</v>
      </c>
      <c r="H53" s="457" t="str">
        <f>IF(OR(G53&gt;=0.2,G53&lt;=-0.2),"超过20%","")</f>
        <v/>
      </c>
      <c r="I53" s="456">
        <f>IF(I48&lt;E48,E48/I48-1,I48/E48-1)</f>
        <v>6.7055393586005874E-2</v>
      </c>
      <c r="J53" s="457" t="str">
        <f>IF(OR(I53&gt;=0.2,I53&lt;=-0.2),"超过20%","")</f>
        <v/>
      </c>
      <c r="K53" s="2959"/>
      <c r="L53" s="2955"/>
      <c r="M53" s="2954"/>
      <c r="N53" s="2954"/>
      <c r="O53" s="2954"/>
    </row>
    <row r="54" spans="1:29" s="459" customFormat="1" ht="13.5" customHeight="1">
      <c r="A54" s="2957"/>
      <c r="B54" s="2957"/>
      <c r="C54" s="454" t="s">
        <v>2401</v>
      </c>
      <c r="D54" s="458"/>
      <c r="E54" s="456">
        <f>IF(E47&lt;G47,G47/E47-1,E47/G47-1)</f>
        <v>6.3829787234042534E-2</v>
      </c>
      <c r="F54" s="457" t="str">
        <f>IF(OR(E54&gt;=0.3,E54&lt;=-0.3),"超过30%","")</f>
        <v/>
      </c>
      <c r="G54" s="456">
        <f>IF(G47&lt;I47,I47/G47-1,G47/I47-1)</f>
        <v>0.13636363636363646</v>
      </c>
      <c r="H54" s="457" t="str">
        <f>IF(OR(G54&gt;=0.3,G54&lt;=-0.3),"超过30%","")</f>
        <v/>
      </c>
      <c r="I54" s="456">
        <f>IF(I47&lt;E47,E47/I47-1,I47/E47-1)</f>
        <v>6.8181818181818121E-2</v>
      </c>
      <c r="J54" s="457" t="str">
        <f>IF(OR(I54&gt;=0.3,I54&lt;=-0.3),"超过30%","")</f>
        <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5"/>
      <c r="Q57" s="461"/>
    </row>
    <row r="58" spans="1:29" s="465" customFormat="1" ht="15">
      <c r="A58" s="462" t="s">
        <v>2403</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2404</v>
      </c>
      <c r="B60" s="473"/>
      <c r="C60" s="474"/>
      <c r="D60" s="475"/>
      <c r="E60" s="475"/>
      <c r="F60" s="475"/>
      <c r="G60" s="475"/>
      <c r="H60" s="475"/>
      <c r="I60" s="475"/>
      <c r="J60" s="475"/>
      <c r="K60" s="475"/>
      <c r="L60" s="475"/>
      <c r="M60" s="476"/>
      <c r="N60" s="475"/>
      <c r="O60" s="476"/>
      <c r="P60" s="2107"/>
      <c r="Q60" s="461"/>
    </row>
    <row r="61" spans="1:29" s="113" customFormat="1" ht="15">
      <c r="A61" s="478" t="s">
        <v>2405</v>
      </c>
      <c r="B61" s="467"/>
      <c r="C61" s="479" t="s">
        <v>2406</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2407</v>
      </c>
      <c r="B63" s="485" t="s">
        <v>2374</v>
      </c>
      <c r="C63" s="486" t="str">
        <f>C9</f>
        <v>住宅</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2408</v>
      </c>
      <c r="D65" s="496" t="s">
        <v>2409</v>
      </c>
      <c r="E65" s="496" t="s">
        <v>2410</v>
      </c>
      <c r="F65" s="496" t="s">
        <v>2411</v>
      </c>
      <c r="G65" s="496" t="s">
        <v>2412</v>
      </c>
      <c r="H65" s="496" t="s">
        <v>2413</v>
      </c>
      <c r="I65" s="496" t="s">
        <v>2414</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1（含）-3</v>
      </c>
      <c r="D67" s="504" t="str">
        <f t="shared" ref="D67:L67" si="21">D68&amp;"（含）"&amp;"-"&amp;E68</f>
        <v>3（含）-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v>1</v>
      </c>
      <c r="D68" s="506">
        <v>3</v>
      </c>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2415</v>
      </c>
      <c r="C76" s="530" t="s">
        <v>2416</v>
      </c>
      <c r="D76" s="530" t="s">
        <v>2417</v>
      </c>
      <c r="E76" s="530" t="s">
        <v>2418</v>
      </c>
      <c r="F76" s="530" t="s">
        <v>2419</v>
      </c>
      <c r="G76" s="530" t="s">
        <v>2420</v>
      </c>
      <c r="H76" s="486"/>
      <c r="I76" s="486"/>
      <c r="J76" s="486"/>
      <c r="K76" s="531"/>
      <c r="L76" s="532"/>
      <c r="M76" s="533"/>
      <c r="N76" s="1064"/>
      <c r="O76" s="1064"/>
      <c r="P76" s="2113"/>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9"/>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9"/>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9"/>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9"/>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9"/>
      <c r="Q81" s="461"/>
    </row>
    <row r="82" spans="1:17" ht="15.75" thickTop="1">
      <c r="A82" s="491"/>
      <c r="B82" s="503" t="s">
        <v>1946</v>
      </c>
      <c r="C82" s="496" t="s">
        <v>2423</v>
      </c>
      <c r="D82" s="496" t="s">
        <v>2424</v>
      </c>
      <c r="E82" s="496" t="s">
        <v>2425</v>
      </c>
      <c r="F82" s="496" t="s">
        <v>2426</v>
      </c>
      <c r="G82" s="496" t="s">
        <v>2427</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hidden="1" thickTop="1">
      <c r="A86" s="536"/>
      <c r="B86" s="495" t="s">
        <v>2429</v>
      </c>
      <c r="C86" s="511"/>
      <c r="D86" s="511"/>
      <c r="E86" s="511"/>
      <c r="F86" s="511"/>
      <c r="G86" s="511"/>
      <c r="H86" s="511"/>
      <c r="I86" s="511"/>
      <c r="J86" s="511"/>
      <c r="K86" s="511"/>
      <c r="L86" s="537"/>
      <c r="M86" s="538"/>
      <c r="N86" s="1063"/>
      <c r="O86" s="1063"/>
      <c r="P86" s="2109"/>
      <c r="Q86" s="461"/>
    </row>
    <row r="87" spans="1:17" s="113" customFormat="1" ht="15.75" hidden="1"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hidden="1" thickTop="1">
      <c r="A88" s="536"/>
      <c r="B88" s="495" t="s">
        <v>2430</v>
      </c>
      <c r="C88" s="511"/>
      <c r="D88" s="511"/>
      <c r="E88" s="511"/>
      <c r="F88" s="2114"/>
      <c r="G88" s="511"/>
      <c r="H88" s="511"/>
      <c r="I88" s="511"/>
      <c r="J88" s="511"/>
      <c r="K88" s="511"/>
      <c r="L88" s="511"/>
      <c r="M88" s="538"/>
      <c r="N88" s="1063"/>
      <c r="O88" s="1063"/>
      <c r="P88" s="2109"/>
      <c r="Q88" s="461"/>
    </row>
    <row r="89" spans="1:17" s="113" customFormat="1" ht="15.75" hidden="1"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hidden="1" thickTop="1">
      <c r="A90" s="510"/>
      <c r="B90" s="495">
        <f>B27</f>
        <v>111</v>
      </c>
      <c r="C90" s="511"/>
      <c r="D90" s="511"/>
      <c r="E90" s="511"/>
      <c r="F90" s="511"/>
      <c r="G90" s="511"/>
      <c r="H90" s="512"/>
      <c r="I90" s="512"/>
      <c r="J90" s="512"/>
      <c r="K90" s="512"/>
      <c r="L90" s="513"/>
      <c r="M90" s="514"/>
      <c r="N90" s="1066"/>
      <c r="O90" s="1066"/>
      <c r="P90" s="2110"/>
      <c r="Q90" s="516"/>
    </row>
    <row r="91" spans="1:17" s="430" customFormat="1" ht="15.75" hidden="1" thickBot="1">
      <c r="A91" s="510"/>
      <c r="B91" s="500"/>
      <c r="C91" s="517"/>
      <c r="D91" s="517"/>
      <c r="E91" s="517"/>
      <c r="F91" s="517"/>
      <c r="G91" s="517"/>
      <c r="H91" s="519"/>
      <c r="I91" s="519"/>
      <c r="J91" s="519"/>
      <c r="K91" s="519"/>
      <c r="L91" s="519"/>
      <c r="M91" s="520"/>
      <c r="N91" s="1066"/>
      <c r="O91" s="1066"/>
      <c r="P91" s="2110"/>
      <c r="Q91" s="516"/>
    </row>
    <row r="92" spans="1:17" ht="15.75" hidden="1" thickTop="1">
      <c r="A92" s="491"/>
      <c r="B92" s="495">
        <f>B28</f>
        <v>111</v>
      </c>
      <c r="C92" s="511"/>
      <c r="D92" s="511"/>
      <c r="E92" s="511"/>
      <c r="F92" s="511"/>
      <c r="G92" s="540"/>
      <c r="H92" s="540"/>
      <c r="I92" s="540"/>
      <c r="J92" s="540"/>
      <c r="K92" s="541"/>
      <c r="L92" s="542"/>
      <c r="M92" s="543"/>
      <c r="N92" s="1064"/>
      <c r="O92" s="1064"/>
      <c r="P92" s="2109"/>
      <c r="Q92" s="461"/>
    </row>
    <row r="93" spans="1:17" ht="15.75" hidden="1" thickBot="1">
      <c r="A93" s="491"/>
      <c r="B93" s="500"/>
      <c r="C93" s="517"/>
      <c r="D93" s="493"/>
      <c r="E93" s="493"/>
      <c r="F93" s="493"/>
      <c r="G93" s="493"/>
      <c r="H93" s="493"/>
      <c r="I93" s="493"/>
      <c r="J93" s="493"/>
      <c r="K93" s="493"/>
      <c r="L93" s="493"/>
      <c r="M93" s="494"/>
      <c r="N93" s="1065"/>
      <c r="O93" s="1065"/>
      <c r="P93" s="2109"/>
      <c r="Q93" s="461"/>
    </row>
    <row r="94" spans="1:17" ht="15.75" hidden="1" thickTop="1">
      <c r="A94" s="491"/>
      <c r="B94" s="495">
        <f>B29</f>
        <v>111</v>
      </c>
      <c r="C94" s="511"/>
      <c r="D94" s="511"/>
      <c r="E94" s="511"/>
      <c r="F94" s="511"/>
      <c r="G94" s="540"/>
      <c r="H94" s="540"/>
      <c r="I94" s="540"/>
      <c r="J94" s="540"/>
      <c r="K94" s="541"/>
      <c r="L94" s="542"/>
      <c r="M94" s="543"/>
      <c r="N94" s="1064"/>
      <c r="O94" s="1064"/>
      <c r="P94" s="2109"/>
      <c r="Q94" s="461"/>
    </row>
    <row r="95" spans="1:17" ht="15.75" hidden="1" thickBot="1">
      <c r="A95" s="491"/>
      <c r="B95" s="500"/>
      <c r="C95" s="517"/>
      <c r="D95" s="517"/>
      <c r="E95" s="517"/>
      <c r="F95" s="517"/>
      <c r="G95" s="493"/>
      <c r="H95" s="493"/>
      <c r="I95" s="493"/>
      <c r="J95" s="493"/>
      <c r="K95" s="493"/>
      <c r="L95" s="493"/>
      <c r="M95" s="494"/>
      <c r="N95" s="1065"/>
      <c r="O95" s="1065"/>
      <c r="P95" s="2109"/>
      <c r="Q95" s="461"/>
    </row>
    <row r="96" spans="1:17" ht="15.75" hidden="1" thickTop="1">
      <c r="A96" s="491"/>
      <c r="B96" s="495">
        <f>B30</f>
        <v>111</v>
      </c>
      <c r="C96" s="511"/>
      <c r="D96" s="511"/>
      <c r="E96" s="511"/>
      <c r="F96" s="511"/>
      <c r="G96" s="540"/>
      <c r="H96" s="540"/>
      <c r="I96" s="540"/>
      <c r="J96" s="540"/>
      <c r="K96" s="541"/>
      <c r="L96" s="542"/>
      <c r="M96" s="543"/>
      <c r="N96" s="1064"/>
      <c r="O96" s="1064"/>
      <c r="P96" s="2109"/>
      <c r="Q96" s="461"/>
    </row>
    <row r="97" spans="1:17" ht="15.75" hidden="1" thickBot="1">
      <c r="A97" s="491"/>
      <c r="B97" s="500"/>
      <c r="C97" s="527"/>
      <c r="D97" s="527"/>
      <c r="E97" s="527"/>
      <c r="F97" s="527"/>
      <c r="G97" s="493"/>
      <c r="H97" s="493"/>
      <c r="I97" s="493"/>
      <c r="J97" s="493"/>
      <c r="K97" s="493"/>
      <c r="L97" s="493"/>
      <c r="M97" s="494"/>
      <c r="N97" s="1065"/>
      <c r="O97" s="1065"/>
      <c r="P97" s="2109"/>
      <c r="Q97" s="461"/>
    </row>
    <row r="98" spans="1:17" ht="15.75" hidden="1" thickTop="1">
      <c r="A98" s="491"/>
      <c r="B98" s="503">
        <f>B31</f>
        <v>111</v>
      </c>
      <c r="C98" s="544"/>
      <c r="D98" s="544"/>
      <c r="E98" s="544"/>
      <c r="F98" s="544"/>
      <c r="G98" s="544"/>
      <c r="H98" s="544"/>
      <c r="I98" s="544"/>
      <c r="J98" s="544"/>
      <c r="K98" s="545"/>
      <c r="L98" s="546"/>
      <c r="M98" s="547"/>
      <c r="N98" s="1064"/>
      <c r="O98" s="1064"/>
      <c r="P98" s="2109"/>
      <c r="Q98" s="461"/>
    </row>
    <row r="99" spans="1:17" ht="15.75" hidden="1" thickBot="1">
      <c r="A99" s="2115"/>
      <c r="B99" s="526"/>
      <c r="C99" s="548"/>
      <c r="D99" s="548"/>
      <c r="E99" s="548"/>
      <c r="F99" s="548"/>
      <c r="G99" s="548"/>
      <c r="H99" s="548"/>
      <c r="I99" s="548"/>
      <c r="J99" s="548"/>
      <c r="K99" s="548"/>
      <c r="L99" s="548"/>
      <c r="M99" s="549"/>
      <c r="N99" s="1065"/>
      <c r="O99" s="1065"/>
      <c r="P99" s="2109"/>
      <c r="Q99" s="461"/>
    </row>
    <row r="100" spans="1:17" ht="15" thickTop="1">
      <c r="A100" s="484" t="s">
        <v>2383</v>
      </c>
      <c r="B100" s="485" t="s">
        <v>2431</v>
      </c>
      <c r="C100" s="3062" t="s">
        <v>3121</v>
      </c>
      <c r="D100" s="3062" t="s">
        <v>3122</v>
      </c>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2432</v>
      </c>
      <c r="C102" s="535" t="str">
        <f>C103&amp;"(含)"&amp;"-"&amp;D103</f>
        <v>1(含)-100000</v>
      </c>
      <c r="D102" s="535" t="str">
        <f t="shared" ref="D102:L102" si="27">D103&amp;"(含)"&amp;"-"&amp;E103</f>
        <v>100000(含)-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v>1</v>
      </c>
      <c r="D103" s="552">
        <v>100000</v>
      </c>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2433</v>
      </c>
      <c r="C105" s="3061" t="s">
        <v>3117</v>
      </c>
      <c r="D105" s="3061" t="s">
        <v>3119</v>
      </c>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9"/>
      <c r="Q106" s="461"/>
    </row>
    <row r="107" spans="1:17" ht="15" thickTop="1">
      <c r="A107" s="556"/>
      <c r="B107" s="495" t="s">
        <v>2434</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2435</v>
      </c>
      <c r="C109" s="3061" t="s">
        <v>3124</v>
      </c>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2436</v>
      </c>
      <c r="C114" s="3061" t="s">
        <v>3126</v>
      </c>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2437</v>
      </c>
      <c r="C116" s="3061" t="s">
        <v>3128</v>
      </c>
      <c r="D116" s="3061" t="s">
        <v>3130</v>
      </c>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95</v>
      </c>
      <c r="E117" s="501">
        <f>D117-$K39</f>
        <v>90</v>
      </c>
      <c r="F117" s="501">
        <f>E117-$K39</f>
        <v>85</v>
      </c>
      <c r="G117" s="501">
        <f>F117-$K39</f>
        <v>80</v>
      </c>
      <c r="H117" s="501"/>
      <c r="I117" s="501"/>
      <c r="J117" s="501"/>
      <c r="K117" s="501"/>
      <c r="L117" s="501"/>
      <c r="M117" s="502"/>
      <c r="N117" s="1065"/>
      <c r="O117" s="1065"/>
      <c r="P117" s="2109"/>
      <c r="Q117" s="461"/>
    </row>
    <row r="118" spans="1:17" ht="15" thickTop="1">
      <c r="A118" s="556"/>
      <c r="B118" s="495" t="s">
        <v>2438</v>
      </c>
      <c r="C118" s="3063" t="s">
        <v>3132</v>
      </c>
      <c r="D118" s="3063" t="s">
        <v>3134</v>
      </c>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80</v>
      </c>
      <c r="E119" s="501">
        <f t="shared" si="32"/>
        <v>60</v>
      </c>
      <c r="F119" s="501">
        <f t="shared" si="32"/>
        <v>40</v>
      </c>
      <c r="G119" s="501">
        <f t="shared" si="32"/>
        <v>20</v>
      </c>
      <c r="H119" s="501">
        <f t="shared" si="32"/>
        <v>0</v>
      </c>
      <c r="I119" s="501">
        <f t="shared" si="32"/>
        <v>-20</v>
      </c>
      <c r="J119" s="501">
        <f t="shared" si="32"/>
        <v>-40</v>
      </c>
      <c r="K119" s="501">
        <f t="shared" si="32"/>
        <v>-60</v>
      </c>
      <c r="L119" s="501">
        <f t="shared" si="32"/>
        <v>-80</v>
      </c>
      <c r="M119" s="501">
        <f t="shared" si="32"/>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2439</v>
      </c>
      <c r="C122" s="3061" t="s">
        <v>3124</v>
      </c>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t="str">
        <f>B44</f>
        <v>建成年代</v>
      </c>
      <c r="C126" s="511">
        <v>2020</v>
      </c>
      <c r="D126" s="511">
        <v>1998</v>
      </c>
      <c r="E126" s="511">
        <v>2001</v>
      </c>
      <c r="F126" s="511"/>
      <c r="G126" s="511"/>
      <c r="H126" s="512"/>
      <c r="I126" s="512"/>
      <c r="J126" s="512"/>
      <c r="K126" s="512"/>
      <c r="L126" s="513"/>
      <c r="M126" s="514"/>
      <c r="N126" s="1066"/>
      <c r="O126" s="1066"/>
      <c r="P126" s="2110"/>
      <c r="Q126" s="516"/>
    </row>
    <row r="127" spans="1:17" s="430" customFormat="1" ht="15.75" thickBot="1">
      <c r="A127" s="510"/>
      <c r="B127" s="500"/>
      <c r="C127" s="517">
        <v>100</v>
      </c>
      <c r="D127" s="493">
        <v>98</v>
      </c>
      <c r="E127" s="493">
        <f>D127</f>
        <v>98</v>
      </c>
      <c r="F127" s="493"/>
      <c r="G127" s="517"/>
      <c r="H127" s="519"/>
      <c r="I127" s="519"/>
      <c r="J127" s="519"/>
      <c r="K127" s="519"/>
      <c r="L127" s="519"/>
      <c r="M127" s="520"/>
      <c r="N127" s="1066"/>
      <c r="O127" s="1066"/>
      <c r="P127" s="2110"/>
      <c r="Q127" s="516"/>
    </row>
    <row r="128" spans="1:17" ht="15" thickTop="1">
      <c r="A128" s="556"/>
      <c r="B128" s="495" t="str">
        <f>B45</f>
        <v>电梯</v>
      </c>
      <c r="C128" s="3061" t="s">
        <v>3141</v>
      </c>
      <c r="D128" s="3061" t="s">
        <v>3140</v>
      </c>
      <c r="E128" s="511"/>
      <c r="F128" s="511"/>
      <c r="G128" s="540"/>
      <c r="H128" s="540"/>
      <c r="I128" s="540"/>
      <c r="J128" s="540"/>
      <c r="K128" s="541"/>
      <c r="L128" s="542"/>
      <c r="M128" s="543"/>
      <c r="N128" s="1064"/>
      <c r="O128" s="1064"/>
      <c r="P128" s="2109"/>
      <c r="Q128" s="461"/>
    </row>
    <row r="129" spans="1:17" ht="15.75" thickBot="1">
      <c r="A129" s="491"/>
      <c r="B129" s="500"/>
      <c r="C129" s="517">
        <v>100</v>
      </c>
      <c r="D129" s="517">
        <v>98</v>
      </c>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2441</v>
      </c>
    </row>
    <row r="137" spans="1:17" ht="15">
      <c r="B137" s="2117" t="s">
        <v>2442</v>
      </c>
      <c r="C137" s="2118"/>
      <c r="D137" s="2118"/>
      <c r="E137" s="2118"/>
      <c r="F137" s="2118"/>
      <c r="G137" s="2119"/>
      <c r="H137" s="2120"/>
      <c r="I137" s="2121" t="s">
        <v>2443</v>
      </c>
      <c r="J137" s="2118"/>
      <c r="K137" s="2122"/>
    </row>
    <row r="138" spans="1:17" ht="15">
      <c r="B138" s="2123"/>
      <c r="C138" s="142" t="s">
        <v>2444</v>
      </c>
      <c r="D138" s="142" t="s">
        <v>2445</v>
      </c>
      <c r="E138" s="2124" t="s">
        <v>2446</v>
      </c>
      <c r="F138" s="2125" t="s">
        <v>2447</v>
      </c>
      <c r="G138" s="142" t="s">
        <v>2445</v>
      </c>
      <c r="H138" s="143" t="s">
        <v>2446</v>
      </c>
      <c r="I138" s="2126"/>
      <c r="J138" s="142" t="s">
        <v>2448</v>
      </c>
      <c r="K138" s="143" t="s">
        <v>2449</v>
      </c>
    </row>
    <row r="139" spans="1:17" ht="15">
      <c r="B139" s="998">
        <v>6</v>
      </c>
      <c r="C139" s="999">
        <v>96</v>
      </c>
      <c r="D139" s="2127" t="s">
        <v>2450</v>
      </c>
      <c r="E139" s="1000">
        <v>100</v>
      </c>
      <c r="F139" s="1001">
        <v>102.5</v>
      </c>
      <c r="G139" s="2127" t="s">
        <v>2450</v>
      </c>
      <c r="H139" s="1002">
        <v>105</v>
      </c>
      <c r="I139" s="2128" t="s">
        <v>2451</v>
      </c>
      <c r="J139" s="999">
        <v>20</v>
      </c>
      <c r="K139" s="1003">
        <f>C145/(J139-2)</f>
        <v>4.0555555555555553E-3</v>
      </c>
    </row>
    <row r="140" spans="1:17" ht="15">
      <c r="B140" s="1004">
        <v>5</v>
      </c>
      <c r="C140" s="1005">
        <v>100</v>
      </c>
      <c r="D140" s="1005"/>
      <c r="E140" s="1006"/>
      <c r="F140" s="1007">
        <v>102</v>
      </c>
      <c r="G140" s="1005"/>
      <c r="H140" s="1008"/>
      <c r="I140" s="2129" t="s">
        <v>2452</v>
      </c>
      <c r="J140" s="277">
        <f>ROUNDUP((J139-1)/2,0)</f>
        <v>10</v>
      </c>
      <c r="K140" s="1009">
        <v>100</v>
      </c>
    </row>
    <row r="141" spans="1:17" ht="15">
      <c r="B141" s="1004">
        <v>4</v>
      </c>
      <c r="C141" s="1005">
        <v>102</v>
      </c>
      <c r="D141" s="1005"/>
      <c r="E141" s="1006"/>
      <c r="F141" s="1007">
        <v>101.5</v>
      </c>
      <c r="G141" s="1005"/>
      <c r="H141" s="1008"/>
      <c r="I141" s="2129" t="s">
        <v>2453</v>
      </c>
      <c r="J141" s="277">
        <v>1</v>
      </c>
      <c r="K141" s="1010">
        <f>ROUND(100+(J141-J140)*K139*100,1)</f>
        <v>96.4</v>
      </c>
    </row>
    <row r="142" spans="1:17" ht="15">
      <c r="B142" s="1004">
        <v>3</v>
      </c>
      <c r="C142" s="1005">
        <v>103</v>
      </c>
      <c r="D142" s="1005"/>
      <c r="E142" s="1006"/>
      <c r="F142" s="1007">
        <v>101</v>
      </c>
      <c r="G142" s="1005"/>
      <c r="H142" s="1008"/>
      <c r="I142" s="2129" t="s">
        <v>2454</v>
      </c>
      <c r="J142" s="277">
        <f>J139</f>
        <v>20</v>
      </c>
      <c r="K142" s="1011">
        <v>95</v>
      </c>
    </row>
    <row r="143" spans="1:17" ht="15">
      <c r="B143" s="1004">
        <v>2</v>
      </c>
      <c r="C143" s="1005">
        <v>100</v>
      </c>
      <c r="D143" s="1005"/>
      <c r="E143" s="1006"/>
      <c r="F143" s="1007">
        <v>100.5</v>
      </c>
      <c r="G143" s="1005"/>
      <c r="H143" s="1008"/>
      <c r="I143" s="2129" t="s">
        <v>2455</v>
      </c>
      <c r="J143" s="1005">
        <v>15</v>
      </c>
      <c r="K143" s="1010">
        <f>ROUND(100+(J143-J140)*K139*100,1)</f>
        <v>102</v>
      </c>
    </row>
    <row r="144" spans="1:17" ht="15">
      <c r="B144" s="1004">
        <v>1</v>
      </c>
      <c r="C144" s="1005">
        <v>98</v>
      </c>
      <c r="D144" s="2130" t="s">
        <v>2456</v>
      </c>
      <c r="E144" s="1006">
        <v>102</v>
      </c>
      <c r="F144" s="1012">
        <v>100</v>
      </c>
      <c r="G144" s="2130" t="s">
        <v>2456</v>
      </c>
      <c r="H144" s="1008">
        <v>105</v>
      </c>
      <c r="I144" s="2129" t="s">
        <v>2455</v>
      </c>
      <c r="J144" s="1005">
        <v>18</v>
      </c>
      <c r="K144" s="1010">
        <f>ROUND(100+(J144-J140)*K139*100,1)</f>
        <v>103.2</v>
      </c>
    </row>
    <row r="145" spans="2:11" ht="15.75" thickBot="1">
      <c r="B145" s="2131" t="s">
        <v>2457</v>
      </c>
      <c r="C145" s="1013">
        <f>ROUND(MAX(C139:C144)/MIN(C139:C144)-1,3)</f>
        <v>7.2999999999999995E-2</v>
      </c>
      <c r="D145" s="1014"/>
      <c r="E145" s="1014"/>
      <c r="F145" s="2132" t="s">
        <v>2458</v>
      </c>
      <c r="G145" s="2133"/>
      <c r="H145" s="2134"/>
      <c r="I145" s="2135" t="s">
        <v>2455</v>
      </c>
      <c r="J145" s="1015">
        <v>8</v>
      </c>
      <c r="K145" s="1016">
        <f>ROUND(100+(J145-J140)*K139*100,1)</f>
        <v>99.2</v>
      </c>
    </row>
    <row r="147" spans="2:11">
      <c r="B147" s="2116" t="s">
        <v>2459</v>
      </c>
    </row>
    <row r="148" spans="2:11">
      <c r="B148" s="2116"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0" sqref="Q1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2461</v>
      </c>
      <c r="C1" s="1406" t="s">
        <v>2351</v>
      </c>
      <c r="D1" s="1393"/>
      <c r="E1" s="2544"/>
      <c r="F1" s="2066"/>
      <c r="G1" s="1403" t="s">
        <v>2462</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2463</v>
      </c>
      <c r="D3" s="359">
        <f>IF(D1="",'数据-汇总表'!E3,SUMIF('数据-汇总表'!$C19:$C33,D1,'数据-汇总表'!$E19:$E33))</f>
        <v>16732.060000000001</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57" t="s">
        <v>2466</v>
      </c>
      <c r="S4" s="3458"/>
      <c r="T4" s="3457" t="s">
        <v>2467</v>
      </c>
      <c r="U4" s="3458"/>
      <c r="V4" s="3463" t="s">
        <v>2468</v>
      </c>
      <c r="W4" s="3463"/>
      <c r="X4" s="1540"/>
      <c r="Y4" s="3457" t="s">
        <v>2470</v>
      </c>
      <c r="Z4" s="3458"/>
      <c r="AA4" s="3444" t="s">
        <v>2466</v>
      </c>
      <c r="AB4" s="3463" t="s">
        <v>2467</v>
      </c>
      <c r="AC4" s="3444" t="s">
        <v>2468</v>
      </c>
    </row>
    <row r="5" spans="1:29" ht="15">
      <c r="A5" s="364"/>
      <c r="B5" s="365"/>
      <c r="C5" s="3471" t="s">
        <v>2362</v>
      </c>
      <c r="D5" s="3467"/>
      <c r="E5" s="3476" t="s">
        <v>2363</v>
      </c>
      <c r="F5" s="3475"/>
      <c r="G5" s="3471" t="s">
        <v>2364</v>
      </c>
      <c r="H5" s="3467"/>
      <c r="I5" s="3471" t="s">
        <v>2365</v>
      </c>
      <c r="J5" s="3467"/>
      <c r="K5" s="567"/>
      <c r="L5" s="2944"/>
      <c r="M5" s="2945"/>
      <c r="N5" s="2945"/>
      <c r="O5" s="2945"/>
      <c r="P5" s="3453"/>
      <c r="Q5" s="3454"/>
      <c r="R5" s="3459"/>
      <c r="S5" s="3460"/>
      <c r="T5" s="3459"/>
      <c r="U5" s="3460"/>
      <c r="V5" s="3463"/>
      <c r="W5" s="3463"/>
      <c r="X5" s="1540"/>
      <c r="Y5" s="3459"/>
      <c r="Z5" s="3460"/>
      <c r="AA5" s="3445"/>
      <c r="AB5" s="3463"/>
      <c r="AC5" s="3445"/>
    </row>
    <row r="6" spans="1:29" ht="15.75" thickBot="1">
      <c r="A6" s="366"/>
      <c r="B6" s="367"/>
      <c r="C6" s="3464" t="s">
        <v>2366</v>
      </c>
      <c r="D6" s="3465"/>
      <c r="E6" s="3472" t="s">
        <v>2366</v>
      </c>
      <c r="F6" s="3473"/>
      <c r="G6" s="3464" t="s">
        <v>2366</v>
      </c>
      <c r="H6" s="3465"/>
      <c r="I6" s="3464" t="s">
        <v>2366</v>
      </c>
      <c r="J6" s="3465"/>
      <c r="K6" s="567" t="s">
        <v>2367</v>
      </c>
      <c r="L6" s="2944"/>
      <c r="M6" s="2945"/>
      <c r="N6" s="2945"/>
      <c r="O6" s="2945"/>
      <c r="P6" s="3455"/>
      <c r="Q6" s="3456"/>
      <c r="R6" s="3459"/>
      <c r="S6" s="3460"/>
      <c r="T6" s="3461"/>
      <c r="U6" s="3462"/>
      <c r="V6" s="3463"/>
      <c r="W6" s="3463"/>
      <c r="X6" s="1540"/>
      <c r="Y6" s="3461"/>
      <c r="Z6" s="3462"/>
      <c r="AA6" s="3446"/>
      <c r="AB6" s="3463"/>
      <c r="AC6" s="3446"/>
    </row>
    <row r="7" spans="1:29" s="113" customFormat="1" ht="15.75" thickBot="1">
      <c r="A7" s="368" t="s">
        <v>2368</v>
      </c>
      <c r="B7" s="369"/>
      <c r="C7" s="370">
        <f>'数据-取费表'!B2</f>
        <v>44256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68" t="s">
        <v>2369</v>
      </c>
      <c r="Q7" s="3470"/>
      <c r="R7" s="710" t="s">
        <v>17</v>
      </c>
      <c r="S7" s="711">
        <f t="shared" ref="S7:S15" si="0">F7</f>
        <v>0</v>
      </c>
      <c r="T7" s="710" t="s">
        <v>17</v>
      </c>
      <c r="U7" s="711">
        <f t="shared" ref="U7:U15" si="1">H7</f>
        <v>0</v>
      </c>
      <c r="V7" s="710" t="s">
        <v>17</v>
      </c>
      <c r="W7" s="711">
        <f t="shared" ref="W7:W15" si="2">J7</f>
        <v>0</v>
      </c>
      <c r="X7" s="712"/>
      <c r="Y7" s="3468" t="s">
        <v>2369</v>
      </c>
      <c r="Z7" s="3469"/>
      <c r="AA7" s="713" t="e">
        <f>D7/F7</f>
        <v>#DIV/0!</v>
      </c>
      <c r="AB7" s="713" t="e">
        <f>D7/H7</f>
        <v>#DIV/0!</v>
      </c>
      <c r="AC7" s="713" t="e">
        <f>D7/J7</f>
        <v>#DIV/0!</v>
      </c>
    </row>
    <row r="8" spans="1:29" s="113" customFormat="1" ht="15.75" thickBot="1">
      <c r="A8" s="368" t="s">
        <v>2370</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68" t="s">
        <v>2372</v>
      </c>
      <c r="Q8" s="3469"/>
      <c r="R8" s="710" t="s">
        <v>17</v>
      </c>
      <c r="S8" s="711">
        <f t="shared" si="0"/>
        <v>0</v>
      </c>
      <c r="T8" s="710" t="s">
        <v>17</v>
      </c>
      <c r="U8" s="711">
        <f t="shared" si="1"/>
        <v>0</v>
      </c>
      <c r="V8" s="710" t="s">
        <v>17</v>
      </c>
      <c r="W8" s="711">
        <f t="shared" si="2"/>
        <v>0</v>
      </c>
      <c r="X8" s="712"/>
      <c r="Y8" s="3468" t="s">
        <v>2372</v>
      </c>
      <c r="Z8" s="346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43" t="s">
        <v>2375</v>
      </c>
      <c r="Q9" s="1528" t="str">
        <f t="shared" ref="Q9:Q15" si="6">B9</f>
        <v>用途</v>
      </c>
      <c r="R9" s="710" t="s">
        <v>17</v>
      </c>
      <c r="S9" s="711">
        <f t="shared" si="0"/>
        <v>100</v>
      </c>
      <c r="T9" s="710" t="s">
        <v>17</v>
      </c>
      <c r="U9" s="711">
        <f t="shared" si="1"/>
        <v>100</v>
      </c>
      <c r="V9" s="710" t="s">
        <v>17</v>
      </c>
      <c r="W9" s="711">
        <f t="shared" si="2"/>
        <v>100</v>
      </c>
      <c r="X9" s="712"/>
      <c r="Y9" s="323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43"/>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43"/>
      <c r="Q11" s="1528"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43"/>
      <c r="Q12" s="1528">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43"/>
      <c r="Q13" s="1528">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43"/>
      <c r="Q14" s="1528">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71.25">
      <c r="A15" s="399" t="s">
        <v>2379</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41" t="s">
        <v>2380</v>
      </c>
      <c r="Q15" s="1537" t="str">
        <f t="shared" si="6"/>
        <v>商业繁华度</v>
      </c>
      <c r="R15" s="714" t="s">
        <v>17</v>
      </c>
      <c r="S15" s="715">
        <f t="shared" si="0"/>
        <v>100</v>
      </c>
      <c r="T15" s="714" t="s">
        <v>17</v>
      </c>
      <c r="U15" s="715">
        <f t="shared" si="1"/>
        <v>100</v>
      </c>
      <c r="V15" s="714" t="s">
        <v>17</v>
      </c>
      <c r="W15" s="715">
        <f t="shared" si="2"/>
        <v>100</v>
      </c>
      <c r="X15" s="1540"/>
      <c r="Y15" s="3434"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442"/>
      <c r="Q16" s="1537"/>
      <c r="R16" s="714"/>
      <c r="S16" s="715"/>
      <c r="T16" s="714"/>
      <c r="U16" s="715"/>
      <c r="V16" s="714"/>
      <c r="W16" s="715"/>
      <c r="X16" s="1540"/>
      <c r="Y16" s="3435"/>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42"/>
      <c r="Q17" s="1537" t="str">
        <f>B17</f>
        <v>交通便捷度</v>
      </c>
      <c r="R17" s="714" t="s">
        <v>17</v>
      </c>
      <c r="S17" s="715">
        <f>F17</f>
        <v>100</v>
      </c>
      <c r="T17" s="714" t="s">
        <v>17</v>
      </c>
      <c r="U17" s="715">
        <f>H17</f>
        <v>100</v>
      </c>
      <c r="V17" s="714" t="s">
        <v>17</v>
      </c>
      <c r="W17" s="715">
        <f>J17</f>
        <v>100</v>
      </c>
      <c r="X17" s="1540"/>
      <c r="Y17" s="343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442"/>
      <c r="Q18" s="1537"/>
      <c r="R18" s="714"/>
      <c r="S18" s="715"/>
      <c r="T18" s="714"/>
      <c r="U18" s="715"/>
      <c r="V18" s="714"/>
      <c r="W18" s="715"/>
      <c r="X18" s="1540"/>
      <c r="Y18" s="3435"/>
      <c r="Z18" s="1541"/>
      <c r="AA18" s="1538">
        <v>1</v>
      </c>
      <c r="AB18" s="1538">
        <v>1</v>
      </c>
      <c r="AC18" s="1538">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42"/>
      <c r="Q19" s="1537" t="str">
        <f>B19</f>
        <v>公共配套设施</v>
      </c>
      <c r="R19" s="714" t="s">
        <v>17</v>
      </c>
      <c r="S19" s="715">
        <f>F19</f>
        <v>100</v>
      </c>
      <c r="T19" s="714" t="s">
        <v>17</v>
      </c>
      <c r="U19" s="715">
        <f>H19</f>
        <v>100</v>
      </c>
      <c r="V19" s="714" t="s">
        <v>17</v>
      </c>
      <c r="W19" s="715">
        <f>J19</f>
        <v>100</v>
      </c>
      <c r="X19" s="1540"/>
      <c r="Y19" s="343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442"/>
      <c r="Q20" s="1537"/>
      <c r="R20" s="714"/>
      <c r="S20" s="715"/>
      <c r="T20" s="714"/>
      <c r="U20" s="715"/>
      <c r="V20" s="714"/>
      <c r="W20" s="715"/>
      <c r="X20" s="1540"/>
      <c r="Y20" s="3435"/>
      <c r="Z20" s="1541"/>
      <c r="AA20" s="1538">
        <v>1</v>
      </c>
      <c r="AB20" s="1538">
        <v>1</v>
      </c>
      <c r="AC20" s="1538">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42"/>
      <c r="Q21" s="1537" t="str">
        <f>B21</f>
        <v>基础设施水平</v>
      </c>
      <c r="R21" s="714" t="s">
        <v>17</v>
      </c>
      <c r="S21" s="715">
        <f>F21</f>
        <v>100</v>
      </c>
      <c r="T21" s="714" t="s">
        <v>17</v>
      </c>
      <c r="U21" s="715">
        <f>H21</f>
        <v>100</v>
      </c>
      <c r="V21" s="714" t="s">
        <v>17</v>
      </c>
      <c r="W21" s="715">
        <f>J21</f>
        <v>100</v>
      </c>
      <c r="X21" s="1540"/>
      <c r="Y21" s="343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442"/>
      <c r="Q22" s="1537"/>
      <c r="R22" s="714"/>
      <c r="S22" s="715"/>
      <c r="T22" s="714"/>
      <c r="U22" s="715"/>
      <c r="V22" s="714"/>
      <c r="W22" s="715"/>
      <c r="X22" s="1540"/>
      <c r="Y22" s="3435"/>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42"/>
      <c r="Q23" s="1537" t="str">
        <f>B23</f>
        <v>自然及人文环境</v>
      </c>
      <c r="R23" s="714" t="s">
        <v>17</v>
      </c>
      <c r="S23" s="715">
        <f>F23</f>
        <v>100</v>
      </c>
      <c r="T23" s="714" t="s">
        <v>17</v>
      </c>
      <c r="U23" s="715">
        <f>H23</f>
        <v>100</v>
      </c>
      <c r="V23" s="714" t="s">
        <v>17</v>
      </c>
      <c r="W23" s="715">
        <f>J23</f>
        <v>100</v>
      </c>
      <c r="X23" s="1540"/>
      <c r="Y23" s="3435"/>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442"/>
      <c r="Q24" s="1537"/>
      <c r="R24" s="714"/>
      <c r="S24" s="715"/>
      <c r="T24" s="714"/>
      <c r="U24" s="715"/>
      <c r="V24" s="714"/>
      <c r="W24" s="715"/>
      <c r="X24" s="1540"/>
      <c r="Y24" s="3435"/>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42"/>
      <c r="Q25" s="1537" t="str">
        <f t="shared" ref="Q25:Q46" si="11">B25</f>
        <v>临街状况</v>
      </c>
      <c r="R25" s="714" t="s">
        <v>17</v>
      </c>
      <c r="S25" s="715">
        <f>F25</f>
        <v>100</v>
      </c>
      <c r="T25" s="714" t="s">
        <v>17</v>
      </c>
      <c r="U25" s="715">
        <f>H25</f>
        <v>100</v>
      </c>
      <c r="V25" s="714" t="s">
        <v>17</v>
      </c>
      <c r="W25" s="715">
        <f>J25</f>
        <v>100</v>
      </c>
      <c r="X25" s="1540"/>
      <c r="Y25" s="3435"/>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42"/>
      <c r="Q26" s="1537" t="str">
        <f t="shared" si="11"/>
        <v>平面位置/可视性</v>
      </c>
      <c r="R26" s="714" t="s">
        <v>17</v>
      </c>
      <c r="S26" s="715">
        <f>F26</f>
        <v>100</v>
      </c>
      <c r="T26" s="714" t="s">
        <v>17</v>
      </c>
      <c r="U26" s="715">
        <f>H26</f>
        <v>100</v>
      </c>
      <c r="V26" s="714" t="s">
        <v>17</v>
      </c>
      <c r="W26" s="715">
        <f>J26</f>
        <v>100</v>
      </c>
      <c r="X26" s="1540"/>
      <c r="Y26" s="3435"/>
      <c r="Z26" s="1541" t="str">
        <f>Q26</f>
        <v>平面位置/可视性</v>
      </c>
      <c r="AA26" s="1538">
        <f t="shared" si="3"/>
        <v>1</v>
      </c>
      <c r="AB26" s="1538">
        <f t="shared" si="4"/>
        <v>1</v>
      </c>
      <c r="AC26" s="1538">
        <f t="shared" si="5"/>
        <v>1</v>
      </c>
    </row>
    <row r="27" spans="1:29" s="113" customFormat="1" ht="15">
      <c r="A27" s="390"/>
      <c r="B27" s="410" t="s">
        <v>2477</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442"/>
      <c r="Q27" s="1528" t="str">
        <f t="shared" si="11"/>
        <v>人流量</v>
      </c>
      <c r="R27" s="710" t="s">
        <v>17</v>
      </c>
      <c r="S27" s="711">
        <f>F27</f>
        <v>100</v>
      </c>
      <c r="T27" s="710" t="s">
        <v>17</v>
      </c>
      <c r="U27" s="711">
        <f>H27</f>
        <v>100</v>
      </c>
      <c r="V27" s="710" t="s">
        <v>17</v>
      </c>
      <c r="W27" s="711">
        <f>J27</f>
        <v>100</v>
      </c>
      <c r="X27" s="712"/>
      <c r="Y27" s="3435"/>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42"/>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435"/>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42"/>
      <c r="Q29" s="1537">
        <f t="shared" si="11"/>
        <v>111</v>
      </c>
      <c r="R29" s="714" t="s">
        <v>17</v>
      </c>
      <c r="S29" s="715">
        <f t="shared" si="12"/>
        <v>100</v>
      </c>
      <c r="T29" s="714" t="s">
        <v>17</v>
      </c>
      <c r="U29" s="715">
        <f t="shared" si="13"/>
        <v>100</v>
      </c>
      <c r="V29" s="714" t="s">
        <v>17</v>
      </c>
      <c r="W29" s="715">
        <f t="shared" si="14"/>
        <v>100</v>
      </c>
      <c r="X29" s="1540"/>
      <c r="Y29" s="3435"/>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42"/>
      <c r="Q30" s="1537">
        <f t="shared" si="11"/>
        <v>111</v>
      </c>
      <c r="R30" s="714" t="s">
        <v>17</v>
      </c>
      <c r="S30" s="715">
        <f t="shared" si="12"/>
        <v>100</v>
      </c>
      <c r="T30" s="714" t="s">
        <v>17</v>
      </c>
      <c r="U30" s="715">
        <f t="shared" si="13"/>
        <v>100</v>
      </c>
      <c r="V30" s="714" t="s">
        <v>17</v>
      </c>
      <c r="W30" s="715">
        <f t="shared" si="14"/>
        <v>100</v>
      </c>
      <c r="X30" s="1540"/>
      <c r="Y30" s="3435"/>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42"/>
      <c r="Q31" s="1537">
        <f t="shared" si="11"/>
        <v>111</v>
      </c>
      <c r="R31" s="714" t="s">
        <v>17</v>
      </c>
      <c r="S31" s="715">
        <f t="shared" si="12"/>
        <v>100</v>
      </c>
      <c r="T31" s="714" t="s">
        <v>17</v>
      </c>
      <c r="U31" s="715">
        <f t="shared" si="13"/>
        <v>100</v>
      </c>
      <c r="V31" s="714" t="s">
        <v>17</v>
      </c>
      <c r="W31" s="715">
        <f t="shared" si="14"/>
        <v>100</v>
      </c>
      <c r="X31" s="1540"/>
      <c r="Y31" s="3435"/>
      <c r="Z31" s="1541">
        <f t="shared" si="15"/>
        <v>111</v>
      </c>
      <c r="AA31" s="1538">
        <f t="shared" si="3"/>
        <v>1</v>
      </c>
      <c r="AB31" s="1538">
        <f t="shared" si="4"/>
        <v>1</v>
      </c>
      <c r="AC31" s="1538">
        <f t="shared" si="5"/>
        <v>1</v>
      </c>
    </row>
    <row r="32" spans="1:29" ht="15">
      <c r="A32" s="399" t="s">
        <v>2383</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436" t="s">
        <v>2385</v>
      </c>
      <c r="Q32" s="1537" t="str">
        <f t="shared" si="11"/>
        <v>商业类型</v>
      </c>
      <c r="R32" s="714" t="s">
        <v>17</v>
      </c>
      <c r="S32" s="715">
        <f t="shared" si="12"/>
        <v>100</v>
      </c>
      <c r="T32" s="714" t="s">
        <v>17</v>
      </c>
      <c r="U32" s="715">
        <f t="shared" si="13"/>
        <v>100</v>
      </c>
      <c r="V32" s="714" t="s">
        <v>17</v>
      </c>
      <c r="W32" s="715">
        <f t="shared" si="14"/>
        <v>100</v>
      </c>
      <c r="X32" s="1540"/>
      <c r="Y32" s="3439"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37"/>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437"/>
      <c r="Q34" s="1537" t="str">
        <f t="shared" si="11"/>
        <v>建筑结构</v>
      </c>
      <c r="R34" s="714" t="s">
        <v>17</v>
      </c>
      <c r="S34" s="715">
        <f t="shared" si="12"/>
        <v>100</v>
      </c>
      <c r="T34" s="714" t="s">
        <v>17</v>
      </c>
      <c r="U34" s="715">
        <f t="shared" si="13"/>
        <v>100</v>
      </c>
      <c r="V34" s="714" t="s">
        <v>17</v>
      </c>
      <c r="W34" s="715">
        <f t="shared" si="14"/>
        <v>100</v>
      </c>
      <c r="X34" s="1540"/>
      <c r="Y34" s="3439"/>
      <c r="Z34" s="1541" t="str">
        <f t="shared" si="15"/>
        <v>建筑结构</v>
      </c>
      <c r="AA34" s="1538">
        <f t="shared" si="3"/>
        <v>1</v>
      </c>
      <c r="AB34" s="1538">
        <f t="shared" si="4"/>
        <v>1</v>
      </c>
      <c r="AC34" s="1538">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437"/>
      <c r="Q35" s="1537" t="str">
        <f t="shared" si="11"/>
        <v>公共部分装修</v>
      </c>
      <c r="R35" s="714" t="s">
        <v>17</v>
      </c>
      <c r="S35" s="715">
        <f t="shared" si="12"/>
        <v>100</v>
      </c>
      <c r="T35" s="714" t="s">
        <v>17</v>
      </c>
      <c r="U35" s="715">
        <f t="shared" si="13"/>
        <v>100</v>
      </c>
      <c r="V35" s="714" t="s">
        <v>17</v>
      </c>
      <c r="W35" s="715">
        <f t="shared" si="14"/>
        <v>100</v>
      </c>
      <c r="X35" s="1540"/>
      <c r="Y35" s="3439"/>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37"/>
      <c r="Q36" s="1537" t="str">
        <f t="shared" si="11"/>
        <v>成新度</v>
      </c>
      <c r="R36" s="714" t="s">
        <v>17</v>
      </c>
      <c r="S36" s="715" t="e">
        <f t="shared" si="12"/>
        <v>#N/A</v>
      </c>
      <c r="T36" s="714" t="s">
        <v>17</v>
      </c>
      <c r="U36" s="715" t="e">
        <f t="shared" si="13"/>
        <v>#N/A</v>
      </c>
      <c r="V36" s="714" t="s">
        <v>17</v>
      </c>
      <c r="W36" s="715" t="e">
        <f t="shared" si="14"/>
        <v>#N/A</v>
      </c>
      <c r="X36" s="1540"/>
      <c r="Y36" s="3439"/>
      <c r="Z36" s="1541" t="str">
        <f t="shared" si="15"/>
        <v>成新度</v>
      </c>
      <c r="AA36" s="1538" t="e">
        <f t="shared" si="3"/>
        <v>#N/A</v>
      </c>
      <c r="AB36" s="1538" t="e">
        <f t="shared" si="4"/>
        <v>#N/A</v>
      </c>
      <c r="AC36" s="1538"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437"/>
      <c r="Q37" s="1528"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437" t="s">
        <v>2385</v>
      </c>
      <c r="Q38" s="1537" t="str">
        <f t="shared" si="11"/>
        <v>业态</v>
      </c>
      <c r="R38" s="714" t="s">
        <v>17</v>
      </c>
      <c r="S38" s="715">
        <f t="shared" si="12"/>
        <v>100</v>
      </c>
      <c r="T38" s="714" t="s">
        <v>17</v>
      </c>
      <c r="U38" s="715">
        <f t="shared" si="13"/>
        <v>100</v>
      </c>
      <c r="V38" s="714" t="s">
        <v>17</v>
      </c>
      <c r="W38" s="715">
        <f t="shared" si="14"/>
        <v>100</v>
      </c>
      <c r="X38" s="1540"/>
      <c r="Y38" s="3439" t="s">
        <v>2385</v>
      </c>
      <c r="Z38" s="1541" t="str">
        <f t="shared" si="15"/>
        <v>业态</v>
      </c>
      <c r="AA38" s="1538">
        <f t="shared" si="3"/>
        <v>1</v>
      </c>
      <c r="AB38" s="1538">
        <f t="shared" si="4"/>
        <v>1</v>
      </c>
      <c r="AC38" s="1538">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437"/>
      <c r="Q39" s="1537" t="str">
        <f t="shared" si="11"/>
        <v>层高</v>
      </c>
      <c r="R39" s="714" t="s">
        <v>17</v>
      </c>
      <c r="S39" s="715">
        <f t="shared" si="12"/>
        <v>100</v>
      </c>
      <c r="T39" s="714" t="s">
        <v>17</v>
      </c>
      <c r="U39" s="715">
        <f t="shared" si="13"/>
        <v>100</v>
      </c>
      <c r="V39" s="714" t="s">
        <v>17</v>
      </c>
      <c r="W39" s="715">
        <f t="shared" si="14"/>
        <v>100</v>
      </c>
      <c r="X39" s="1540"/>
      <c r="Y39" s="3439"/>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37"/>
      <c r="Q40" s="1537" t="str">
        <f t="shared" si="11"/>
        <v>单套建筑面积</v>
      </c>
      <c r="R40" s="714" t="s">
        <v>17</v>
      </c>
      <c r="S40" s="715">
        <f t="shared" si="12"/>
        <v>100</v>
      </c>
      <c r="T40" s="714" t="s">
        <v>17</v>
      </c>
      <c r="U40" s="715">
        <f t="shared" si="13"/>
        <v>100</v>
      </c>
      <c r="V40" s="714" t="s">
        <v>17</v>
      </c>
      <c r="W40" s="715">
        <f t="shared" si="14"/>
        <v>100</v>
      </c>
      <c r="X40" s="1540"/>
      <c r="Y40" s="3439"/>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37"/>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38">
        <f t="shared" si="3"/>
        <v>1</v>
      </c>
      <c r="AB41" s="1538">
        <f t="shared" si="4"/>
        <v>1</v>
      </c>
      <c r="AC41" s="1538">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437"/>
      <c r="Q42" s="1537" t="str">
        <f t="shared" si="11"/>
        <v>内部装修</v>
      </c>
      <c r="R42" s="714" t="s">
        <v>17</v>
      </c>
      <c r="S42" s="715">
        <f t="shared" si="12"/>
        <v>100</v>
      </c>
      <c r="T42" s="714" t="s">
        <v>17</v>
      </c>
      <c r="U42" s="715">
        <f t="shared" si="13"/>
        <v>100</v>
      </c>
      <c r="V42" s="714" t="s">
        <v>17</v>
      </c>
      <c r="W42" s="715">
        <f t="shared" si="14"/>
        <v>100</v>
      </c>
      <c r="X42" s="1540"/>
      <c r="Y42" s="3439"/>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437"/>
      <c r="Q43" s="1537" t="str">
        <f t="shared" si="11"/>
        <v>内部装修维护情况</v>
      </c>
      <c r="R43" s="714" t="s">
        <v>17</v>
      </c>
      <c r="S43" s="715">
        <f t="shared" si="12"/>
        <v>100</v>
      </c>
      <c r="T43" s="714" t="s">
        <v>17</v>
      </c>
      <c r="U43" s="715">
        <f t="shared" si="13"/>
        <v>100</v>
      </c>
      <c r="V43" s="714" t="s">
        <v>17</v>
      </c>
      <c r="W43" s="715">
        <f t="shared" si="14"/>
        <v>100</v>
      </c>
      <c r="X43" s="1540"/>
      <c r="Y43" s="3439"/>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37"/>
      <c r="Q44" s="1528">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37"/>
      <c r="Q45" s="1537">
        <f t="shared" si="11"/>
        <v>111</v>
      </c>
      <c r="R45" s="714" t="s">
        <v>17</v>
      </c>
      <c r="S45" s="715">
        <f t="shared" si="12"/>
        <v>100</v>
      </c>
      <c r="T45" s="714" t="s">
        <v>17</v>
      </c>
      <c r="U45" s="715">
        <f t="shared" si="13"/>
        <v>100</v>
      </c>
      <c r="V45" s="714" t="s">
        <v>17</v>
      </c>
      <c r="W45" s="715">
        <f t="shared" si="14"/>
        <v>100</v>
      </c>
      <c r="X45" s="1540"/>
      <c r="Y45" s="3439"/>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38"/>
      <c r="Q46" s="1537">
        <f t="shared" si="11"/>
        <v>111</v>
      </c>
      <c r="R46" s="714" t="s">
        <v>17</v>
      </c>
      <c r="S46" s="715">
        <f t="shared" si="12"/>
        <v>100</v>
      </c>
      <c r="T46" s="714" t="s">
        <v>17</v>
      </c>
      <c r="U46" s="715">
        <f t="shared" si="13"/>
        <v>100</v>
      </c>
      <c r="V46" s="714" t="s">
        <v>17</v>
      </c>
      <c r="W46" s="715">
        <f t="shared" si="14"/>
        <v>100</v>
      </c>
      <c r="X46" s="1540"/>
      <c r="Y46" s="3440"/>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3"/>
      <c r="M47" s="2954"/>
      <c r="N47" s="2945"/>
      <c r="O47" s="2954"/>
      <c r="P47" s="3432" t="str">
        <f>A47</f>
        <v>成交单价（元/平方米）</v>
      </c>
      <c r="Q47" s="3432"/>
      <c r="R47" s="3463">
        <f>E47</f>
        <v>0</v>
      </c>
      <c r="S47" s="3463"/>
      <c r="T47" s="3463">
        <f>G47</f>
        <v>0</v>
      </c>
      <c r="U47" s="3463"/>
      <c r="V47" s="3463">
        <f>I47</f>
        <v>0</v>
      </c>
      <c r="W47" s="3463"/>
      <c r="X47" s="699"/>
      <c r="Y47" s="721"/>
      <c r="Z47" s="699"/>
      <c r="AA47" s="699"/>
      <c r="AB47" s="699"/>
      <c r="AC47" s="699"/>
    </row>
    <row r="48" spans="1:29" ht="15.75" thickBot="1">
      <c r="A48" s="445" t="s">
        <v>2488</v>
      </c>
      <c r="B48" s="446"/>
      <c r="C48" s="1322" t="e">
        <f>R49</f>
        <v>#DIV/0!</v>
      </c>
      <c r="D48" s="2539" t="s">
        <v>2877</v>
      </c>
      <c r="E48" s="1323" t="e">
        <f>R48</f>
        <v>#DIV/0!</v>
      </c>
      <c r="F48" s="2540"/>
      <c r="G48" s="1322" t="e">
        <f>T48</f>
        <v>#DIV/0!</v>
      </c>
      <c r="H48" s="2540"/>
      <c r="I48" s="1323" t="e">
        <f>V48</f>
        <v>#DIV/0!</v>
      </c>
      <c r="J48" s="2540"/>
      <c r="K48" s="2542">
        <f>F48+H48+J48</f>
        <v>0</v>
      </c>
      <c r="L48" s="2953"/>
      <c r="M48" s="2954"/>
      <c r="N48" s="2945"/>
      <c r="O48" s="2954"/>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10" sqref="Q1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2505</v>
      </c>
      <c r="C1" s="1392" t="s">
        <v>2351</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2463</v>
      </c>
      <c r="D3" s="359">
        <f>IF(D1="",'数据-汇总表'!E3,SUMIF('数据-汇总表'!$C19:$C33,D1,'数据-汇总表'!$E19:$E33))</f>
        <v>16732.060000000001</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83" t="s">
        <v>2470</v>
      </c>
      <c r="Q4" s="3484"/>
      <c r="R4" s="3487" t="s">
        <v>2466</v>
      </c>
      <c r="S4" s="3488"/>
      <c r="T4" s="3487" t="s">
        <v>2467</v>
      </c>
      <c r="U4" s="3488"/>
      <c r="V4" s="3489" t="s">
        <v>2468</v>
      </c>
      <c r="W4" s="3489"/>
      <c r="X4" s="2145"/>
      <c r="Y4" s="3487" t="s">
        <v>2470</v>
      </c>
      <c r="Z4" s="3488"/>
      <c r="AA4" s="3491" t="s">
        <v>2466</v>
      </c>
      <c r="AB4" s="3491" t="s">
        <v>2467</v>
      </c>
      <c r="AC4" s="3480" t="s">
        <v>2468</v>
      </c>
    </row>
    <row r="5" spans="1:29" ht="15">
      <c r="A5" s="364"/>
      <c r="B5" s="365"/>
      <c r="C5" s="3471" t="s">
        <v>2362</v>
      </c>
      <c r="D5" s="3467"/>
      <c r="E5" s="3476" t="s">
        <v>2363</v>
      </c>
      <c r="F5" s="3475"/>
      <c r="G5" s="3471" t="s">
        <v>2364</v>
      </c>
      <c r="H5" s="3467"/>
      <c r="I5" s="3471" t="s">
        <v>2365</v>
      </c>
      <c r="J5" s="3467"/>
      <c r="K5" s="567"/>
      <c r="L5" s="2944"/>
      <c r="M5" s="2945"/>
      <c r="N5" s="2945"/>
      <c r="O5" s="2945"/>
      <c r="P5" s="3485"/>
      <c r="Q5" s="3454"/>
      <c r="R5" s="3459"/>
      <c r="S5" s="3460"/>
      <c r="T5" s="3459"/>
      <c r="U5" s="3460"/>
      <c r="V5" s="3463"/>
      <c r="W5" s="3463"/>
      <c r="X5" s="1540"/>
      <c r="Y5" s="3459"/>
      <c r="Z5" s="3460"/>
      <c r="AA5" s="3445"/>
      <c r="AB5" s="3445"/>
      <c r="AC5" s="3481"/>
    </row>
    <row r="6" spans="1:29" ht="15.75" thickBot="1">
      <c r="A6" s="366"/>
      <c r="B6" s="367"/>
      <c r="C6" s="3464" t="s">
        <v>2366</v>
      </c>
      <c r="D6" s="3465"/>
      <c r="E6" s="3472" t="s">
        <v>2366</v>
      </c>
      <c r="F6" s="3473"/>
      <c r="G6" s="3464" t="s">
        <v>2366</v>
      </c>
      <c r="H6" s="3465"/>
      <c r="I6" s="3464" t="s">
        <v>2366</v>
      </c>
      <c r="J6" s="3465"/>
      <c r="K6" s="567" t="s">
        <v>2367</v>
      </c>
      <c r="L6" s="2944"/>
      <c r="M6" s="2945"/>
      <c r="N6" s="2945"/>
      <c r="O6" s="2945"/>
      <c r="P6" s="3486"/>
      <c r="Q6" s="3456"/>
      <c r="R6" s="3459"/>
      <c r="S6" s="3460"/>
      <c r="T6" s="3461"/>
      <c r="U6" s="3462"/>
      <c r="V6" s="3463"/>
      <c r="W6" s="3463"/>
      <c r="X6" s="1540"/>
      <c r="Y6" s="3461"/>
      <c r="Z6" s="3462"/>
      <c r="AA6" s="3446"/>
      <c r="AB6" s="3446"/>
      <c r="AC6" s="3482"/>
    </row>
    <row r="7" spans="1:29" s="113" customFormat="1" ht="15.75" thickBot="1">
      <c r="A7" s="368" t="s">
        <v>2368</v>
      </c>
      <c r="B7" s="369"/>
      <c r="C7" s="370">
        <f>'数据-取费表'!B2</f>
        <v>44256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90" t="s">
        <v>2369</v>
      </c>
      <c r="Q7" s="3470"/>
      <c r="R7" s="710" t="s">
        <v>17</v>
      </c>
      <c r="S7" s="711">
        <f t="shared" ref="S7:S15" si="0">F7</f>
        <v>0</v>
      </c>
      <c r="T7" s="710" t="s">
        <v>17</v>
      </c>
      <c r="U7" s="711">
        <f t="shared" ref="U7:U15" si="1">H7</f>
        <v>0</v>
      </c>
      <c r="V7" s="710" t="s">
        <v>17</v>
      </c>
      <c r="W7" s="711">
        <f t="shared" ref="W7:W15" si="2">J7</f>
        <v>0</v>
      </c>
      <c r="X7" s="712"/>
      <c r="Y7" s="3468" t="s">
        <v>2369</v>
      </c>
      <c r="Z7" s="3469"/>
      <c r="AA7" s="713" t="e">
        <f>D7/F7</f>
        <v>#DIV/0!</v>
      </c>
      <c r="AB7" s="713" t="e">
        <f>D7/H7</f>
        <v>#DIV/0!</v>
      </c>
      <c r="AC7" s="2146" t="e">
        <f>D7/J7</f>
        <v>#DIV/0!</v>
      </c>
    </row>
    <row r="8" spans="1:29" s="113" customFormat="1" ht="15.75" thickBot="1">
      <c r="A8" s="368" t="s">
        <v>2370</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90" t="s">
        <v>2372</v>
      </c>
      <c r="Q8" s="3469"/>
      <c r="R8" s="710" t="s">
        <v>17</v>
      </c>
      <c r="S8" s="711">
        <f t="shared" si="0"/>
        <v>0</v>
      </c>
      <c r="T8" s="710" t="s">
        <v>17</v>
      </c>
      <c r="U8" s="711">
        <f t="shared" si="1"/>
        <v>0</v>
      </c>
      <c r="V8" s="710" t="s">
        <v>17</v>
      </c>
      <c r="W8" s="711">
        <f t="shared" si="2"/>
        <v>0</v>
      </c>
      <c r="X8" s="712"/>
      <c r="Y8" s="3468" t="s">
        <v>2372</v>
      </c>
      <c r="Z8" s="346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43" t="s">
        <v>2375</v>
      </c>
      <c r="Q9" s="1528" t="str">
        <f t="shared" ref="Q9:Q15" si="6">B9</f>
        <v>用途</v>
      </c>
      <c r="R9" s="710" t="s">
        <v>17</v>
      </c>
      <c r="S9" s="711">
        <f t="shared" si="0"/>
        <v>100</v>
      </c>
      <c r="T9" s="710" t="s">
        <v>17</v>
      </c>
      <c r="U9" s="711">
        <f t="shared" si="1"/>
        <v>100</v>
      </c>
      <c r="V9" s="710" t="s">
        <v>17</v>
      </c>
      <c r="W9" s="711">
        <f t="shared" si="2"/>
        <v>100</v>
      </c>
      <c r="X9" s="712"/>
      <c r="Y9" s="3231"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43"/>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43"/>
      <c r="Q11" s="1528"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443"/>
      <c r="Q12" s="1528">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443"/>
      <c r="Q13" s="1528">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443"/>
      <c r="Q14" s="1528">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2146">
        <f t="shared" si="5"/>
        <v>1</v>
      </c>
    </row>
    <row r="15" spans="1:29" ht="71.25">
      <c r="A15" s="399" t="s">
        <v>2379</v>
      </c>
      <c r="B15" s="585" t="s">
        <v>2506</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41" t="s">
        <v>2380</v>
      </c>
      <c r="Q15" s="1537" t="str">
        <f t="shared" si="6"/>
        <v>办公集聚程度</v>
      </c>
      <c r="R15" s="714" t="s">
        <v>17</v>
      </c>
      <c r="S15" s="715">
        <f t="shared" si="0"/>
        <v>100</v>
      </c>
      <c r="T15" s="714" t="s">
        <v>17</v>
      </c>
      <c r="U15" s="715">
        <f t="shared" si="1"/>
        <v>100</v>
      </c>
      <c r="V15" s="714" t="s">
        <v>17</v>
      </c>
      <c r="W15" s="715">
        <f t="shared" si="2"/>
        <v>100</v>
      </c>
      <c r="X15" s="1540"/>
      <c r="Y15" s="3434"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442"/>
      <c r="Q16" s="1537"/>
      <c r="R16" s="714"/>
      <c r="S16" s="715"/>
      <c r="T16" s="714"/>
      <c r="U16" s="715"/>
      <c r="V16" s="714"/>
      <c r="W16" s="715"/>
      <c r="X16" s="1540"/>
      <c r="Y16" s="3435"/>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42"/>
      <c r="Q17" s="1537" t="str">
        <f>B17</f>
        <v>交通便捷度</v>
      </c>
      <c r="R17" s="714" t="s">
        <v>17</v>
      </c>
      <c r="S17" s="715">
        <f>F17</f>
        <v>100</v>
      </c>
      <c r="T17" s="714" t="s">
        <v>17</v>
      </c>
      <c r="U17" s="715">
        <f>H17</f>
        <v>100</v>
      </c>
      <c r="V17" s="714" t="s">
        <v>17</v>
      </c>
      <c r="W17" s="715">
        <f>J17</f>
        <v>100</v>
      </c>
      <c r="X17" s="1540"/>
      <c r="Y17" s="3435"/>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442"/>
      <c r="Q18" s="1537"/>
      <c r="R18" s="714"/>
      <c r="S18" s="715"/>
      <c r="T18" s="714"/>
      <c r="U18" s="715"/>
      <c r="V18" s="714"/>
      <c r="W18" s="715"/>
      <c r="X18" s="1540"/>
      <c r="Y18" s="3435"/>
      <c r="Z18" s="1541"/>
      <c r="AA18" s="1538">
        <v>1</v>
      </c>
      <c r="AB18" s="1538">
        <v>1</v>
      </c>
      <c r="AC18" s="2149">
        <v>1</v>
      </c>
    </row>
    <row r="19" spans="1:29" ht="42.75">
      <c r="A19" s="387"/>
      <c r="B19" s="587" t="s">
        <v>2507</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42"/>
      <c r="Q19" s="1537" t="str">
        <f>B19</f>
        <v>公共配套设施</v>
      </c>
      <c r="R19" s="714" t="s">
        <v>17</v>
      </c>
      <c r="S19" s="715">
        <f>F19</f>
        <v>100</v>
      </c>
      <c r="T19" s="714" t="s">
        <v>17</v>
      </c>
      <c r="U19" s="715">
        <f>H19</f>
        <v>100</v>
      </c>
      <c r="V19" s="714" t="s">
        <v>17</v>
      </c>
      <c r="W19" s="715">
        <f>J19</f>
        <v>100</v>
      </c>
      <c r="X19" s="1540"/>
      <c r="Y19" s="3435"/>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442"/>
      <c r="Q20" s="1537"/>
      <c r="R20" s="714"/>
      <c r="S20" s="715"/>
      <c r="T20" s="714"/>
      <c r="U20" s="715"/>
      <c r="V20" s="714"/>
      <c r="W20" s="715"/>
      <c r="X20" s="1540"/>
      <c r="Y20" s="3435"/>
      <c r="Z20" s="1541"/>
      <c r="AA20" s="1538">
        <v>1</v>
      </c>
      <c r="AB20" s="1538">
        <v>1</v>
      </c>
      <c r="AC20" s="2149">
        <v>1</v>
      </c>
    </row>
    <row r="21" spans="1:29" ht="28.5">
      <c r="A21" s="387"/>
      <c r="B21" s="589" t="s">
        <v>2508</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42"/>
      <c r="Q21" s="1537" t="str">
        <f>B21</f>
        <v>基础设施水平</v>
      </c>
      <c r="R21" s="714" t="s">
        <v>17</v>
      </c>
      <c r="S21" s="715">
        <f>F21</f>
        <v>100</v>
      </c>
      <c r="T21" s="714" t="s">
        <v>17</v>
      </c>
      <c r="U21" s="715">
        <f>H21</f>
        <v>100</v>
      </c>
      <c r="V21" s="714" t="s">
        <v>17</v>
      </c>
      <c r="W21" s="715">
        <f>J21</f>
        <v>100</v>
      </c>
      <c r="X21" s="1540"/>
      <c r="Y21" s="3435"/>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442"/>
      <c r="Q22" s="1537"/>
      <c r="R22" s="714"/>
      <c r="S22" s="715"/>
      <c r="T22" s="714"/>
      <c r="U22" s="715"/>
      <c r="V22" s="714"/>
      <c r="W22" s="715"/>
      <c r="X22" s="1540"/>
      <c r="Y22" s="3435"/>
      <c r="Z22" s="1541"/>
      <c r="AA22" s="1538">
        <v>1</v>
      </c>
      <c r="AB22" s="1538">
        <v>1</v>
      </c>
      <c r="AC22" s="2149">
        <v>1</v>
      </c>
    </row>
    <row r="23" spans="1:29" ht="42.75">
      <c r="A23" s="387"/>
      <c r="B23" s="587" t="s">
        <v>2509</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42"/>
      <c r="Q23" s="1537" t="str">
        <f>B23</f>
        <v>环境质量</v>
      </c>
      <c r="R23" s="714" t="s">
        <v>17</v>
      </c>
      <c r="S23" s="715">
        <f>F23</f>
        <v>100</v>
      </c>
      <c r="T23" s="714" t="s">
        <v>17</v>
      </c>
      <c r="U23" s="715">
        <f>H23</f>
        <v>100</v>
      </c>
      <c r="V23" s="714" t="s">
        <v>17</v>
      </c>
      <c r="W23" s="715">
        <f>J23</f>
        <v>100</v>
      </c>
      <c r="X23" s="1540"/>
      <c r="Y23" s="3435"/>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442"/>
      <c r="Q24" s="1537"/>
      <c r="R24" s="714"/>
      <c r="S24" s="715"/>
      <c r="T24" s="714"/>
      <c r="U24" s="715"/>
      <c r="V24" s="714"/>
      <c r="W24" s="715"/>
      <c r="X24" s="1540"/>
      <c r="Y24" s="3435"/>
      <c r="Z24" s="1541"/>
      <c r="AA24" s="1538">
        <v>1</v>
      </c>
      <c r="AB24" s="1538">
        <v>1</v>
      </c>
      <c r="AC24" s="2149">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442"/>
      <c r="Q25" s="1537" t="str">
        <f>B25</f>
        <v>毗邻道路的类型与等级</v>
      </c>
      <c r="R25" s="714" t="s">
        <v>17</v>
      </c>
      <c r="S25" s="715">
        <f>F25</f>
        <v>100</v>
      </c>
      <c r="T25" s="714" t="s">
        <v>17</v>
      </c>
      <c r="U25" s="715">
        <f>H25</f>
        <v>100</v>
      </c>
      <c r="V25" s="714" t="s">
        <v>17</v>
      </c>
      <c r="W25" s="715">
        <f>J25</f>
        <v>100</v>
      </c>
      <c r="X25" s="1540"/>
      <c r="Y25" s="3435"/>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442"/>
      <c r="Q26" s="1537"/>
      <c r="R26" s="714"/>
      <c r="S26" s="715"/>
      <c r="T26" s="714"/>
      <c r="U26" s="715"/>
      <c r="V26" s="714"/>
      <c r="W26" s="715"/>
      <c r="X26" s="1540"/>
      <c r="Y26" s="3435"/>
      <c r="Z26" s="1541"/>
      <c r="AA26" s="1538">
        <v>1</v>
      </c>
      <c r="AB26" s="1538">
        <v>1</v>
      </c>
      <c r="AC26" s="2149">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42"/>
      <c r="Q27" s="1537" t="str">
        <f t="shared" ref="Q27:Q47" si="11">B27</f>
        <v>楼层</v>
      </c>
      <c r="R27" s="714" t="s">
        <v>17</v>
      </c>
      <c r="S27" s="715">
        <f>F27</f>
        <v>100</v>
      </c>
      <c r="T27" s="714" t="s">
        <v>17</v>
      </c>
      <c r="U27" s="715">
        <f>H27</f>
        <v>100</v>
      </c>
      <c r="V27" s="714" t="s">
        <v>17</v>
      </c>
      <c r="W27" s="715">
        <f>J27</f>
        <v>100</v>
      </c>
      <c r="X27" s="1540"/>
      <c r="Y27" s="3435"/>
      <c r="Z27" s="1541" t="str">
        <f>Q27</f>
        <v>楼层</v>
      </c>
      <c r="AA27" s="1538">
        <f t="shared" si="3"/>
        <v>1</v>
      </c>
      <c r="AB27" s="1538">
        <f t="shared" si="4"/>
        <v>1</v>
      </c>
      <c r="AC27" s="2149">
        <f t="shared" si="5"/>
        <v>1</v>
      </c>
    </row>
    <row r="28" spans="1:29" s="113" customFormat="1" ht="15">
      <c r="A28" s="390"/>
      <c r="B28" s="587" t="s">
        <v>2511</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442"/>
      <c r="Q28" s="1528" t="str">
        <f t="shared" si="11"/>
        <v>朝向</v>
      </c>
      <c r="R28" s="710" t="s">
        <v>17</v>
      </c>
      <c r="S28" s="711">
        <f>F28</f>
        <v>100</v>
      </c>
      <c r="T28" s="710" t="s">
        <v>17</v>
      </c>
      <c r="U28" s="711">
        <f>H28</f>
        <v>100</v>
      </c>
      <c r="V28" s="710" t="s">
        <v>17</v>
      </c>
      <c r="W28" s="711">
        <f>J28</f>
        <v>100</v>
      </c>
      <c r="X28" s="712"/>
      <c r="Y28" s="3435"/>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442"/>
      <c r="Q29" s="1537">
        <f t="shared" si="11"/>
        <v>111</v>
      </c>
      <c r="R29" s="714" t="s">
        <v>17</v>
      </c>
      <c r="S29" s="715">
        <f t="shared" ref="S29:S47" si="12">F29</f>
        <v>100</v>
      </c>
      <c r="T29" s="714" t="s">
        <v>17</v>
      </c>
      <c r="U29" s="715">
        <f t="shared" ref="U29:U47" si="13">H29</f>
        <v>100</v>
      </c>
      <c r="V29" s="714" t="s">
        <v>17</v>
      </c>
      <c r="W29" s="715">
        <f t="shared" ref="W29:W47" si="14">J29</f>
        <v>100</v>
      </c>
      <c r="X29" s="1540"/>
      <c r="Y29" s="3435"/>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442"/>
      <c r="Q30" s="1537">
        <f t="shared" si="11"/>
        <v>111</v>
      </c>
      <c r="R30" s="714" t="s">
        <v>17</v>
      </c>
      <c r="S30" s="715">
        <f t="shared" si="12"/>
        <v>100</v>
      </c>
      <c r="T30" s="714" t="s">
        <v>17</v>
      </c>
      <c r="U30" s="715">
        <f t="shared" si="13"/>
        <v>100</v>
      </c>
      <c r="V30" s="714" t="s">
        <v>17</v>
      </c>
      <c r="W30" s="715">
        <f t="shared" si="14"/>
        <v>100</v>
      </c>
      <c r="X30" s="1540"/>
      <c r="Y30" s="3435"/>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442"/>
      <c r="Q31" s="1537">
        <f t="shared" si="11"/>
        <v>111</v>
      </c>
      <c r="R31" s="714" t="s">
        <v>17</v>
      </c>
      <c r="S31" s="715">
        <f t="shared" si="12"/>
        <v>100</v>
      </c>
      <c r="T31" s="714" t="s">
        <v>17</v>
      </c>
      <c r="U31" s="715">
        <f t="shared" si="13"/>
        <v>100</v>
      </c>
      <c r="V31" s="714" t="s">
        <v>17</v>
      </c>
      <c r="W31" s="715">
        <f t="shared" si="14"/>
        <v>100</v>
      </c>
      <c r="X31" s="1540"/>
      <c r="Y31" s="3435"/>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442"/>
      <c r="Q32" s="1537">
        <f t="shared" si="11"/>
        <v>111</v>
      </c>
      <c r="R32" s="714" t="s">
        <v>17</v>
      </c>
      <c r="S32" s="715">
        <f t="shared" si="12"/>
        <v>100</v>
      </c>
      <c r="T32" s="714" t="s">
        <v>17</v>
      </c>
      <c r="U32" s="715">
        <f t="shared" si="13"/>
        <v>100</v>
      </c>
      <c r="V32" s="714" t="s">
        <v>17</v>
      </c>
      <c r="W32" s="715">
        <f t="shared" si="14"/>
        <v>100</v>
      </c>
      <c r="X32" s="1540"/>
      <c r="Y32" s="3435"/>
      <c r="Z32" s="1541">
        <f t="shared" si="15"/>
        <v>111</v>
      </c>
      <c r="AA32" s="1538">
        <f t="shared" si="3"/>
        <v>1</v>
      </c>
      <c r="AB32" s="1538">
        <f t="shared" si="4"/>
        <v>1</v>
      </c>
      <c r="AC32" s="2149">
        <f t="shared" si="5"/>
        <v>1</v>
      </c>
    </row>
    <row r="33" spans="1:29" ht="15">
      <c r="A33" s="399" t="s">
        <v>2383</v>
      </c>
      <c r="B33" s="67" t="s">
        <v>2512</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436" t="s">
        <v>2385</v>
      </c>
      <c r="Q33" s="1537" t="str">
        <f t="shared" si="11"/>
        <v>建筑类型</v>
      </c>
      <c r="R33" s="714" t="s">
        <v>17</v>
      </c>
      <c r="S33" s="715">
        <f t="shared" si="12"/>
        <v>100</v>
      </c>
      <c r="T33" s="714" t="s">
        <v>17</v>
      </c>
      <c r="U33" s="715">
        <f t="shared" si="13"/>
        <v>100</v>
      </c>
      <c r="V33" s="714" t="s">
        <v>17</v>
      </c>
      <c r="W33" s="715">
        <f t="shared" si="14"/>
        <v>100</v>
      </c>
      <c r="X33" s="1540"/>
      <c r="Y33" s="3439"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37"/>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37"/>
      <c r="Q35" s="1537" t="str">
        <f t="shared" si="11"/>
        <v>建筑结构</v>
      </c>
      <c r="R35" s="714" t="s">
        <v>17</v>
      </c>
      <c r="S35" s="715">
        <f t="shared" si="12"/>
        <v>100</v>
      </c>
      <c r="T35" s="714" t="s">
        <v>17</v>
      </c>
      <c r="U35" s="715">
        <f t="shared" si="13"/>
        <v>100</v>
      </c>
      <c r="V35" s="714" t="s">
        <v>17</v>
      </c>
      <c r="W35" s="715">
        <f t="shared" si="14"/>
        <v>100</v>
      </c>
      <c r="X35" s="1540"/>
      <c r="Y35" s="3439"/>
      <c r="Z35" s="1541" t="str">
        <f t="shared" si="15"/>
        <v>建筑结构</v>
      </c>
      <c r="AA35" s="1538">
        <f t="shared" si="3"/>
        <v>1</v>
      </c>
      <c r="AB35" s="1538">
        <f t="shared" si="4"/>
        <v>1</v>
      </c>
      <c r="AC35" s="2149">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37"/>
      <c r="Q36" s="1537" t="str">
        <f t="shared" si="11"/>
        <v>公共部分装修</v>
      </c>
      <c r="R36" s="714" t="s">
        <v>17</v>
      </c>
      <c r="S36" s="715">
        <f t="shared" si="12"/>
        <v>100</v>
      </c>
      <c r="T36" s="714" t="s">
        <v>17</v>
      </c>
      <c r="U36" s="715">
        <f t="shared" si="13"/>
        <v>100</v>
      </c>
      <c r="V36" s="714" t="s">
        <v>17</v>
      </c>
      <c r="W36" s="715">
        <f t="shared" si="14"/>
        <v>100</v>
      </c>
      <c r="X36" s="1540"/>
      <c r="Y36" s="3439"/>
      <c r="Z36" s="1541" t="str">
        <f t="shared" si="15"/>
        <v>公共部分装修</v>
      </c>
      <c r="AA36" s="1538">
        <f t="shared" si="3"/>
        <v>1</v>
      </c>
      <c r="AB36" s="1538">
        <f t="shared" si="4"/>
        <v>1</v>
      </c>
      <c r="AC36" s="2149">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37"/>
      <c r="Q37" s="1537" t="str">
        <f t="shared" si="11"/>
        <v>成新度</v>
      </c>
      <c r="R37" s="714" t="s">
        <v>17</v>
      </c>
      <c r="S37" s="715" t="e">
        <f t="shared" si="12"/>
        <v>#N/A</v>
      </c>
      <c r="T37" s="714" t="s">
        <v>17</v>
      </c>
      <c r="U37" s="715" t="e">
        <f t="shared" si="13"/>
        <v>#N/A</v>
      </c>
      <c r="V37" s="714" t="s">
        <v>17</v>
      </c>
      <c r="W37" s="715" t="e">
        <f t="shared" si="14"/>
        <v>#N/A</v>
      </c>
      <c r="X37" s="1540"/>
      <c r="Y37" s="3439"/>
      <c r="Z37" s="1541" t="str">
        <f t="shared" si="15"/>
        <v>成新度</v>
      </c>
      <c r="AA37" s="1538" t="e">
        <f t="shared" si="3"/>
        <v>#N/A</v>
      </c>
      <c r="AB37" s="1538" t="e">
        <f t="shared" si="4"/>
        <v>#N/A</v>
      </c>
      <c r="AC37" s="2149"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37"/>
      <c r="Q38" s="1528"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46">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37" t="s">
        <v>2385</v>
      </c>
      <c r="Q39" s="1537" t="str">
        <f t="shared" si="11"/>
        <v>物业管理</v>
      </c>
      <c r="R39" s="714" t="s">
        <v>17</v>
      </c>
      <c r="S39" s="715">
        <f t="shared" si="12"/>
        <v>100</v>
      </c>
      <c r="T39" s="714" t="s">
        <v>17</v>
      </c>
      <c r="U39" s="715">
        <f t="shared" si="13"/>
        <v>100</v>
      </c>
      <c r="V39" s="714" t="s">
        <v>17</v>
      </c>
      <c r="W39" s="715">
        <f t="shared" si="14"/>
        <v>100</v>
      </c>
      <c r="X39" s="1540"/>
      <c r="Y39" s="3439" t="s">
        <v>2385</v>
      </c>
      <c r="Z39" s="1541" t="str">
        <f t="shared" si="15"/>
        <v>物业管理</v>
      </c>
      <c r="AA39" s="1538">
        <f t="shared" si="3"/>
        <v>1</v>
      </c>
      <c r="AB39" s="1538">
        <f t="shared" si="4"/>
        <v>1</v>
      </c>
      <c r="AC39" s="2149">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37"/>
      <c r="Q40" s="1537" t="str">
        <f t="shared" si="11"/>
        <v>市政基础设施</v>
      </c>
      <c r="R40" s="714" t="s">
        <v>17</v>
      </c>
      <c r="S40" s="715">
        <f t="shared" si="12"/>
        <v>100</v>
      </c>
      <c r="T40" s="714" t="s">
        <v>17</v>
      </c>
      <c r="U40" s="715">
        <f t="shared" si="13"/>
        <v>100</v>
      </c>
      <c r="V40" s="714" t="s">
        <v>17</v>
      </c>
      <c r="W40" s="715">
        <f t="shared" si="14"/>
        <v>100</v>
      </c>
      <c r="X40" s="1540"/>
      <c r="Y40" s="3439"/>
      <c r="Z40" s="1541" t="str">
        <f t="shared" si="15"/>
        <v>市政基础设施</v>
      </c>
      <c r="AA40" s="1538">
        <f t="shared" si="3"/>
        <v>1</v>
      </c>
      <c r="AB40" s="1538">
        <f t="shared" si="4"/>
        <v>1</v>
      </c>
      <c r="AC40" s="2149">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37"/>
      <c r="Q41" s="1537" t="str">
        <f t="shared" si="11"/>
        <v>层高</v>
      </c>
      <c r="R41" s="714" t="s">
        <v>17</v>
      </c>
      <c r="S41" s="715">
        <f t="shared" si="12"/>
        <v>100</v>
      </c>
      <c r="T41" s="714" t="s">
        <v>17</v>
      </c>
      <c r="U41" s="715">
        <f t="shared" si="13"/>
        <v>100</v>
      </c>
      <c r="V41" s="714" t="s">
        <v>17</v>
      </c>
      <c r="W41" s="715">
        <f t="shared" si="14"/>
        <v>100</v>
      </c>
      <c r="X41" s="1540"/>
      <c r="Y41" s="3439"/>
      <c r="Z41" s="1541" t="str">
        <f t="shared" si="15"/>
        <v>层高</v>
      </c>
      <c r="AA41" s="1538">
        <f t="shared" si="3"/>
        <v>1</v>
      </c>
      <c r="AB41" s="1538">
        <f t="shared" si="4"/>
        <v>1</v>
      </c>
      <c r="AC41" s="2149">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37"/>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38">
        <f t="shared" si="3"/>
        <v>1</v>
      </c>
      <c r="AB42" s="1538">
        <f t="shared" si="4"/>
        <v>1</v>
      </c>
      <c r="AC42" s="2149">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37"/>
      <c r="Q43" s="1537" t="str">
        <f t="shared" si="11"/>
        <v>内部装修</v>
      </c>
      <c r="R43" s="714" t="s">
        <v>17</v>
      </c>
      <c r="S43" s="715">
        <f t="shared" si="12"/>
        <v>100</v>
      </c>
      <c r="T43" s="714" t="s">
        <v>17</v>
      </c>
      <c r="U43" s="715">
        <f t="shared" si="13"/>
        <v>100</v>
      </c>
      <c r="V43" s="714" t="s">
        <v>17</v>
      </c>
      <c r="W43" s="715">
        <f t="shared" si="14"/>
        <v>100</v>
      </c>
      <c r="X43" s="1540"/>
      <c r="Y43" s="3439"/>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437"/>
      <c r="Q44" s="1537" t="str">
        <f t="shared" si="11"/>
        <v>内部装修维护情况</v>
      </c>
      <c r="R44" s="714" t="s">
        <v>17</v>
      </c>
      <c r="S44" s="715">
        <f t="shared" si="12"/>
        <v>100</v>
      </c>
      <c r="T44" s="714" t="s">
        <v>17</v>
      </c>
      <c r="U44" s="715">
        <f t="shared" si="13"/>
        <v>100</v>
      </c>
      <c r="V44" s="714" t="s">
        <v>17</v>
      </c>
      <c r="W44" s="715">
        <f t="shared" si="14"/>
        <v>100</v>
      </c>
      <c r="X44" s="1540"/>
      <c r="Y44" s="3439"/>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37"/>
      <c r="Q45" s="1528">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37"/>
      <c r="Q46" s="1537">
        <f t="shared" si="11"/>
        <v>111</v>
      </c>
      <c r="R46" s="714" t="s">
        <v>17</v>
      </c>
      <c r="S46" s="715">
        <f t="shared" si="12"/>
        <v>100</v>
      </c>
      <c r="T46" s="714" t="s">
        <v>17</v>
      </c>
      <c r="U46" s="715">
        <f t="shared" si="13"/>
        <v>100</v>
      </c>
      <c r="V46" s="714" t="s">
        <v>17</v>
      </c>
      <c r="W46" s="715">
        <f t="shared" si="14"/>
        <v>100</v>
      </c>
      <c r="X46" s="1540"/>
      <c r="Y46" s="3439"/>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38"/>
      <c r="Q47" s="1537">
        <f t="shared" si="11"/>
        <v>111</v>
      </c>
      <c r="R47" s="714" t="s">
        <v>17</v>
      </c>
      <c r="S47" s="715">
        <f t="shared" si="12"/>
        <v>100</v>
      </c>
      <c r="T47" s="714" t="s">
        <v>17</v>
      </c>
      <c r="U47" s="715">
        <f t="shared" si="13"/>
        <v>100</v>
      </c>
      <c r="V47" s="714" t="s">
        <v>17</v>
      </c>
      <c r="W47" s="715">
        <f t="shared" si="14"/>
        <v>100</v>
      </c>
      <c r="X47" s="1540"/>
      <c r="Y47" s="3440"/>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3"/>
      <c r="M48" s="2945"/>
      <c r="N48" s="2945"/>
      <c r="O48" s="2945"/>
      <c r="P48" s="3443" t="str">
        <f>A48</f>
        <v>成交单价（元/平方米）</v>
      </c>
      <c r="Q48" s="3432"/>
      <c r="R48" s="3433">
        <f>E48</f>
        <v>0</v>
      </c>
      <c r="S48" s="3433"/>
      <c r="T48" s="3433">
        <f>G48</f>
        <v>0</v>
      </c>
      <c r="U48" s="3433"/>
      <c r="V48" s="3433">
        <f>I48</f>
        <v>0</v>
      </c>
      <c r="W48" s="3433"/>
      <c r="X48" s="405"/>
      <c r="Y48" s="721"/>
      <c r="Z48" s="405"/>
      <c r="AA48" s="405"/>
      <c r="AB48" s="405"/>
      <c r="AC48" s="586"/>
    </row>
    <row r="49" spans="1:29" ht="15.75" thickBot="1">
      <c r="A49" s="445" t="s">
        <v>2488</v>
      </c>
      <c r="B49" s="446"/>
      <c r="C49" s="1322" t="e">
        <f>R50</f>
        <v>#DIV/0!</v>
      </c>
      <c r="D49" s="2539" t="s">
        <v>2877</v>
      </c>
      <c r="E49" s="1323" t="e">
        <f>R49</f>
        <v>#DIV/0!</v>
      </c>
      <c r="F49" s="2540"/>
      <c r="G49" s="1322" t="e">
        <f>T49</f>
        <v>#DIV/0!</v>
      </c>
      <c r="H49" s="2540"/>
      <c r="I49" s="1323" t="e">
        <f>V49</f>
        <v>#DIV/0!</v>
      </c>
      <c r="J49" s="2540"/>
      <c r="K49" s="2542">
        <f>F49+H49+J49</f>
        <v>0</v>
      </c>
      <c r="L49" s="2953"/>
      <c r="M49" s="2945"/>
      <c r="N49" s="2945"/>
      <c r="O49" s="2945"/>
      <c r="P49" s="3443" t="str">
        <f>A49</f>
        <v>比较价值（元/平方米）</v>
      </c>
      <c r="Q49" s="3432"/>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2374</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10" sqref="Q1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2521</v>
      </c>
      <c r="C1" s="1392" t="s">
        <v>2351</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2463</v>
      </c>
      <c r="D3" s="359">
        <f>IF(D1="",'数据-汇总表'!E3,SUMIF('数据-汇总表'!$C19:$C33,D1,'数据-汇总表'!$E19:$E33))</f>
        <v>16732.060000000001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1044"/>
      <c r="M4" s="1045"/>
      <c r="N4" s="1045"/>
      <c r="O4" s="1045"/>
      <c r="P4" s="3451" t="s">
        <v>2470</v>
      </c>
      <c r="Q4" s="3452"/>
      <c r="R4" s="3457" t="s">
        <v>2466</v>
      </c>
      <c r="S4" s="3458"/>
      <c r="T4" s="3457" t="s">
        <v>2467</v>
      </c>
      <c r="U4" s="3458"/>
      <c r="V4" s="3463" t="s">
        <v>2468</v>
      </c>
      <c r="W4" s="3463"/>
      <c r="X4" s="1540"/>
      <c r="Y4" s="3457" t="s">
        <v>2470</v>
      </c>
      <c r="Z4" s="3458"/>
      <c r="AA4" s="3444" t="s">
        <v>2466</v>
      </c>
      <c r="AB4" s="3445" t="s">
        <v>2467</v>
      </c>
      <c r="AC4" s="3444" t="s">
        <v>2468</v>
      </c>
    </row>
    <row r="5" spans="1:29" ht="15">
      <c r="A5" s="364"/>
      <c r="B5" s="365"/>
      <c r="C5" s="3471" t="s">
        <v>2362</v>
      </c>
      <c r="D5" s="3467"/>
      <c r="E5" s="3476" t="s">
        <v>2363</v>
      </c>
      <c r="F5" s="3475"/>
      <c r="G5" s="3471" t="s">
        <v>2364</v>
      </c>
      <c r="H5" s="3467"/>
      <c r="I5" s="3471" t="s">
        <v>2365</v>
      </c>
      <c r="J5" s="3467"/>
      <c r="K5" s="567"/>
      <c r="L5" s="1044"/>
      <c r="M5" s="1045"/>
      <c r="N5" s="1045"/>
      <c r="O5" s="1045"/>
      <c r="P5" s="3453"/>
      <c r="Q5" s="3454"/>
      <c r="R5" s="3459"/>
      <c r="S5" s="3460"/>
      <c r="T5" s="3459"/>
      <c r="U5" s="3460"/>
      <c r="V5" s="3463"/>
      <c r="W5" s="3463"/>
      <c r="X5" s="1540"/>
      <c r="Y5" s="3459"/>
      <c r="Z5" s="3460"/>
      <c r="AA5" s="3445"/>
      <c r="AB5" s="3445"/>
      <c r="AC5" s="3445"/>
    </row>
    <row r="6" spans="1:29" ht="15.75" thickBot="1">
      <c r="A6" s="366"/>
      <c r="B6" s="367"/>
      <c r="C6" s="3464" t="s">
        <v>2366</v>
      </c>
      <c r="D6" s="3465"/>
      <c r="E6" s="3472" t="s">
        <v>2366</v>
      </c>
      <c r="F6" s="3473"/>
      <c r="G6" s="3464" t="s">
        <v>2366</v>
      </c>
      <c r="H6" s="3465"/>
      <c r="I6" s="3464" t="s">
        <v>2366</v>
      </c>
      <c r="J6" s="3465"/>
      <c r="K6" s="567" t="s">
        <v>2367</v>
      </c>
      <c r="L6" s="1044"/>
      <c r="M6" s="1045"/>
      <c r="N6" s="1045"/>
      <c r="O6" s="1045"/>
      <c r="P6" s="3455"/>
      <c r="Q6" s="3456"/>
      <c r="R6" s="3459"/>
      <c r="S6" s="3460"/>
      <c r="T6" s="3461"/>
      <c r="U6" s="3462"/>
      <c r="V6" s="3463"/>
      <c r="W6" s="3463"/>
      <c r="X6" s="1540"/>
      <c r="Y6" s="3461"/>
      <c r="Z6" s="3462"/>
      <c r="AA6" s="3446"/>
      <c r="AB6" s="3446"/>
      <c r="AC6" s="3446"/>
    </row>
    <row r="7" spans="1:29" s="113" customFormat="1" ht="15.75" thickBot="1">
      <c r="A7" s="368" t="s">
        <v>2368</v>
      </c>
      <c r="B7" s="369"/>
      <c r="C7" s="370">
        <f>'数据-取费表'!B2</f>
        <v>44256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8" t="s">
        <v>2369</v>
      </c>
      <c r="Q7" s="3470"/>
      <c r="R7" s="710" t="s">
        <v>17</v>
      </c>
      <c r="S7" s="711">
        <f t="shared" ref="S7:S15" si="0">F7</f>
        <v>0</v>
      </c>
      <c r="T7" s="710" t="s">
        <v>17</v>
      </c>
      <c r="U7" s="711">
        <f t="shared" ref="U7:U15" si="1">H7</f>
        <v>0</v>
      </c>
      <c r="V7" s="710" t="s">
        <v>17</v>
      </c>
      <c r="W7" s="711">
        <f t="shared" ref="W7:W15" si="2">J7</f>
        <v>0</v>
      </c>
      <c r="X7" s="712"/>
      <c r="Y7" s="3468" t="s">
        <v>2369</v>
      </c>
      <c r="Z7" s="346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8" t="s">
        <v>2372</v>
      </c>
      <c r="Q8" s="3469"/>
      <c r="R8" s="710" t="s">
        <v>17</v>
      </c>
      <c r="S8" s="711">
        <f t="shared" si="0"/>
        <v>0</v>
      </c>
      <c r="T8" s="710" t="s">
        <v>17</v>
      </c>
      <c r="U8" s="711">
        <f t="shared" si="1"/>
        <v>0</v>
      </c>
      <c r="V8" s="710" t="s">
        <v>17</v>
      </c>
      <c r="W8" s="711">
        <f t="shared" si="2"/>
        <v>0</v>
      </c>
      <c r="X8" s="712"/>
      <c r="Y8" s="3468" t="s">
        <v>2372</v>
      </c>
      <c r="Z8" s="346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2" t="s">
        <v>2375</v>
      </c>
      <c r="Q9" s="1528" t="str">
        <f t="shared" ref="Q9:Q15" si="6">B9</f>
        <v>用途</v>
      </c>
      <c r="R9" s="710" t="s">
        <v>17</v>
      </c>
      <c r="S9" s="711">
        <f t="shared" si="0"/>
        <v>100</v>
      </c>
      <c r="T9" s="710" t="s">
        <v>17</v>
      </c>
      <c r="U9" s="711">
        <f t="shared" si="1"/>
        <v>100</v>
      </c>
      <c r="V9" s="710" t="s">
        <v>17</v>
      </c>
      <c r="W9" s="711">
        <f t="shared" si="2"/>
        <v>100</v>
      </c>
      <c r="X9" s="712"/>
      <c r="Y9" s="323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2"/>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2"/>
      <c r="Q11" s="1528"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432"/>
      <c r="Q12" s="1528">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432"/>
      <c r="Q13" s="1528">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432"/>
      <c r="Q14" s="1528">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57">
      <c r="A15" s="399" t="s">
        <v>2379</v>
      </c>
      <c r="B15" s="65" t="s">
        <v>2522</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4" t="s">
        <v>2380</v>
      </c>
      <c r="Q15" s="1537" t="str">
        <f t="shared" si="6"/>
        <v>产业集聚程度</v>
      </c>
      <c r="R15" s="714" t="s">
        <v>17</v>
      </c>
      <c r="S15" s="715">
        <f t="shared" si="0"/>
        <v>100</v>
      </c>
      <c r="T15" s="714" t="s">
        <v>17</v>
      </c>
      <c r="U15" s="715">
        <f t="shared" si="1"/>
        <v>100</v>
      </c>
      <c r="V15" s="714" t="s">
        <v>17</v>
      </c>
      <c r="W15" s="715">
        <f t="shared" si="2"/>
        <v>100</v>
      </c>
      <c r="X15" s="1540"/>
      <c r="Y15" s="3434"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435"/>
      <c r="Q16" s="1537"/>
      <c r="R16" s="714"/>
      <c r="S16" s="715"/>
      <c r="T16" s="714"/>
      <c r="U16" s="715"/>
      <c r="V16" s="714"/>
      <c r="W16" s="715"/>
      <c r="X16" s="1540"/>
      <c r="Y16" s="3435"/>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5"/>
      <c r="Q17" s="1537" t="str">
        <f>B17</f>
        <v>交通便捷度</v>
      </c>
      <c r="R17" s="714" t="s">
        <v>17</v>
      </c>
      <c r="S17" s="715">
        <f>F17</f>
        <v>100</v>
      </c>
      <c r="T17" s="714" t="s">
        <v>17</v>
      </c>
      <c r="U17" s="715">
        <f>H17</f>
        <v>100</v>
      </c>
      <c r="V17" s="714" t="s">
        <v>17</v>
      </c>
      <c r="W17" s="715">
        <f>J17</f>
        <v>100</v>
      </c>
      <c r="X17" s="1540"/>
      <c r="Y17" s="3435"/>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435"/>
      <c r="Q18" s="1537"/>
      <c r="R18" s="714"/>
      <c r="S18" s="715"/>
      <c r="T18" s="714"/>
      <c r="U18" s="715"/>
      <c r="V18" s="714"/>
      <c r="W18" s="715"/>
      <c r="X18" s="1540"/>
      <c r="Y18" s="3435"/>
      <c r="Z18" s="1541"/>
      <c r="AA18" s="1538">
        <v>1</v>
      </c>
      <c r="AB18" s="1538">
        <v>1</v>
      </c>
      <c r="AC18" s="1538">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5"/>
      <c r="Q19" s="1537" t="str">
        <f>B19</f>
        <v>公共配套设施</v>
      </c>
      <c r="R19" s="714" t="s">
        <v>17</v>
      </c>
      <c r="S19" s="715">
        <f>F19</f>
        <v>100</v>
      </c>
      <c r="T19" s="714" t="s">
        <v>17</v>
      </c>
      <c r="U19" s="715">
        <f>H19</f>
        <v>100</v>
      </c>
      <c r="V19" s="714" t="s">
        <v>17</v>
      </c>
      <c r="W19" s="715">
        <f>J19</f>
        <v>100</v>
      </c>
      <c r="X19" s="1540"/>
      <c r="Y19" s="3435"/>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435"/>
      <c r="Q20" s="1537"/>
      <c r="R20" s="714"/>
      <c r="S20" s="715"/>
      <c r="T20" s="714"/>
      <c r="U20" s="715"/>
      <c r="V20" s="714"/>
      <c r="W20" s="715"/>
      <c r="X20" s="1540"/>
      <c r="Y20" s="3435"/>
      <c r="Z20" s="1541"/>
      <c r="AA20" s="1538">
        <v>1</v>
      </c>
      <c r="AB20" s="1538">
        <v>1</v>
      </c>
      <c r="AC20" s="1538">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5"/>
      <c r="Q21" s="1537" t="str">
        <f>B21</f>
        <v>基础设施水平</v>
      </c>
      <c r="R21" s="714" t="s">
        <v>17</v>
      </c>
      <c r="S21" s="715">
        <f>F21</f>
        <v>100</v>
      </c>
      <c r="T21" s="714" t="s">
        <v>17</v>
      </c>
      <c r="U21" s="715">
        <f>H21</f>
        <v>100</v>
      </c>
      <c r="V21" s="714" t="s">
        <v>17</v>
      </c>
      <c r="W21" s="715">
        <f>J21</f>
        <v>100</v>
      </c>
      <c r="X21" s="1540"/>
      <c r="Y21" s="3435"/>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435"/>
      <c r="Q22" s="1537"/>
      <c r="R22" s="714"/>
      <c r="S22" s="715"/>
      <c r="T22" s="714"/>
      <c r="U22" s="715"/>
      <c r="V22" s="714"/>
      <c r="W22" s="715"/>
      <c r="X22" s="1540"/>
      <c r="Y22" s="3435"/>
      <c r="Z22" s="1541"/>
      <c r="AA22" s="1538">
        <v>1</v>
      </c>
      <c r="AB22" s="1538">
        <v>1</v>
      </c>
      <c r="AC22" s="1538">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5"/>
      <c r="Q23" s="1537" t="str">
        <f>B23</f>
        <v>环境质量</v>
      </c>
      <c r="R23" s="714" t="s">
        <v>17</v>
      </c>
      <c r="S23" s="715">
        <f>F23</f>
        <v>100</v>
      </c>
      <c r="T23" s="714" t="s">
        <v>17</v>
      </c>
      <c r="U23" s="715">
        <f>H23</f>
        <v>100</v>
      </c>
      <c r="V23" s="714" t="s">
        <v>17</v>
      </c>
      <c r="W23" s="715">
        <f>J23</f>
        <v>100</v>
      </c>
      <c r="X23" s="1540"/>
      <c r="Y23" s="3435"/>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435"/>
      <c r="Q24" s="1537"/>
      <c r="R24" s="714"/>
      <c r="S24" s="715"/>
      <c r="T24" s="714"/>
      <c r="U24" s="715"/>
      <c r="V24" s="714"/>
      <c r="W24" s="715"/>
      <c r="X24" s="1540"/>
      <c r="Y24" s="3435"/>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5"/>
      <c r="Q25" s="1537">
        <f>B25</f>
        <v>111</v>
      </c>
      <c r="R25" s="714" t="s">
        <v>17</v>
      </c>
      <c r="S25" s="715">
        <f>F25</f>
        <v>100</v>
      </c>
      <c r="T25" s="714" t="s">
        <v>17</v>
      </c>
      <c r="U25" s="715">
        <f>H25</f>
        <v>100</v>
      </c>
      <c r="V25" s="714" t="s">
        <v>17</v>
      </c>
      <c r="W25" s="715">
        <f>J25</f>
        <v>100</v>
      </c>
      <c r="X25" s="1540"/>
      <c r="Y25" s="3435"/>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5"/>
      <c r="Q26" s="1537">
        <f t="shared" ref="Q26:Q40" si="11">B26</f>
        <v>111</v>
      </c>
      <c r="R26" s="714" t="s">
        <v>17</v>
      </c>
      <c r="S26" s="715">
        <f>F26</f>
        <v>100</v>
      </c>
      <c r="T26" s="714" t="s">
        <v>17</v>
      </c>
      <c r="U26" s="715">
        <f>H26</f>
        <v>100</v>
      </c>
      <c r="V26" s="714" t="s">
        <v>17</v>
      </c>
      <c r="W26" s="715">
        <f>J26</f>
        <v>100</v>
      </c>
      <c r="X26" s="1540"/>
      <c r="Y26" s="3435"/>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5"/>
      <c r="Q27" s="1528">
        <f t="shared" si="11"/>
        <v>111</v>
      </c>
      <c r="R27" s="710" t="s">
        <v>17</v>
      </c>
      <c r="S27" s="711">
        <f>F27</f>
        <v>100</v>
      </c>
      <c r="T27" s="710" t="s">
        <v>17</v>
      </c>
      <c r="U27" s="711">
        <f>H27</f>
        <v>100</v>
      </c>
      <c r="V27" s="710" t="s">
        <v>17</v>
      </c>
      <c r="W27" s="711">
        <f>J27</f>
        <v>100</v>
      </c>
      <c r="X27" s="712"/>
      <c r="Y27" s="3435"/>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5"/>
      <c r="Q28" s="1537">
        <f t="shared" si="11"/>
        <v>111</v>
      </c>
      <c r="R28" s="714" t="s">
        <v>17</v>
      </c>
      <c r="S28" s="715">
        <f t="shared" ref="S28:S40" si="12">F28</f>
        <v>100</v>
      </c>
      <c r="T28" s="714" t="s">
        <v>17</v>
      </c>
      <c r="U28" s="715">
        <f t="shared" ref="U28:U40" si="13">H28</f>
        <v>100</v>
      </c>
      <c r="V28" s="714" t="s">
        <v>17</v>
      </c>
      <c r="W28" s="715">
        <f t="shared" ref="W28:W40" si="14">J28</f>
        <v>100</v>
      </c>
      <c r="X28" s="1540"/>
      <c r="Y28" s="3435"/>
      <c r="Z28" s="1541">
        <f t="shared" ref="Z28:Z40" si="15">Q28</f>
        <v>111</v>
      </c>
      <c r="AA28" s="1538">
        <f t="shared" si="3"/>
        <v>1</v>
      </c>
      <c r="AB28" s="1538">
        <f t="shared" si="4"/>
        <v>1</v>
      </c>
      <c r="AC28" s="1538">
        <f t="shared" si="5"/>
        <v>1</v>
      </c>
    </row>
    <row r="29" spans="1:29" ht="29.25">
      <c r="A29" s="425" t="s">
        <v>2383</v>
      </c>
      <c r="B29" s="67" t="s">
        <v>2512</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492" t="s">
        <v>2385</v>
      </c>
      <c r="Q29" s="1537" t="str">
        <f t="shared" si="11"/>
        <v>建筑类型</v>
      </c>
      <c r="R29" s="714" t="s">
        <v>17</v>
      </c>
      <c r="S29" s="715">
        <f t="shared" si="12"/>
        <v>100</v>
      </c>
      <c r="T29" s="714" t="s">
        <v>17</v>
      </c>
      <c r="U29" s="715">
        <f t="shared" si="13"/>
        <v>100</v>
      </c>
      <c r="V29" s="714" t="s">
        <v>17</v>
      </c>
      <c r="W29" s="715">
        <f t="shared" si="14"/>
        <v>100</v>
      </c>
      <c r="X29" s="1540"/>
      <c r="Y29" s="3439"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37" t="str">
        <f t="shared" si="11"/>
        <v>建筑结构</v>
      </c>
      <c r="R31" s="714" t="s">
        <v>17</v>
      </c>
      <c r="S31" s="715">
        <f t="shared" si="12"/>
        <v>100</v>
      </c>
      <c r="T31" s="714" t="s">
        <v>17</v>
      </c>
      <c r="U31" s="715">
        <f t="shared" si="13"/>
        <v>100</v>
      </c>
      <c r="V31" s="714" t="s">
        <v>17</v>
      </c>
      <c r="W31" s="715">
        <f t="shared" si="14"/>
        <v>100</v>
      </c>
      <c r="X31" s="1540"/>
      <c r="Y31" s="3439"/>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37" t="str">
        <f t="shared" si="11"/>
        <v>公共部分装修</v>
      </c>
      <c r="R32" s="714" t="s">
        <v>17</v>
      </c>
      <c r="S32" s="715">
        <f t="shared" si="12"/>
        <v>100</v>
      </c>
      <c r="T32" s="714" t="s">
        <v>17</v>
      </c>
      <c r="U32" s="715">
        <f t="shared" si="13"/>
        <v>100</v>
      </c>
      <c r="V32" s="714" t="s">
        <v>17</v>
      </c>
      <c r="W32" s="715">
        <f t="shared" si="14"/>
        <v>100</v>
      </c>
      <c r="X32" s="1540"/>
      <c r="Y32" s="3439"/>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37" t="str">
        <f t="shared" si="11"/>
        <v>成新度</v>
      </c>
      <c r="R33" s="714" t="s">
        <v>17</v>
      </c>
      <c r="S33" s="715" t="e">
        <f t="shared" si="12"/>
        <v>#N/A</v>
      </c>
      <c r="T33" s="714" t="s">
        <v>17</v>
      </c>
      <c r="U33" s="715" t="e">
        <f t="shared" si="13"/>
        <v>#N/A</v>
      </c>
      <c r="V33" s="714" t="s">
        <v>17</v>
      </c>
      <c r="W33" s="715" t="e">
        <f t="shared" si="14"/>
        <v>#N/A</v>
      </c>
      <c r="X33" s="1540"/>
      <c r="Y33" s="3439"/>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528"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2385</v>
      </c>
      <c r="Q35" s="1537" t="str">
        <f t="shared" si="11"/>
        <v>市政基础设施</v>
      </c>
      <c r="R35" s="714" t="s">
        <v>17</v>
      </c>
      <c r="S35" s="715">
        <f t="shared" si="12"/>
        <v>100</v>
      </c>
      <c r="T35" s="714" t="s">
        <v>17</v>
      </c>
      <c r="U35" s="715">
        <f t="shared" si="13"/>
        <v>100</v>
      </c>
      <c r="V35" s="714" t="s">
        <v>17</v>
      </c>
      <c r="W35" s="715">
        <f t="shared" si="14"/>
        <v>100</v>
      </c>
      <c r="X35" s="1540"/>
      <c r="Y35" s="3439" t="s">
        <v>2385</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37" t="str">
        <f t="shared" si="11"/>
        <v>内部装修</v>
      </c>
      <c r="R36" s="714" t="s">
        <v>17</v>
      </c>
      <c r="S36" s="715">
        <f t="shared" si="12"/>
        <v>100</v>
      </c>
      <c r="T36" s="714" t="s">
        <v>17</v>
      </c>
      <c r="U36" s="715">
        <f t="shared" si="13"/>
        <v>100</v>
      </c>
      <c r="V36" s="714" t="s">
        <v>17</v>
      </c>
      <c r="W36" s="715">
        <f t="shared" si="14"/>
        <v>100</v>
      </c>
      <c r="X36" s="1540"/>
      <c r="Y36" s="3439"/>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37" t="str">
        <f t="shared" si="11"/>
        <v>内部装修状况</v>
      </c>
      <c r="R37" s="714" t="s">
        <v>17</v>
      </c>
      <c r="S37" s="715">
        <f t="shared" si="12"/>
        <v>100</v>
      </c>
      <c r="T37" s="714" t="s">
        <v>17</v>
      </c>
      <c r="U37" s="715">
        <f t="shared" si="13"/>
        <v>100</v>
      </c>
      <c r="V37" s="714" t="s">
        <v>17</v>
      </c>
      <c r="W37" s="715">
        <f t="shared" si="14"/>
        <v>100</v>
      </c>
      <c r="X37" s="1540"/>
      <c r="Y37" s="3439"/>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37">
        <f t="shared" si="11"/>
        <v>111</v>
      </c>
      <c r="R39" s="714" t="s">
        <v>17</v>
      </c>
      <c r="S39" s="715">
        <f t="shared" si="12"/>
        <v>100</v>
      </c>
      <c r="T39" s="714" t="s">
        <v>17</v>
      </c>
      <c r="U39" s="715">
        <f t="shared" si="13"/>
        <v>100</v>
      </c>
      <c r="V39" s="714" t="s">
        <v>17</v>
      </c>
      <c r="W39" s="715">
        <f t="shared" si="14"/>
        <v>100</v>
      </c>
      <c r="X39" s="1540"/>
      <c r="Y39" s="3439"/>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0"/>
      <c r="Q40" s="1537">
        <f t="shared" si="11"/>
        <v>111</v>
      </c>
      <c r="R40" s="714" t="s">
        <v>17</v>
      </c>
      <c r="S40" s="715">
        <f t="shared" si="12"/>
        <v>100</v>
      </c>
      <c r="T40" s="714" t="s">
        <v>17</v>
      </c>
      <c r="U40" s="715">
        <f t="shared" si="13"/>
        <v>100</v>
      </c>
      <c r="V40" s="714" t="s">
        <v>17</v>
      </c>
      <c r="W40" s="715">
        <f t="shared" si="14"/>
        <v>100</v>
      </c>
      <c r="X40" s="1540"/>
      <c r="Y40" s="3440"/>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432" t="str">
        <f>A41</f>
        <v>成交单价（元/平方米）</v>
      </c>
      <c r="Q41" s="3432"/>
      <c r="R41" s="3433">
        <f>E41</f>
        <v>0</v>
      </c>
      <c r="S41" s="3433"/>
      <c r="T41" s="3433">
        <f>G41</f>
        <v>0</v>
      </c>
      <c r="U41" s="3433"/>
      <c r="V41" s="3433">
        <f>I41</f>
        <v>0</v>
      </c>
      <c r="W41" s="3433"/>
      <c r="X41" s="699"/>
      <c r="Y41" s="721"/>
      <c r="Z41" s="699"/>
      <c r="AA41" s="699"/>
      <c r="AB41" s="699"/>
      <c r="AC41" s="699"/>
    </row>
    <row r="42" spans="1:29" ht="15.75" thickBot="1">
      <c r="A42" s="445" t="s">
        <v>2488</v>
      </c>
      <c r="B42" s="446"/>
      <c r="C42" s="1322" t="e">
        <f>R43</f>
        <v>#DIV/0!</v>
      </c>
      <c r="D42" s="2539" t="s">
        <v>2877</v>
      </c>
      <c r="E42" s="1323" t="e">
        <f>R42</f>
        <v>#DIV/0!</v>
      </c>
      <c r="F42" s="2540"/>
      <c r="G42" s="1322" t="e">
        <f>T42</f>
        <v>#DIV/0!</v>
      </c>
      <c r="H42" s="2540"/>
      <c r="I42" s="1323" t="e">
        <f>V42</f>
        <v>#DIV/0!</v>
      </c>
      <c r="J42" s="2540"/>
      <c r="K42" s="2542">
        <f>F42+H42+J42</f>
        <v>0</v>
      </c>
      <c r="L42" s="1057"/>
      <c r="M42" s="1058"/>
      <c r="N42" s="1045"/>
      <c r="O42" s="1058"/>
      <c r="P42" s="3432" t="str">
        <f>A42</f>
        <v>比较价值（元/平方米）</v>
      </c>
      <c r="Q42" s="3432"/>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2351</v>
      </c>
      <c r="D1" s="1393"/>
      <c r="E1" s="1394"/>
      <c r="F1" s="2066"/>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57" t="s">
        <v>2466</v>
      </c>
      <c r="S4" s="3458"/>
      <c r="T4" s="3457" t="s">
        <v>2467</v>
      </c>
      <c r="U4" s="3458"/>
      <c r="V4" s="3463" t="s">
        <v>2468</v>
      </c>
      <c r="W4" s="3463"/>
      <c r="X4" s="1540"/>
      <c r="Y4" s="3457" t="s">
        <v>2470</v>
      </c>
      <c r="Z4" s="3458"/>
      <c r="AA4" s="3444" t="s">
        <v>2466</v>
      </c>
      <c r="AB4" s="3445" t="s">
        <v>2467</v>
      </c>
      <c r="AC4" s="3444" t="s">
        <v>2468</v>
      </c>
    </row>
    <row r="5" spans="1:29" ht="15">
      <c r="A5" s="364"/>
      <c r="B5" s="365"/>
      <c r="C5" s="3471" t="s">
        <v>2362</v>
      </c>
      <c r="D5" s="3467"/>
      <c r="E5" s="3476" t="s">
        <v>2363</v>
      </c>
      <c r="F5" s="3475"/>
      <c r="G5" s="3471" t="s">
        <v>2364</v>
      </c>
      <c r="H5" s="3467"/>
      <c r="I5" s="3471" t="s">
        <v>2365</v>
      </c>
      <c r="J5" s="3467"/>
      <c r="K5" s="567"/>
      <c r="L5" s="2944"/>
      <c r="M5" s="2945"/>
      <c r="N5" s="2945"/>
      <c r="O5" s="2945"/>
      <c r="P5" s="3453"/>
      <c r="Q5" s="3454"/>
      <c r="R5" s="3459"/>
      <c r="S5" s="3460"/>
      <c r="T5" s="3459"/>
      <c r="U5" s="3460"/>
      <c r="V5" s="3463"/>
      <c r="W5" s="3463"/>
      <c r="X5" s="1540"/>
      <c r="Y5" s="3459"/>
      <c r="Z5" s="3460"/>
      <c r="AA5" s="3445"/>
      <c r="AB5" s="3445"/>
      <c r="AC5" s="3445"/>
    </row>
    <row r="6" spans="1:29" ht="15.75" thickBot="1">
      <c r="A6" s="366"/>
      <c r="B6" s="367"/>
      <c r="C6" s="3464" t="s">
        <v>2366</v>
      </c>
      <c r="D6" s="3465"/>
      <c r="E6" s="3472" t="s">
        <v>2366</v>
      </c>
      <c r="F6" s="3473"/>
      <c r="G6" s="3464" t="s">
        <v>2366</v>
      </c>
      <c r="H6" s="3465"/>
      <c r="I6" s="3464" t="s">
        <v>2366</v>
      </c>
      <c r="J6" s="3465"/>
      <c r="K6" s="567" t="s">
        <v>2367</v>
      </c>
      <c r="L6" s="2944"/>
      <c r="M6" s="2945"/>
      <c r="N6" s="2945"/>
      <c r="O6" s="2945"/>
      <c r="P6" s="3455"/>
      <c r="Q6" s="3456"/>
      <c r="R6" s="3459"/>
      <c r="S6" s="3460"/>
      <c r="T6" s="3461"/>
      <c r="U6" s="3462"/>
      <c r="V6" s="3463"/>
      <c r="W6" s="3463"/>
      <c r="X6" s="1540"/>
      <c r="Y6" s="3461"/>
      <c r="Z6" s="3462"/>
      <c r="AA6" s="3446"/>
      <c r="AB6" s="3446"/>
      <c r="AC6" s="3446"/>
    </row>
    <row r="7" spans="1:29" s="113" customFormat="1" ht="15.75" thickBot="1">
      <c r="A7" s="368" t="s">
        <v>2368</v>
      </c>
      <c r="B7" s="369"/>
      <c r="C7" s="370">
        <f>'数据-取费表'!B2</f>
        <v>44256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68" t="s">
        <v>2369</v>
      </c>
      <c r="Q7" s="3470"/>
      <c r="R7" s="710" t="s">
        <v>17</v>
      </c>
      <c r="S7" s="711">
        <f t="shared" ref="S7:S14" si="0">F7</f>
        <v>0</v>
      </c>
      <c r="T7" s="710" t="s">
        <v>17</v>
      </c>
      <c r="U7" s="711">
        <f t="shared" ref="U7:U14" si="1">H7</f>
        <v>0</v>
      </c>
      <c r="V7" s="710" t="s">
        <v>17</v>
      </c>
      <c r="W7" s="711">
        <f t="shared" ref="W7:W14" si="2">J7</f>
        <v>0</v>
      </c>
      <c r="X7" s="712"/>
      <c r="Y7" s="3468" t="s">
        <v>2369</v>
      </c>
      <c r="Z7" s="3469"/>
      <c r="AA7" s="713" t="e">
        <f>D7/F7</f>
        <v>#DIV/0!</v>
      </c>
      <c r="AB7" s="713" t="e">
        <f>D7/H7</f>
        <v>#DIV/0!</v>
      </c>
      <c r="AC7" s="713" t="e">
        <f>D7/J7</f>
        <v>#DIV/0!</v>
      </c>
    </row>
    <row r="8" spans="1:29" s="113" customFormat="1" ht="15.75" thickBot="1">
      <c r="A8" s="368" t="s">
        <v>2370</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68" t="s">
        <v>2372</v>
      </c>
      <c r="Q8" s="3469"/>
      <c r="R8" s="710" t="s">
        <v>17</v>
      </c>
      <c r="S8" s="711">
        <f t="shared" si="0"/>
        <v>0</v>
      </c>
      <c r="T8" s="710" t="s">
        <v>17</v>
      </c>
      <c r="U8" s="711">
        <f t="shared" si="1"/>
        <v>0</v>
      </c>
      <c r="V8" s="710" t="s">
        <v>17</v>
      </c>
      <c r="W8" s="711">
        <f t="shared" si="2"/>
        <v>0</v>
      </c>
      <c r="X8" s="712"/>
      <c r="Y8" s="3468" t="s">
        <v>2372</v>
      </c>
      <c r="Z8" s="346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32" t="s">
        <v>2375</v>
      </c>
      <c r="Q9" s="1528" t="str">
        <f t="shared" ref="Q9:Q14" si="6">B9</f>
        <v>用途</v>
      </c>
      <c r="R9" s="710" t="s">
        <v>17</v>
      </c>
      <c r="S9" s="711">
        <f t="shared" si="0"/>
        <v>100</v>
      </c>
      <c r="T9" s="710" t="s">
        <v>17</v>
      </c>
      <c r="U9" s="711">
        <f t="shared" si="1"/>
        <v>100</v>
      </c>
      <c r="V9" s="710" t="s">
        <v>17</v>
      </c>
      <c r="W9" s="711">
        <f t="shared" si="2"/>
        <v>100</v>
      </c>
      <c r="X9" s="712"/>
      <c r="Y9" s="323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32"/>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32"/>
      <c r="Q11" s="1528">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32"/>
      <c r="Q12" s="1528">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32"/>
      <c r="Q13" s="1528">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85.5">
      <c r="A14" s="361" t="s">
        <v>2379</v>
      </c>
      <c r="B14" s="585" t="s">
        <v>2528</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34" t="s">
        <v>2380</v>
      </c>
      <c r="Q14" s="1537" t="str">
        <f t="shared" si="6"/>
        <v>交通便捷度</v>
      </c>
      <c r="R14" s="714" t="s">
        <v>17</v>
      </c>
      <c r="S14" s="715">
        <f t="shared" si="0"/>
        <v>100</v>
      </c>
      <c r="T14" s="714" t="s">
        <v>17</v>
      </c>
      <c r="U14" s="715">
        <f t="shared" si="1"/>
        <v>100</v>
      </c>
      <c r="V14" s="714" t="s">
        <v>17</v>
      </c>
      <c r="W14" s="715">
        <f t="shared" si="2"/>
        <v>100</v>
      </c>
      <c r="X14" s="1540"/>
      <c r="Y14" s="3434"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435"/>
      <c r="Q15" s="1537"/>
      <c r="R15" s="714"/>
      <c r="S15" s="715"/>
      <c r="T15" s="714"/>
      <c r="U15" s="715"/>
      <c r="V15" s="714"/>
      <c r="W15" s="715"/>
      <c r="X15" s="1540"/>
      <c r="Y15" s="3435"/>
      <c r="Z15" s="1541"/>
      <c r="AA15" s="1538">
        <v>1</v>
      </c>
      <c r="AB15" s="1538">
        <v>1</v>
      </c>
      <c r="AC15" s="1538">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35"/>
      <c r="Q16" s="1537" t="str">
        <f>B16</f>
        <v>公共配套设施</v>
      </c>
      <c r="R16" s="714" t="s">
        <v>17</v>
      </c>
      <c r="S16" s="715">
        <f>F16</f>
        <v>100</v>
      </c>
      <c r="T16" s="714" t="s">
        <v>17</v>
      </c>
      <c r="U16" s="715">
        <f>H16</f>
        <v>100</v>
      </c>
      <c r="V16" s="714" t="s">
        <v>17</v>
      </c>
      <c r="W16" s="715">
        <f>J16</f>
        <v>100</v>
      </c>
      <c r="X16" s="1540"/>
      <c r="Y16" s="3435"/>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435"/>
      <c r="Q17" s="1537"/>
      <c r="R17" s="714"/>
      <c r="S17" s="715"/>
      <c r="T17" s="714"/>
      <c r="U17" s="715"/>
      <c r="V17" s="714"/>
      <c r="W17" s="715"/>
      <c r="X17" s="1540"/>
      <c r="Y17" s="3435"/>
      <c r="Z17" s="1541"/>
      <c r="AA17" s="1538">
        <v>1</v>
      </c>
      <c r="AB17" s="1538">
        <v>1</v>
      </c>
      <c r="AC17" s="1538">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35"/>
      <c r="Q18" s="1537" t="str">
        <f>B18</f>
        <v>基础设施水平</v>
      </c>
      <c r="R18" s="714" t="s">
        <v>17</v>
      </c>
      <c r="S18" s="715">
        <f>F18</f>
        <v>100</v>
      </c>
      <c r="T18" s="714" t="s">
        <v>17</v>
      </c>
      <c r="U18" s="715">
        <f>H18</f>
        <v>100</v>
      </c>
      <c r="V18" s="714" t="s">
        <v>17</v>
      </c>
      <c r="W18" s="715">
        <f>J18</f>
        <v>100</v>
      </c>
      <c r="X18" s="1540"/>
      <c r="Y18" s="3435"/>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435"/>
      <c r="Q19" s="1537"/>
      <c r="R19" s="714"/>
      <c r="S19" s="715"/>
      <c r="T19" s="714"/>
      <c r="U19" s="715"/>
      <c r="V19" s="714"/>
      <c r="W19" s="715"/>
      <c r="X19" s="1540"/>
      <c r="Y19" s="3435"/>
      <c r="Z19" s="1541"/>
      <c r="AA19" s="1538">
        <v>1</v>
      </c>
      <c r="AB19" s="1538">
        <v>1</v>
      </c>
      <c r="AC19" s="1538">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35"/>
      <c r="Q20" s="1537" t="str">
        <f>B20</f>
        <v>自然及人文环境</v>
      </c>
      <c r="R20" s="714" t="s">
        <v>17</v>
      </c>
      <c r="S20" s="715">
        <f>F20</f>
        <v>100</v>
      </c>
      <c r="T20" s="714" t="s">
        <v>17</v>
      </c>
      <c r="U20" s="715">
        <f>H20</f>
        <v>100</v>
      </c>
      <c r="V20" s="714" t="s">
        <v>17</v>
      </c>
      <c r="W20" s="715">
        <f>J20</f>
        <v>100</v>
      </c>
      <c r="X20" s="1540"/>
      <c r="Y20" s="3435"/>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435"/>
      <c r="Q21" s="1537"/>
      <c r="R21" s="714"/>
      <c r="S21" s="715"/>
      <c r="T21" s="714"/>
      <c r="U21" s="715"/>
      <c r="V21" s="714"/>
      <c r="W21" s="715"/>
      <c r="X21" s="1540"/>
      <c r="Y21" s="3435"/>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35"/>
      <c r="Q22" s="1537" t="str">
        <f>B22</f>
        <v>楼层</v>
      </c>
      <c r="R22" s="714" t="s">
        <v>17</v>
      </c>
      <c r="S22" s="715">
        <f>F22</f>
        <v>100</v>
      </c>
      <c r="T22" s="714" t="s">
        <v>17</v>
      </c>
      <c r="U22" s="715">
        <f>H22</f>
        <v>100</v>
      </c>
      <c r="V22" s="714" t="s">
        <v>17</v>
      </c>
      <c r="W22" s="715">
        <f>J22</f>
        <v>100</v>
      </c>
      <c r="X22" s="1540"/>
      <c r="Y22" s="3435"/>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35"/>
      <c r="Q23" s="1537">
        <f>B23</f>
        <v>111</v>
      </c>
      <c r="R23" s="714" t="s">
        <v>17</v>
      </c>
      <c r="S23" s="715">
        <f>F23</f>
        <v>100</v>
      </c>
      <c r="T23" s="714" t="s">
        <v>17</v>
      </c>
      <c r="U23" s="715">
        <f>H23</f>
        <v>100</v>
      </c>
      <c r="V23" s="714" t="s">
        <v>17</v>
      </c>
      <c r="W23" s="715">
        <f>J23</f>
        <v>100</v>
      </c>
      <c r="X23" s="1540"/>
      <c r="Y23" s="3435"/>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35"/>
      <c r="Q24" s="1537">
        <f t="shared" ref="Q24:Q36" si="11">B24</f>
        <v>111</v>
      </c>
      <c r="R24" s="714" t="s">
        <v>17</v>
      </c>
      <c r="S24" s="715">
        <f>F24</f>
        <v>100</v>
      </c>
      <c r="T24" s="714" t="s">
        <v>17</v>
      </c>
      <c r="U24" s="715">
        <f>H24</f>
        <v>100</v>
      </c>
      <c r="V24" s="714" t="s">
        <v>17</v>
      </c>
      <c r="W24" s="715">
        <f>J24</f>
        <v>100</v>
      </c>
      <c r="X24" s="1540"/>
      <c r="Y24" s="3435"/>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35"/>
      <c r="Q25" s="1528">
        <f t="shared" si="11"/>
        <v>111</v>
      </c>
      <c r="R25" s="710" t="s">
        <v>17</v>
      </c>
      <c r="S25" s="711">
        <f>F25</f>
        <v>100</v>
      </c>
      <c r="T25" s="710" t="s">
        <v>17</v>
      </c>
      <c r="U25" s="711">
        <f>H25</f>
        <v>100</v>
      </c>
      <c r="V25" s="710" t="s">
        <v>17</v>
      </c>
      <c r="W25" s="711">
        <f>J25</f>
        <v>100</v>
      </c>
      <c r="X25" s="712"/>
      <c r="Y25" s="3435"/>
      <c r="Z25" s="55">
        <f>Q25</f>
        <v>111</v>
      </c>
      <c r="AA25" s="1538">
        <f>D25/F25</f>
        <v>1</v>
      </c>
      <c r="AB25" s="1538">
        <f>D25/H25</f>
        <v>1</v>
      </c>
      <c r="AC25" s="1538">
        <f>D25/J25</f>
        <v>1</v>
      </c>
    </row>
    <row r="26" spans="1:29" ht="29.25">
      <c r="A26" s="608" t="s">
        <v>2383</v>
      </c>
      <c r="B26" s="66" t="s">
        <v>2531</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92"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439" t="s">
        <v>2385</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39"/>
      <c r="Q28" s="1537" t="str">
        <f t="shared" si="11"/>
        <v>公共部分装修</v>
      </c>
      <c r="R28" s="714" t="s">
        <v>17</v>
      </c>
      <c r="S28" s="715">
        <f t="shared" si="12"/>
        <v>100</v>
      </c>
      <c r="T28" s="714" t="s">
        <v>17</v>
      </c>
      <c r="U28" s="715">
        <f t="shared" si="13"/>
        <v>100</v>
      </c>
      <c r="V28" s="714" t="s">
        <v>17</v>
      </c>
      <c r="W28" s="715">
        <f t="shared" si="14"/>
        <v>100</v>
      </c>
      <c r="X28" s="1540"/>
      <c r="Y28" s="3439"/>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39"/>
      <c r="Q29" s="1537" t="str">
        <f t="shared" si="11"/>
        <v>成新率</v>
      </c>
      <c r="R29" s="714" t="s">
        <v>17</v>
      </c>
      <c r="S29" s="715" t="e">
        <f t="shared" si="12"/>
        <v>#N/A</v>
      </c>
      <c r="T29" s="714" t="s">
        <v>17</v>
      </c>
      <c r="U29" s="715" t="e">
        <f t="shared" si="13"/>
        <v>#N/A</v>
      </c>
      <c r="V29" s="714" t="s">
        <v>17</v>
      </c>
      <c r="W29" s="715" t="e">
        <f t="shared" si="14"/>
        <v>#N/A</v>
      </c>
      <c r="X29" s="1540"/>
      <c r="Y29" s="3439"/>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39"/>
      <c r="Q30" s="1537" t="str">
        <f t="shared" si="11"/>
        <v>物业等级</v>
      </c>
      <c r="R30" s="714" t="s">
        <v>17</v>
      </c>
      <c r="S30" s="715">
        <f t="shared" si="12"/>
        <v>100</v>
      </c>
      <c r="T30" s="714" t="s">
        <v>17</v>
      </c>
      <c r="U30" s="715">
        <f t="shared" si="13"/>
        <v>100</v>
      </c>
      <c r="V30" s="714" t="s">
        <v>17</v>
      </c>
      <c r="W30" s="715">
        <f t="shared" si="14"/>
        <v>100</v>
      </c>
      <c r="X30" s="1540"/>
      <c r="Y30" s="3439"/>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39"/>
      <c r="Q31" s="1528"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39" t="s">
        <v>2385</v>
      </c>
      <c r="Q32" s="1537" t="str">
        <f t="shared" si="11"/>
        <v>车位类型</v>
      </c>
      <c r="R32" s="714" t="s">
        <v>17</v>
      </c>
      <c r="S32" s="715">
        <f t="shared" si="12"/>
        <v>100</v>
      </c>
      <c r="T32" s="714" t="s">
        <v>17</v>
      </c>
      <c r="U32" s="715">
        <f t="shared" si="13"/>
        <v>100</v>
      </c>
      <c r="V32" s="714" t="s">
        <v>17</v>
      </c>
      <c r="W32" s="715">
        <f t="shared" si="14"/>
        <v>100</v>
      </c>
      <c r="X32" s="1540"/>
      <c r="Y32" s="3439" t="s">
        <v>2385</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39"/>
      <c r="Q33" s="1537" t="str">
        <f t="shared" si="11"/>
        <v>是否直接入户</v>
      </c>
      <c r="R33" s="714" t="s">
        <v>17</v>
      </c>
      <c r="S33" s="715">
        <f t="shared" si="12"/>
        <v>100</v>
      </c>
      <c r="T33" s="714" t="s">
        <v>17</v>
      </c>
      <c r="U33" s="715">
        <f t="shared" si="13"/>
        <v>100</v>
      </c>
      <c r="V33" s="714" t="s">
        <v>17</v>
      </c>
      <c r="W33" s="715">
        <f t="shared" si="14"/>
        <v>100</v>
      </c>
      <c r="X33" s="1540"/>
      <c r="Y33" s="3439"/>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39"/>
      <c r="Q34" s="1537">
        <f t="shared" si="11"/>
        <v>111</v>
      </c>
      <c r="R34" s="714" t="s">
        <v>17</v>
      </c>
      <c r="S34" s="715">
        <f t="shared" si="12"/>
        <v>100</v>
      </c>
      <c r="T34" s="714" t="s">
        <v>17</v>
      </c>
      <c r="U34" s="715">
        <f t="shared" si="13"/>
        <v>100</v>
      </c>
      <c r="V34" s="714" t="s">
        <v>17</v>
      </c>
      <c r="W34" s="715">
        <f t="shared" si="14"/>
        <v>100</v>
      </c>
      <c r="X34" s="1540"/>
      <c r="Y34" s="3439"/>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39"/>
      <c r="Q36" s="1537">
        <f t="shared" si="11"/>
        <v>111</v>
      </c>
      <c r="R36" s="714" t="s">
        <v>17</v>
      </c>
      <c r="S36" s="715">
        <f t="shared" si="12"/>
        <v>100</v>
      </c>
      <c r="T36" s="714" t="s">
        <v>17</v>
      </c>
      <c r="U36" s="715">
        <f t="shared" si="13"/>
        <v>100</v>
      </c>
      <c r="V36" s="714" t="s">
        <v>17</v>
      </c>
      <c r="W36" s="715">
        <f t="shared" si="14"/>
        <v>100</v>
      </c>
      <c r="X36" s="1540"/>
      <c r="Y36" s="3439"/>
      <c r="Z36" s="1541">
        <f t="shared" si="15"/>
        <v>111</v>
      </c>
      <c r="AA36" s="1538">
        <f t="shared" si="3"/>
        <v>1</v>
      </c>
      <c r="AB36" s="1538">
        <f t="shared" si="4"/>
        <v>1</v>
      </c>
      <c r="AC36" s="1538">
        <f t="shared" si="5"/>
        <v>1</v>
      </c>
    </row>
    <row r="37" spans="1:29" ht="15">
      <c r="A37" s="438" t="s">
        <v>2539</v>
      </c>
      <c r="B37" s="2160" t="s">
        <v>2540</v>
      </c>
      <c r="C37" s="1316" t="s">
        <v>1</v>
      </c>
      <c r="D37" s="1317"/>
      <c r="E37" s="1318"/>
      <c r="F37" s="1319"/>
      <c r="G37" s="1320"/>
      <c r="H37" s="1321"/>
      <c r="I37" s="1318"/>
      <c r="J37" s="1321"/>
      <c r="K37" s="576"/>
      <c r="L37" s="2953"/>
      <c r="M37" s="2954"/>
      <c r="N37" s="2945"/>
      <c r="O37" s="2954"/>
      <c r="P37" s="3432" t="str">
        <f>A37</f>
        <v>成交单价</v>
      </c>
      <c r="Q37" s="3432"/>
      <c r="R37" s="3433">
        <f>E37</f>
        <v>0</v>
      </c>
      <c r="S37" s="3433"/>
      <c r="T37" s="3433">
        <f>G37</f>
        <v>0</v>
      </c>
      <c r="U37" s="3433"/>
      <c r="V37" s="3433">
        <f>I37</f>
        <v>0</v>
      </c>
      <c r="W37" s="3433"/>
      <c r="X37" s="699"/>
      <c r="Y37" s="721"/>
      <c r="Z37" s="699"/>
      <c r="AA37" s="699"/>
      <c r="AB37" s="699"/>
      <c r="AC37" s="699"/>
    </row>
    <row r="38" spans="1:29" ht="15.75" thickBot="1">
      <c r="A38" s="445" t="s">
        <v>2541</v>
      </c>
      <c r="B38" s="446" t="str">
        <f>B37</f>
        <v>元/车位</v>
      </c>
      <c r="C38" s="1322" t="e">
        <f>R39</f>
        <v>#DIV/0!</v>
      </c>
      <c r="D38" s="2539" t="s">
        <v>2877</v>
      </c>
      <c r="E38" s="1323" t="e">
        <f>R38</f>
        <v>#DIV/0!</v>
      </c>
      <c r="F38" s="2540"/>
      <c r="G38" s="1322" t="e">
        <f>T38</f>
        <v>#DIV/0!</v>
      </c>
      <c r="H38" s="2540"/>
      <c r="I38" s="1323" t="e">
        <f>V38</f>
        <v>#DIV/0!</v>
      </c>
      <c r="J38" s="2540"/>
      <c r="K38" s="2542">
        <f>F38+H38+J38</f>
        <v>0</v>
      </c>
      <c r="L38" s="2953"/>
      <c r="M38" s="2954"/>
      <c r="N38" s="2954"/>
      <c r="O38" s="2954"/>
      <c r="P38" s="3432" t="str">
        <f>A38</f>
        <v>比较价值（元/平方米）</v>
      </c>
      <c r="Q38" s="3432"/>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429" t="str">
        <f>A39</f>
        <v>估价对象XX用房的比较价值（楼面单价，元/平方米）</v>
      </c>
      <c r="Q39" s="3430"/>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3104</v>
      </c>
      <c r="C1" s="1392" t="s">
        <v>2351</v>
      </c>
      <c r="D1" s="1393" t="s">
        <v>3104</v>
      </c>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IF(C2="——",ROUND(C37*D3/10000,0),ROUND(C37*D3/10000,0)-D2)</f>
        <v>#DIV/0!</v>
      </c>
      <c r="C2" s="2068" t="s">
        <v>70</v>
      </c>
      <c r="D2" s="1038" t="e">
        <f ca="1">SUMIF(INDIRECT("'"&amp;F2&amp;"'"&amp;"!A:A"),"承租人权益价值",INDIRECT("'"&amp;F2&amp;"'"&amp;"!c:c"))</f>
        <v>#REF!</v>
      </c>
      <c r="E2" s="2069" t="s">
        <v>2149</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IF(C2="——",C37,ROUND(B2*10000/D3,0))</f>
        <v>#DIV/0!</v>
      </c>
      <c r="C3" s="360" t="s">
        <v>2463</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57" t="s">
        <v>2466</v>
      </c>
      <c r="S4" s="3458"/>
      <c r="T4" s="3457" t="s">
        <v>2467</v>
      </c>
      <c r="U4" s="3458"/>
      <c r="V4" s="3463" t="s">
        <v>2468</v>
      </c>
      <c r="W4" s="3463"/>
      <c r="X4" s="1540"/>
      <c r="Y4" s="3457" t="s">
        <v>2470</v>
      </c>
      <c r="Z4" s="3458"/>
      <c r="AA4" s="3444" t="s">
        <v>2466</v>
      </c>
      <c r="AB4" s="3445" t="s">
        <v>2467</v>
      </c>
      <c r="AC4" s="3444" t="s">
        <v>2468</v>
      </c>
    </row>
    <row r="5" spans="1:29" ht="15">
      <c r="A5" s="364"/>
      <c r="B5" s="365"/>
      <c r="C5" s="3471" t="s">
        <v>2362</v>
      </c>
      <c r="D5" s="3467"/>
      <c r="E5" s="3476" t="s">
        <v>2363</v>
      </c>
      <c r="F5" s="3475"/>
      <c r="G5" s="3471" t="s">
        <v>2364</v>
      </c>
      <c r="H5" s="3467"/>
      <c r="I5" s="3471" t="s">
        <v>2365</v>
      </c>
      <c r="J5" s="3467"/>
      <c r="K5" s="567"/>
      <c r="L5" s="2944"/>
      <c r="M5" s="2945"/>
      <c r="N5" s="2945"/>
      <c r="O5" s="2945"/>
      <c r="P5" s="3453"/>
      <c r="Q5" s="3454"/>
      <c r="R5" s="3459"/>
      <c r="S5" s="3460"/>
      <c r="T5" s="3459"/>
      <c r="U5" s="3460"/>
      <c r="V5" s="3463"/>
      <c r="W5" s="3463"/>
      <c r="X5" s="1540"/>
      <c r="Y5" s="3459"/>
      <c r="Z5" s="3460"/>
      <c r="AA5" s="3445"/>
      <c r="AB5" s="3445"/>
      <c r="AC5" s="3445"/>
    </row>
    <row r="6" spans="1:29" ht="15.75" thickBot="1">
      <c r="A6" s="366"/>
      <c r="B6" s="367"/>
      <c r="C6" s="3464" t="s">
        <v>2366</v>
      </c>
      <c r="D6" s="3465"/>
      <c r="E6" s="3472" t="s">
        <v>2366</v>
      </c>
      <c r="F6" s="3473"/>
      <c r="G6" s="3464" t="s">
        <v>2366</v>
      </c>
      <c r="H6" s="3465"/>
      <c r="I6" s="3464" t="s">
        <v>2366</v>
      </c>
      <c r="J6" s="3465"/>
      <c r="K6" s="567" t="s">
        <v>2367</v>
      </c>
      <c r="L6" s="2944"/>
      <c r="M6" s="2945"/>
      <c r="N6" s="2945"/>
      <c r="O6" s="2945"/>
      <c r="P6" s="3455"/>
      <c r="Q6" s="3456"/>
      <c r="R6" s="3459"/>
      <c r="S6" s="3460"/>
      <c r="T6" s="3461"/>
      <c r="U6" s="3462"/>
      <c r="V6" s="3463"/>
      <c r="W6" s="3463"/>
      <c r="X6" s="1540"/>
      <c r="Y6" s="3461"/>
      <c r="Z6" s="3462"/>
      <c r="AA6" s="3446"/>
      <c r="AB6" s="3446"/>
      <c r="AC6" s="3446"/>
    </row>
    <row r="7" spans="1:29" s="113" customFormat="1" ht="15.75" thickBot="1">
      <c r="A7" s="368" t="s">
        <v>2368</v>
      </c>
      <c r="B7" s="369"/>
      <c r="C7" s="370">
        <f>'数据-取费表'!B2</f>
        <v>44256</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468" t="s">
        <v>2369</v>
      </c>
      <c r="Q7" s="3470"/>
      <c r="R7" s="710" t="s">
        <v>17</v>
      </c>
      <c r="S7" s="711">
        <f t="shared" ref="S7:S14" si="0">F7</f>
        <v>0</v>
      </c>
      <c r="T7" s="710" t="s">
        <v>17</v>
      </c>
      <c r="U7" s="711">
        <f t="shared" ref="U7:U14" si="1">H7</f>
        <v>0</v>
      </c>
      <c r="V7" s="710" t="s">
        <v>17</v>
      </c>
      <c r="W7" s="711">
        <f t="shared" ref="W7:W14" si="2">J7</f>
        <v>0</v>
      </c>
      <c r="X7" s="712"/>
      <c r="Y7" s="3468" t="s">
        <v>2369</v>
      </c>
      <c r="Z7" s="3469"/>
      <c r="AA7" s="713" t="e">
        <f>D7/F7</f>
        <v>#DIV/0!</v>
      </c>
      <c r="AB7" s="713" t="e">
        <f>D7/H7</f>
        <v>#DIV/0!</v>
      </c>
      <c r="AC7" s="713" t="e">
        <f>D7/J7</f>
        <v>#DIV/0!</v>
      </c>
    </row>
    <row r="8" spans="1:29" s="113" customFormat="1" ht="15.75" thickBot="1">
      <c r="A8" s="368" t="s">
        <v>2370</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68" t="s">
        <v>2372</v>
      </c>
      <c r="Q8" s="3469"/>
      <c r="R8" s="710" t="s">
        <v>17</v>
      </c>
      <c r="S8" s="711">
        <f t="shared" si="0"/>
        <v>0</v>
      </c>
      <c r="T8" s="710" t="s">
        <v>17</v>
      </c>
      <c r="U8" s="711">
        <f t="shared" si="1"/>
        <v>0</v>
      </c>
      <c r="V8" s="710" t="s">
        <v>17</v>
      </c>
      <c r="W8" s="711">
        <f t="shared" si="2"/>
        <v>0</v>
      </c>
      <c r="X8" s="712"/>
      <c r="Y8" s="3468" t="s">
        <v>2372</v>
      </c>
      <c r="Z8" s="346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32" t="s">
        <v>2375</v>
      </c>
      <c r="Q9" s="1528" t="str">
        <f t="shared" ref="Q9:Q14" si="6">B9</f>
        <v>用途</v>
      </c>
      <c r="R9" s="710" t="s">
        <v>17</v>
      </c>
      <c r="S9" s="711">
        <f t="shared" si="0"/>
        <v>100</v>
      </c>
      <c r="T9" s="710" t="s">
        <v>17</v>
      </c>
      <c r="U9" s="711">
        <f t="shared" si="1"/>
        <v>100</v>
      </c>
      <c r="V9" s="710" t="s">
        <v>17</v>
      </c>
      <c r="W9" s="711">
        <f t="shared" si="2"/>
        <v>100</v>
      </c>
      <c r="X9" s="712"/>
      <c r="Y9" s="3231"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32"/>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32"/>
      <c r="Q11" s="1528">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32"/>
      <c r="Q12" s="1528">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432"/>
      <c r="Q13" s="1528">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85.5">
      <c r="A14" s="399" t="s">
        <v>2379</v>
      </c>
      <c r="B14" s="65" t="s">
        <v>2528</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34" t="s">
        <v>2380</v>
      </c>
      <c r="Q14" s="1537" t="str">
        <f t="shared" si="6"/>
        <v>交通便捷度</v>
      </c>
      <c r="R14" s="714" t="s">
        <v>17</v>
      </c>
      <c r="S14" s="715">
        <f t="shared" si="0"/>
        <v>100</v>
      </c>
      <c r="T14" s="714" t="s">
        <v>17</v>
      </c>
      <c r="U14" s="715">
        <f t="shared" si="1"/>
        <v>100</v>
      </c>
      <c r="V14" s="714" t="s">
        <v>17</v>
      </c>
      <c r="W14" s="715">
        <f t="shared" si="2"/>
        <v>100</v>
      </c>
      <c r="X14" s="1540"/>
      <c r="Y14" s="3434"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435"/>
      <c r="Q15" s="1537"/>
      <c r="R15" s="714"/>
      <c r="S15" s="715"/>
      <c r="T15" s="714"/>
      <c r="U15" s="715"/>
      <c r="V15" s="714"/>
      <c r="W15" s="715"/>
      <c r="X15" s="1540"/>
      <c r="Y15" s="3435"/>
      <c r="Z15" s="1541"/>
      <c r="AA15" s="1538">
        <v>1</v>
      </c>
      <c r="AB15" s="1538">
        <v>1</v>
      </c>
      <c r="AC15" s="1538">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35"/>
      <c r="Q16" s="1537" t="str">
        <f>B16</f>
        <v>公共配套设施</v>
      </c>
      <c r="R16" s="714" t="s">
        <v>17</v>
      </c>
      <c r="S16" s="715">
        <f>F16</f>
        <v>100</v>
      </c>
      <c r="T16" s="714" t="s">
        <v>17</v>
      </c>
      <c r="U16" s="715">
        <f>H16</f>
        <v>100</v>
      </c>
      <c r="V16" s="714" t="s">
        <v>17</v>
      </c>
      <c r="W16" s="715">
        <f>J16</f>
        <v>100</v>
      </c>
      <c r="X16" s="1540"/>
      <c r="Y16" s="3435"/>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435"/>
      <c r="Q17" s="1537"/>
      <c r="R17" s="714"/>
      <c r="S17" s="715"/>
      <c r="T17" s="714"/>
      <c r="U17" s="715"/>
      <c r="V17" s="714"/>
      <c r="W17" s="715"/>
      <c r="X17" s="1540"/>
      <c r="Y17" s="3435"/>
      <c r="Z17" s="1541"/>
      <c r="AA17" s="1538">
        <v>1</v>
      </c>
      <c r="AB17" s="1538">
        <v>1</v>
      </c>
      <c r="AC17" s="1538">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35"/>
      <c r="Q18" s="1537" t="str">
        <f>B18</f>
        <v>基础设施水平</v>
      </c>
      <c r="R18" s="714" t="s">
        <v>17</v>
      </c>
      <c r="S18" s="715">
        <f>F18</f>
        <v>100</v>
      </c>
      <c r="T18" s="714" t="s">
        <v>17</v>
      </c>
      <c r="U18" s="715">
        <f>H18</f>
        <v>100</v>
      </c>
      <c r="V18" s="714" t="s">
        <v>17</v>
      </c>
      <c r="W18" s="715">
        <f>J18</f>
        <v>100</v>
      </c>
      <c r="X18" s="1540"/>
      <c r="Y18" s="3435"/>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435"/>
      <c r="Q19" s="1537"/>
      <c r="R19" s="714"/>
      <c r="S19" s="715"/>
      <c r="T19" s="714"/>
      <c r="U19" s="715"/>
      <c r="V19" s="714"/>
      <c r="W19" s="715"/>
      <c r="X19" s="1540"/>
      <c r="Y19" s="3435"/>
      <c r="Z19" s="1541"/>
      <c r="AA19" s="1538">
        <v>1</v>
      </c>
      <c r="AB19" s="1538">
        <v>1</v>
      </c>
      <c r="AC19" s="1538">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35"/>
      <c r="Q20" s="1537" t="str">
        <f>B20</f>
        <v>自然及人文环境</v>
      </c>
      <c r="R20" s="714" t="s">
        <v>17</v>
      </c>
      <c r="S20" s="715">
        <f>F20</f>
        <v>100</v>
      </c>
      <c r="T20" s="714" t="s">
        <v>17</v>
      </c>
      <c r="U20" s="715">
        <f>H20</f>
        <v>100</v>
      </c>
      <c r="V20" s="714" t="s">
        <v>17</v>
      </c>
      <c r="W20" s="715">
        <f>J20</f>
        <v>100</v>
      </c>
      <c r="X20" s="1540"/>
      <c r="Y20" s="3435"/>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435"/>
      <c r="Q21" s="1537"/>
      <c r="R21" s="714"/>
      <c r="S21" s="715"/>
      <c r="T21" s="714"/>
      <c r="U21" s="715"/>
      <c r="V21" s="714"/>
      <c r="W21" s="715"/>
      <c r="X21" s="1540"/>
      <c r="Y21" s="3435"/>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35"/>
      <c r="Q22" s="1537" t="str">
        <f>B22</f>
        <v>楼层</v>
      </c>
      <c r="R22" s="714" t="s">
        <v>17</v>
      </c>
      <c r="S22" s="715">
        <f>F22</f>
        <v>100</v>
      </c>
      <c r="T22" s="714" t="s">
        <v>17</v>
      </c>
      <c r="U22" s="715">
        <f>H22</f>
        <v>100</v>
      </c>
      <c r="V22" s="714" t="s">
        <v>17</v>
      </c>
      <c r="W22" s="715">
        <f>J22</f>
        <v>100</v>
      </c>
      <c r="X22" s="1540"/>
      <c r="Y22" s="3435"/>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35"/>
      <c r="Q23" s="1537">
        <f>B23</f>
        <v>111</v>
      </c>
      <c r="R23" s="714" t="s">
        <v>17</v>
      </c>
      <c r="S23" s="715">
        <f>F23</f>
        <v>100</v>
      </c>
      <c r="T23" s="714" t="s">
        <v>17</v>
      </c>
      <c r="U23" s="715">
        <f>H23</f>
        <v>100</v>
      </c>
      <c r="V23" s="714" t="s">
        <v>17</v>
      </c>
      <c r="W23" s="715">
        <f>J23</f>
        <v>100</v>
      </c>
      <c r="X23" s="1540"/>
      <c r="Y23" s="3435"/>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35"/>
      <c r="Q24" s="1537">
        <f t="shared" ref="Q24:Q34" si="11">B24</f>
        <v>111</v>
      </c>
      <c r="R24" s="714" t="s">
        <v>17</v>
      </c>
      <c r="S24" s="715">
        <f>F24</f>
        <v>100</v>
      </c>
      <c r="T24" s="714" t="s">
        <v>17</v>
      </c>
      <c r="U24" s="715">
        <f>H24</f>
        <v>100</v>
      </c>
      <c r="V24" s="714" t="s">
        <v>17</v>
      </c>
      <c r="W24" s="715">
        <f>J24</f>
        <v>100</v>
      </c>
      <c r="X24" s="1540"/>
      <c r="Y24" s="3435"/>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435"/>
      <c r="Q25" s="1528">
        <f t="shared" si="11"/>
        <v>111</v>
      </c>
      <c r="R25" s="710" t="s">
        <v>17</v>
      </c>
      <c r="S25" s="711">
        <f>F25</f>
        <v>100</v>
      </c>
      <c r="T25" s="710" t="s">
        <v>17</v>
      </c>
      <c r="U25" s="711">
        <f>H25</f>
        <v>100</v>
      </c>
      <c r="V25" s="710" t="s">
        <v>17</v>
      </c>
      <c r="W25" s="711">
        <f>J25</f>
        <v>100</v>
      </c>
      <c r="X25" s="712"/>
      <c r="Y25" s="3435"/>
      <c r="Z25" s="55">
        <f>Q25</f>
        <v>111</v>
      </c>
      <c r="AA25" s="1538">
        <f>D25/F25</f>
        <v>1</v>
      </c>
      <c r="AB25" s="1538">
        <f>D25/H25</f>
        <v>1</v>
      </c>
      <c r="AC25" s="1538">
        <f>D25/J25</f>
        <v>1</v>
      </c>
    </row>
    <row r="26" spans="1:29" ht="29.25">
      <c r="A26" s="425" t="s">
        <v>2383</v>
      </c>
      <c r="B26" s="67" t="s">
        <v>2533</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492"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439" t="s">
        <v>2385</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39"/>
      <c r="Q28" s="1537" t="str">
        <f t="shared" si="11"/>
        <v>物业等级</v>
      </c>
      <c r="R28" s="714" t="s">
        <v>17</v>
      </c>
      <c r="S28" s="715">
        <f t="shared" si="12"/>
        <v>100</v>
      </c>
      <c r="T28" s="714" t="s">
        <v>17</v>
      </c>
      <c r="U28" s="715">
        <f t="shared" si="13"/>
        <v>100</v>
      </c>
      <c r="V28" s="714" t="s">
        <v>17</v>
      </c>
      <c r="W28" s="715">
        <f t="shared" si="14"/>
        <v>100</v>
      </c>
      <c r="X28" s="1540"/>
      <c r="Y28" s="3439"/>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39"/>
      <c r="Q29" s="1537" t="str">
        <f t="shared" si="11"/>
        <v>有无电梯</v>
      </c>
      <c r="R29" s="714" t="s">
        <v>17</v>
      </c>
      <c r="S29" s="715">
        <f t="shared" si="12"/>
        <v>100</v>
      </c>
      <c r="T29" s="714" t="s">
        <v>17</v>
      </c>
      <c r="U29" s="715">
        <f t="shared" si="13"/>
        <v>100</v>
      </c>
      <c r="V29" s="714" t="s">
        <v>17</v>
      </c>
      <c r="W29" s="715">
        <f t="shared" si="14"/>
        <v>100</v>
      </c>
      <c r="X29" s="1540"/>
      <c r="Y29" s="3439"/>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39"/>
      <c r="Q30" s="1537" t="str">
        <f t="shared" si="11"/>
        <v>建筑面积</v>
      </c>
      <c r="R30" s="714" t="s">
        <v>17</v>
      </c>
      <c r="S30" s="715" t="e">
        <f t="shared" si="12"/>
        <v>#N/A</v>
      </c>
      <c r="T30" s="714" t="s">
        <v>17</v>
      </c>
      <c r="U30" s="715" t="e">
        <f t="shared" si="13"/>
        <v>#N/A</v>
      </c>
      <c r="V30" s="714" t="s">
        <v>17</v>
      </c>
      <c r="W30" s="715" t="e">
        <f t="shared" si="14"/>
        <v>#N/A</v>
      </c>
      <c r="X30" s="1540"/>
      <c r="Y30" s="3439"/>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39"/>
      <c r="Q31" s="1528"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39" t="s">
        <v>2385</v>
      </c>
      <c r="Q32" s="1537">
        <f t="shared" si="11"/>
        <v>111</v>
      </c>
      <c r="R32" s="714" t="s">
        <v>17</v>
      </c>
      <c r="S32" s="715">
        <f t="shared" si="12"/>
        <v>100</v>
      </c>
      <c r="T32" s="714" t="s">
        <v>17</v>
      </c>
      <c r="U32" s="715">
        <f t="shared" si="13"/>
        <v>100</v>
      </c>
      <c r="V32" s="714" t="s">
        <v>17</v>
      </c>
      <c r="W32" s="715">
        <f t="shared" si="14"/>
        <v>100</v>
      </c>
      <c r="X32" s="1540"/>
      <c r="Y32" s="3439"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39"/>
      <c r="Q33" s="1537">
        <f t="shared" si="11"/>
        <v>111</v>
      </c>
      <c r="R33" s="714" t="s">
        <v>17</v>
      </c>
      <c r="S33" s="715">
        <f t="shared" si="12"/>
        <v>100</v>
      </c>
      <c r="T33" s="714" t="s">
        <v>17</v>
      </c>
      <c r="U33" s="715">
        <f t="shared" si="13"/>
        <v>100</v>
      </c>
      <c r="V33" s="714" t="s">
        <v>17</v>
      </c>
      <c r="W33" s="715">
        <f t="shared" si="14"/>
        <v>100</v>
      </c>
      <c r="X33" s="1540"/>
      <c r="Y33" s="3439"/>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439"/>
      <c r="Q34" s="1537">
        <f t="shared" si="11"/>
        <v>111</v>
      </c>
      <c r="R34" s="714" t="s">
        <v>17</v>
      </c>
      <c r="S34" s="715">
        <f t="shared" si="12"/>
        <v>100</v>
      </c>
      <c r="T34" s="714" t="s">
        <v>17</v>
      </c>
      <c r="U34" s="715">
        <f t="shared" si="13"/>
        <v>100</v>
      </c>
      <c r="V34" s="714" t="s">
        <v>17</v>
      </c>
      <c r="W34" s="715">
        <f t="shared" si="14"/>
        <v>100</v>
      </c>
      <c r="X34" s="1540"/>
      <c r="Y34" s="3439"/>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3"/>
      <c r="M35" s="2954"/>
      <c r="N35" s="2945"/>
      <c r="O35" s="2954"/>
      <c r="P35" s="3432" t="str">
        <f>A35</f>
        <v>成交单价（元/平方米）</v>
      </c>
      <c r="Q35" s="3432"/>
      <c r="R35" s="3433">
        <f>E35</f>
        <v>0</v>
      </c>
      <c r="S35" s="3433"/>
      <c r="T35" s="3433">
        <f>G35</f>
        <v>0</v>
      </c>
      <c r="U35" s="3433"/>
      <c r="V35" s="3433">
        <f>I35</f>
        <v>0</v>
      </c>
      <c r="W35" s="3433"/>
      <c r="X35" s="699"/>
      <c r="Y35" s="721"/>
      <c r="Z35" s="699"/>
      <c r="AA35" s="699"/>
      <c r="AB35" s="699"/>
      <c r="AC35" s="699"/>
    </row>
    <row r="36" spans="1:30" ht="15.75" thickBot="1">
      <c r="A36" s="445" t="s">
        <v>2488</v>
      </c>
      <c r="B36" s="446"/>
      <c r="C36" s="1322" t="e">
        <f>R37</f>
        <v>#DIV/0!</v>
      </c>
      <c r="D36" s="2539" t="s">
        <v>2877</v>
      </c>
      <c r="E36" s="1323" t="e">
        <f>R36</f>
        <v>#DIV/0!</v>
      </c>
      <c r="F36" s="2540"/>
      <c r="G36" s="1322" t="e">
        <f>T36</f>
        <v>#DIV/0!</v>
      </c>
      <c r="H36" s="2540"/>
      <c r="I36" s="1323" t="e">
        <f>V36</f>
        <v>#DIV/0!</v>
      </c>
      <c r="J36" s="2540"/>
      <c r="K36" s="2542">
        <f>F36+H36+J36</f>
        <v>0</v>
      </c>
      <c r="L36" s="2953"/>
      <c r="M36" s="2954"/>
      <c r="N36" s="2945"/>
      <c r="O36" s="2954"/>
      <c r="P36" s="3432" t="str">
        <f>A36</f>
        <v>比较价值（元/平方米）</v>
      </c>
      <c r="Q36" s="3432"/>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429" t="str">
        <f>A37</f>
        <v>估价对象XX用房的比较价值（楼面单价，元/平方米）</v>
      </c>
      <c r="Q37" s="3430"/>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57" t="s">
        <v>2466</v>
      </c>
      <c r="S4" s="3458"/>
      <c r="T4" s="3457" t="s">
        <v>2467</v>
      </c>
      <c r="U4" s="3458"/>
      <c r="V4" s="3463" t="s">
        <v>2468</v>
      </c>
      <c r="W4" s="3463"/>
      <c r="X4" s="1540"/>
      <c r="Y4" s="3457" t="s">
        <v>2470</v>
      </c>
      <c r="Z4" s="3458"/>
      <c r="AA4" s="3444" t="s">
        <v>2466</v>
      </c>
      <c r="AB4" s="3445" t="s">
        <v>2467</v>
      </c>
      <c r="AC4" s="3444" t="s">
        <v>2468</v>
      </c>
    </row>
    <row r="5" spans="1:30" ht="15">
      <c r="A5" s="364"/>
      <c r="B5" s="365"/>
      <c r="C5" s="3471" t="s">
        <v>2362</v>
      </c>
      <c r="D5" s="3467"/>
      <c r="E5" s="3476" t="s">
        <v>2363</v>
      </c>
      <c r="F5" s="3475"/>
      <c r="G5" s="3471" t="s">
        <v>2364</v>
      </c>
      <c r="H5" s="3467"/>
      <c r="I5" s="3471" t="s">
        <v>2365</v>
      </c>
      <c r="J5" s="3467"/>
      <c r="K5" s="567"/>
      <c r="L5" s="2944"/>
      <c r="M5" s="2945"/>
      <c r="N5" s="2945"/>
      <c r="O5" s="2945"/>
      <c r="P5" s="3453"/>
      <c r="Q5" s="3454"/>
      <c r="R5" s="3459"/>
      <c r="S5" s="3460"/>
      <c r="T5" s="3459"/>
      <c r="U5" s="3460"/>
      <c r="V5" s="3463"/>
      <c r="W5" s="3463"/>
      <c r="X5" s="1540"/>
      <c r="Y5" s="3459"/>
      <c r="Z5" s="3460"/>
      <c r="AA5" s="3445"/>
      <c r="AB5" s="3445"/>
      <c r="AC5" s="3445"/>
    </row>
    <row r="6" spans="1:30" ht="15.75" thickBot="1">
      <c r="A6" s="366"/>
      <c r="B6" s="367"/>
      <c r="C6" s="3464" t="s">
        <v>2366</v>
      </c>
      <c r="D6" s="3465"/>
      <c r="E6" s="3472" t="s">
        <v>2366</v>
      </c>
      <c r="F6" s="3473"/>
      <c r="G6" s="3464" t="s">
        <v>2366</v>
      </c>
      <c r="H6" s="3465"/>
      <c r="I6" s="3464" t="s">
        <v>2366</v>
      </c>
      <c r="J6" s="3465"/>
      <c r="K6" s="567" t="s">
        <v>2367</v>
      </c>
      <c r="L6" s="2944"/>
      <c r="M6" s="2945"/>
      <c r="N6" s="2945"/>
      <c r="O6" s="2945"/>
      <c r="P6" s="3455"/>
      <c r="Q6" s="3456"/>
      <c r="R6" s="3459"/>
      <c r="S6" s="3460"/>
      <c r="T6" s="3461"/>
      <c r="U6" s="3462"/>
      <c r="V6" s="3463"/>
      <c r="W6" s="3463"/>
      <c r="X6" s="1540"/>
      <c r="Y6" s="3461"/>
      <c r="Z6" s="3462"/>
      <c r="AA6" s="3446"/>
      <c r="AB6" s="3446"/>
      <c r="AC6" s="3446"/>
    </row>
    <row r="7" spans="1:30" s="113" customFormat="1" ht="15.75" thickBot="1">
      <c r="A7" s="368" t="s">
        <v>2368</v>
      </c>
      <c r="B7" s="369"/>
      <c r="C7" s="370">
        <f>'数据-取费表'!B2</f>
        <v>44256</v>
      </c>
      <c r="D7" s="371">
        <v>100</v>
      </c>
      <c r="E7" s="372"/>
      <c r="F7" s="373">
        <f>SUMIF(70:70,YEAR(E7)&amp;"-"&amp;INT((MONTH(E7)+2)/3),71:71)</f>
        <v>0</v>
      </c>
      <c r="G7" s="2161"/>
      <c r="H7" s="371">
        <f>SUMIF(70:70,YEAR(G7)&amp;"-"&amp;INT((MONTH(G7)+2)/3),71:71)</f>
        <v>0</v>
      </c>
      <c r="I7" s="2161"/>
      <c r="J7" s="371">
        <f>SUMIF(70:70,YEAR(I7)&amp;"-"&amp;INT((MONTH(I7)+2)/3),71:71)</f>
        <v>0</v>
      </c>
      <c r="K7" s="568"/>
      <c r="L7" s="2946"/>
      <c r="M7" s="2947"/>
      <c r="N7" s="2947"/>
      <c r="O7" s="2947"/>
      <c r="P7" s="3468" t="s">
        <v>2369</v>
      </c>
      <c r="Q7" s="3470"/>
      <c r="R7" s="710" t="s">
        <v>17</v>
      </c>
      <c r="S7" s="711">
        <f t="shared" ref="S7:S15" si="0">F7</f>
        <v>0</v>
      </c>
      <c r="T7" s="710" t="s">
        <v>17</v>
      </c>
      <c r="U7" s="711">
        <f t="shared" ref="U7:U15" si="1">H7</f>
        <v>0</v>
      </c>
      <c r="V7" s="710" t="s">
        <v>17</v>
      </c>
      <c r="W7" s="711">
        <f t="shared" ref="W7:W15" si="2">J7</f>
        <v>0</v>
      </c>
      <c r="X7" s="712"/>
      <c r="Y7" s="3468" t="s">
        <v>2369</v>
      </c>
      <c r="Z7" s="346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68" t="s">
        <v>2372</v>
      </c>
      <c r="Q8" s="3469"/>
      <c r="R8" s="710" t="s">
        <v>17</v>
      </c>
      <c r="S8" s="711">
        <f t="shared" si="0"/>
        <v>0</v>
      </c>
      <c r="T8" s="710" t="s">
        <v>17</v>
      </c>
      <c r="U8" s="711">
        <f t="shared" si="1"/>
        <v>0</v>
      </c>
      <c r="V8" s="710" t="s">
        <v>17</v>
      </c>
      <c r="W8" s="711">
        <f t="shared" si="2"/>
        <v>0</v>
      </c>
      <c r="X8" s="712"/>
      <c r="Y8" s="3468" t="s">
        <v>2372</v>
      </c>
      <c r="Z8" s="3469"/>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6"/>
      <c r="M9" s="2947"/>
      <c r="N9" s="2947"/>
      <c r="O9" s="3001"/>
      <c r="P9" s="3432" t="s">
        <v>2375</v>
      </c>
      <c r="Q9" s="1528" t="str">
        <f t="shared" ref="Q9:Q15" si="6">B9</f>
        <v>用途</v>
      </c>
      <c r="R9" s="710" t="s">
        <v>17</v>
      </c>
      <c r="S9" s="711">
        <f t="shared" si="0"/>
        <v>100</v>
      </c>
      <c r="T9" s="710" t="s">
        <v>17</v>
      </c>
      <c r="U9" s="711">
        <f t="shared" si="1"/>
        <v>100</v>
      </c>
      <c r="V9" s="710" t="s">
        <v>17</v>
      </c>
      <c r="W9" s="711">
        <f t="shared" si="2"/>
        <v>100</v>
      </c>
      <c r="X9" s="712"/>
      <c r="Y9" s="323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432"/>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32"/>
      <c r="Q11" s="1528"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30" s="113" customFormat="1" ht="15">
      <c r="A12" s="390"/>
      <c r="B12" s="2080" t="s">
        <v>2566</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32"/>
      <c r="Q12" s="1528" t="str">
        <f t="shared" si="6"/>
        <v>配建</v>
      </c>
      <c r="R12" s="710" t="s">
        <v>17</v>
      </c>
      <c r="S12" s="711">
        <f t="shared" si="0"/>
        <v>100</v>
      </c>
      <c r="T12" s="710" t="s">
        <v>17</v>
      </c>
      <c r="U12" s="711">
        <f t="shared" si="1"/>
        <v>100</v>
      </c>
      <c r="V12" s="710" t="s">
        <v>17</v>
      </c>
      <c r="W12" s="711">
        <f t="shared" si="2"/>
        <v>100</v>
      </c>
      <c r="X12" s="712"/>
      <c r="Y12" s="3231"/>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32"/>
      <c r="Q13" s="1528">
        <f t="shared" si="6"/>
        <v>111</v>
      </c>
      <c r="R13" s="710" t="s">
        <v>17</v>
      </c>
      <c r="S13" s="711">
        <f t="shared" si="0"/>
        <v>100</v>
      </c>
      <c r="T13" s="710" t="s">
        <v>17</v>
      </c>
      <c r="U13" s="711">
        <f t="shared" si="1"/>
        <v>100</v>
      </c>
      <c r="V13" s="710" t="s">
        <v>17</v>
      </c>
      <c r="W13" s="711">
        <f t="shared" si="2"/>
        <v>100</v>
      </c>
      <c r="X13" s="712"/>
      <c r="Y13" s="3231"/>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32"/>
      <c r="Q14" s="1528">
        <f t="shared" si="6"/>
        <v>111</v>
      </c>
      <c r="R14" s="710" t="s">
        <v>17</v>
      </c>
      <c r="S14" s="711">
        <f t="shared" si="0"/>
        <v>100</v>
      </c>
      <c r="T14" s="710" t="s">
        <v>17</v>
      </c>
      <c r="U14" s="711">
        <f t="shared" si="1"/>
        <v>100</v>
      </c>
      <c r="V14" s="710" t="s">
        <v>17</v>
      </c>
      <c r="W14" s="711">
        <f t="shared" si="2"/>
        <v>100</v>
      </c>
      <c r="X14" s="712"/>
      <c r="Y14" s="3231"/>
      <c r="Z14" s="55">
        <f t="shared" si="7"/>
        <v>111</v>
      </c>
      <c r="AA14" s="713">
        <f>D14/F14</f>
        <v>1</v>
      </c>
      <c r="AB14" s="713">
        <f>D14/H14</f>
        <v>1</v>
      </c>
      <c r="AC14" s="713">
        <f>D14/J14</f>
        <v>1</v>
      </c>
    </row>
    <row r="15" spans="1:30" ht="99.75">
      <c r="A15" s="399" t="s">
        <v>2379</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34" t="s">
        <v>2380</v>
      </c>
      <c r="Q15" s="1537" t="str">
        <f t="shared" si="6"/>
        <v>居住社区成熟度</v>
      </c>
      <c r="R15" s="714" t="s">
        <v>17</v>
      </c>
      <c r="S15" s="715">
        <f t="shared" si="0"/>
        <v>100</v>
      </c>
      <c r="T15" s="714" t="s">
        <v>17</v>
      </c>
      <c r="U15" s="715">
        <f t="shared" si="1"/>
        <v>100</v>
      </c>
      <c r="V15" s="714" t="s">
        <v>17</v>
      </c>
      <c r="W15" s="715">
        <f t="shared" si="2"/>
        <v>100</v>
      </c>
      <c r="X15" s="1540"/>
      <c r="Y15" s="3434"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435"/>
      <c r="Q16" s="1537"/>
      <c r="R16" s="714"/>
      <c r="S16" s="715"/>
      <c r="T16" s="714"/>
      <c r="U16" s="715"/>
      <c r="V16" s="714"/>
      <c r="W16" s="715"/>
      <c r="X16" s="1540"/>
      <c r="Y16" s="3435"/>
      <c r="Z16" s="1541"/>
      <c r="AA16" s="1538">
        <v>1</v>
      </c>
      <c r="AB16" s="1538">
        <v>1</v>
      </c>
      <c r="AC16" s="1538">
        <v>1</v>
      </c>
    </row>
    <row r="17" spans="1:29" ht="71.25">
      <c r="A17" s="387"/>
      <c r="B17" s="410" t="s">
        <v>2472</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35"/>
      <c r="Q17" s="1537" t="str">
        <f>B17</f>
        <v>商业繁华度</v>
      </c>
      <c r="R17" s="714" t="s">
        <v>17</v>
      </c>
      <c r="S17" s="715">
        <f>F17</f>
        <v>100</v>
      </c>
      <c r="T17" s="714" t="s">
        <v>17</v>
      </c>
      <c r="U17" s="715">
        <f>H17</f>
        <v>100</v>
      </c>
      <c r="V17" s="714" t="s">
        <v>17</v>
      </c>
      <c r="W17" s="715">
        <f>J17</f>
        <v>100</v>
      </c>
      <c r="X17" s="1540"/>
      <c r="Y17" s="3435"/>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435"/>
      <c r="Q18" s="1537"/>
      <c r="R18" s="714"/>
      <c r="S18" s="715"/>
      <c r="T18" s="714"/>
      <c r="U18" s="715"/>
      <c r="V18" s="714"/>
      <c r="W18" s="715"/>
      <c r="X18" s="1540"/>
      <c r="Y18" s="3435"/>
      <c r="Z18" s="1541"/>
      <c r="AA18" s="1538">
        <v>1</v>
      </c>
      <c r="AB18" s="1538">
        <v>1</v>
      </c>
      <c r="AC18" s="1538">
        <v>1</v>
      </c>
    </row>
    <row r="19" spans="1:29" ht="71.25">
      <c r="A19" s="387"/>
      <c r="B19" s="410" t="s">
        <v>2506</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35"/>
      <c r="Q19" s="1537" t="str">
        <f>B19</f>
        <v>办公集聚程度</v>
      </c>
      <c r="R19" s="714" t="s">
        <v>17</v>
      </c>
      <c r="S19" s="715">
        <f>F19</f>
        <v>100</v>
      </c>
      <c r="T19" s="714" t="s">
        <v>17</v>
      </c>
      <c r="U19" s="715">
        <f>H19</f>
        <v>100</v>
      </c>
      <c r="V19" s="714" t="s">
        <v>17</v>
      </c>
      <c r="W19" s="715">
        <f>J19</f>
        <v>100</v>
      </c>
      <c r="X19" s="1540"/>
      <c r="Y19" s="3435"/>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1"/>
      <c r="M20" s="2945"/>
      <c r="N20" s="2945"/>
      <c r="O20" s="3003"/>
      <c r="P20" s="3435"/>
      <c r="Q20" s="1537"/>
      <c r="R20" s="714"/>
      <c r="S20" s="715"/>
      <c r="T20" s="714"/>
      <c r="U20" s="715"/>
      <c r="V20" s="714"/>
      <c r="W20" s="715"/>
      <c r="X20" s="1540"/>
      <c r="Y20" s="3435"/>
      <c r="Z20" s="1541"/>
      <c r="AA20" s="1538">
        <v>1</v>
      </c>
      <c r="AB20" s="1538">
        <v>1</v>
      </c>
      <c r="AC20" s="1538">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35"/>
      <c r="Q21" s="1537" t="str">
        <f>B21</f>
        <v>交通便捷度</v>
      </c>
      <c r="R21" s="714" t="s">
        <v>17</v>
      </c>
      <c r="S21" s="715">
        <f>F21</f>
        <v>100</v>
      </c>
      <c r="T21" s="714" t="s">
        <v>17</v>
      </c>
      <c r="U21" s="715">
        <f>H21</f>
        <v>100</v>
      </c>
      <c r="V21" s="714" t="s">
        <v>17</v>
      </c>
      <c r="W21" s="715">
        <f>J21</f>
        <v>100</v>
      </c>
      <c r="X21" s="1540"/>
      <c r="Y21" s="3435"/>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1"/>
      <c r="M22" s="2945"/>
      <c r="N22" s="2945"/>
      <c r="O22" s="3003"/>
      <c r="P22" s="3435"/>
      <c r="Q22" s="1537"/>
      <c r="R22" s="714"/>
      <c r="S22" s="715"/>
      <c r="T22" s="714"/>
      <c r="U22" s="715"/>
      <c r="V22" s="714"/>
      <c r="W22" s="715"/>
      <c r="X22" s="1540"/>
      <c r="Y22" s="3435"/>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35"/>
      <c r="Q23" s="1537" t="str">
        <f t="shared" ref="Q23:Q37" si="8">B23</f>
        <v>区域土地利用方向</v>
      </c>
      <c r="R23" s="714" t="s">
        <v>17</v>
      </c>
      <c r="S23" s="715">
        <f>F23</f>
        <v>100</v>
      </c>
      <c r="T23" s="714" t="s">
        <v>17</v>
      </c>
      <c r="U23" s="715">
        <f>H23</f>
        <v>100</v>
      </c>
      <c r="V23" s="714" t="s">
        <v>17</v>
      </c>
      <c r="W23" s="715">
        <f>J23</f>
        <v>100</v>
      </c>
      <c r="X23" s="1540"/>
      <c r="Y23" s="3435"/>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1"/>
      <c r="M24" s="2945"/>
      <c r="N24" s="2945"/>
      <c r="O24" s="3003"/>
      <c r="P24" s="3435"/>
      <c r="Q24" s="1537"/>
      <c r="R24" s="714"/>
      <c r="S24" s="715"/>
      <c r="T24" s="714"/>
      <c r="U24" s="715"/>
      <c r="V24" s="714"/>
      <c r="W24" s="715"/>
      <c r="X24" s="1540"/>
      <c r="Y24" s="3435"/>
      <c r="Z24" s="1541"/>
      <c r="AA24" s="1538"/>
      <c r="AB24" s="1538"/>
      <c r="AC24" s="1538"/>
    </row>
    <row r="25" spans="1:29" ht="57">
      <c r="A25" s="364"/>
      <c r="B25" s="1293" t="s">
        <v>2568</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35"/>
      <c r="Q25" s="1537" t="str">
        <f t="shared" si="8"/>
        <v>自然及人文环境状况</v>
      </c>
      <c r="R25" s="714" t="s">
        <v>17</v>
      </c>
      <c r="S25" s="715">
        <f>F25</f>
        <v>100</v>
      </c>
      <c r="T25" s="714" t="s">
        <v>17</v>
      </c>
      <c r="U25" s="715">
        <f>H25</f>
        <v>100</v>
      </c>
      <c r="V25" s="714" t="s">
        <v>17</v>
      </c>
      <c r="W25" s="715">
        <f>J25</f>
        <v>100</v>
      </c>
      <c r="X25" s="1540"/>
      <c r="Y25" s="3435"/>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1"/>
      <c r="M26" s="2945"/>
      <c r="N26" s="2945"/>
      <c r="O26" s="3003"/>
      <c r="P26" s="3435"/>
      <c r="Q26" s="1537"/>
      <c r="R26" s="714"/>
      <c r="S26" s="715"/>
      <c r="T26" s="714"/>
      <c r="U26" s="715"/>
      <c r="V26" s="714"/>
      <c r="W26" s="715"/>
      <c r="X26" s="1540"/>
      <c r="Y26" s="3435"/>
      <c r="Z26" s="1541"/>
      <c r="AA26" s="1538">
        <v>1</v>
      </c>
      <c r="AB26" s="1538">
        <v>1</v>
      </c>
      <c r="AC26" s="1538">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35"/>
      <c r="Q27" s="1528" t="str">
        <f t="shared" si="8"/>
        <v>公共配套设施</v>
      </c>
      <c r="R27" s="710" t="s">
        <v>17</v>
      </c>
      <c r="S27" s="711">
        <f>F27</f>
        <v>100</v>
      </c>
      <c r="T27" s="710" t="s">
        <v>17</v>
      </c>
      <c r="U27" s="711">
        <f>H27</f>
        <v>100</v>
      </c>
      <c r="V27" s="710" t="s">
        <v>17</v>
      </c>
      <c r="W27" s="711">
        <f>J27</f>
        <v>100</v>
      </c>
      <c r="X27" s="712"/>
      <c r="Y27" s="3435"/>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6"/>
      <c r="M28" s="2947"/>
      <c r="N28" s="2947"/>
      <c r="O28" s="3001"/>
      <c r="P28" s="3435"/>
      <c r="Q28" s="1528"/>
      <c r="R28" s="710"/>
      <c r="S28" s="711"/>
      <c r="T28" s="710"/>
      <c r="U28" s="711"/>
      <c r="V28" s="710"/>
      <c r="W28" s="711"/>
      <c r="X28" s="712"/>
      <c r="Y28" s="3435"/>
      <c r="Z28" s="55"/>
      <c r="AA28" s="1538">
        <v>1</v>
      </c>
      <c r="AB28" s="1538">
        <v>1</v>
      </c>
      <c r="AC28" s="1538">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35"/>
      <c r="Q29" s="1528" t="str">
        <f t="shared" ref="Q29" si="9">B29</f>
        <v>基础设施水平</v>
      </c>
      <c r="R29" s="710" t="s">
        <v>17</v>
      </c>
      <c r="S29" s="711">
        <f>F29</f>
        <v>100</v>
      </c>
      <c r="T29" s="710" t="s">
        <v>17</v>
      </c>
      <c r="U29" s="711">
        <f>H29</f>
        <v>100</v>
      </c>
      <c r="V29" s="710" t="s">
        <v>17</v>
      </c>
      <c r="W29" s="711">
        <f>J29</f>
        <v>100</v>
      </c>
      <c r="X29" s="712"/>
      <c r="Y29" s="3435"/>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6"/>
      <c r="M30" s="2947"/>
      <c r="N30" s="2947"/>
      <c r="O30" s="3001"/>
      <c r="P30" s="3435"/>
      <c r="Q30" s="1528"/>
      <c r="R30" s="710"/>
      <c r="S30" s="711"/>
      <c r="T30" s="710"/>
      <c r="U30" s="711"/>
      <c r="V30" s="710"/>
      <c r="W30" s="711"/>
      <c r="X30" s="712"/>
      <c r="Y30" s="3435"/>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35"/>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435"/>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35"/>
      <c r="Q32" s="1537" t="str">
        <f t="shared" si="8"/>
        <v>毗邻道路的类型与等级</v>
      </c>
      <c r="R32" s="714" t="s">
        <v>17</v>
      </c>
      <c r="S32" s="715">
        <f t="shared" si="10"/>
        <v>100</v>
      </c>
      <c r="T32" s="714" t="s">
        <v>17</v>
      </c>
      <c r="U32" s="715">
        <f t="shared" si="11"/>
        <v>100</v>
      </c>
      <c r="V32" s="714" t="s">
        <v>17</v>
      </c>
      <c r="W32" s="715">
        <f t="shared" si="12"/>
        <v>100</v>
      </c>
      <c r="X32" s="1540"/>
      <c r="Y32" s="3435"/>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1"/>
      <c r="M33" s="2945"/>
      <c r="N33" s="2945"/>
      <c r="O33" s="3003"/>
      <c r="P33" s="3435"/>
      <c r="Q33" s="1537"/>
      <c r="R33" s="714"/>
      <c r="S33" s="715"/>
      <c r="T33" s="714"/>
      <c r="U33" s="715"/>
      <c r="V33" s="714"/>
      <c r="W33" s="715"/>
      <c r="X33" s="1540"/>
      <c r="Y33" s="3435"/>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35"/>
      <c r="Q34" s="1537" t="str">
        <f t="shared" si="8"/>
        <v>土地级别</v>
      </c>
      <c r="R34" s="714" t="s">
        <v>17</v>
      </c>
      <c r="S34" s="715">
        <f t="shared" si="10"/>
        <v>100</v>
      </c>
      <c r="T34" s="714" t="s">
        <v>17</v>
      </c>
      <c r="U34" s="715">
        <f t="shared" si="11"/>
        <v>100</v>
      </c>
      <c r="V34" s="714" t="s">
        <v>17</v>
      </c>
      <c r="W34" s="715">
        <f t="shared" si="12"/>
        <v>100</v>
      </c>
      <c r="X34" s="1540"/>
      <c r="Y34" s="3435"/>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35"/>
      <c r="Q35" s="1537">
        <f t="shared" si="8"/>
        <v>111</v>
      </c>
      <c r="R35" s="714" t="s">
        <v>17</v>
      </c>
      <c r="S35" s="715">
        <f t="shared" si="10"/>
        <v>100</v>
      </c>
      <c r="T35" s="714" t="s">
        <v>17</v>
      </c>
      <c r="U35" s="715">
        <f t="shared" si="11"/>
        <v>100</v>
      </c>
      <c r="V35" s="714" t="s">
        <v>17</v>
      </c>
      <c r="W35" s="715">
        <f t="shared" si="12"/>
        <v>100</v>
      </c>
      <c r="X35" s="1540"/>
      <c r="Y35" s="3435"/>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92" t="s">
        <v>2385</v>
      </c>
      <c r="Q36" s="1537">
        <f t="shared" si="8"/>
        <v>111</v>
      </c>
      <c r="R36" s="714" t="s">
        <v>17</v>
      </c>
      <c r="S36" s="715">
        <f t="shared" si="10"/>
        <v>100</v>
      </c>
      <c r="T36" s="714" t="s">
        <v>17</v>
      </c>
      <c r="U36" s="715">
        <f t="shared" si="11"/>
        <v>100</v>
      </c>
      <c r="V36" s="714" t="s">
        <v>17</v>
      </c>
      <c r="W36" s="715">
        <f t="shared" si="12"/>
        <v>100</v>
      </c>
      <c r="X36" s="1540"/>
      <c r="Y36" s="3439"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39"/>
      <c r="Q37" s="1537">
        <f t="shared" si="8"/>
        <v>111</v>
      </c>
      <c r="R37" s="717" t="s">
        <v>17</v>
      </c>
      <c r="S37" s="718">
        <f t="shared" si="10"/>
        <v>100</v>
      </c>
      <c r="T37" s="717" t="s">
        <v>17</v>
      </c>
      <c r="U37" s="718">
        <f t="shared" si="11"/>
        <v>100</v>
      </c>
      <c r="V37" s="717" t="s">
        <v>17</v>
      </c>
      <c r="W37" s="718">
        <f t="shared" si="12"/>
        <v>100</v>
      </c>
      <c r="X37" s="719"/>
      <c r="Y37" s="3439"/>
      <c r="Z37" s="720">
        <f t="shared" si="13"/>
        <v>111</v>
      </c>
      <c r="AA37" s="1538">
        <f t="shared" si="3"/>
        <v>1</v>
      </c>
      <c r="AB37" s="1538">
        <f t="shared" si="4"/>
        <v>1</v>
      </c>
      <c r="AC37" s="1538">
        <f t="shared" si="5"/>
        <v>1</v>
      </c>
    </row>
    <row r="38" spans="1:29" ht="15">
      <c r="A38" s="431" t="s">
        <v>2383</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39"/>
      <c r="Q38" s="1537" t="str">
        <f>B38</f>
        <v>宗地面积</v>
      </c>
      <c r="R38" s="714" t="s">
        <v>17</v>
      </c>
      <c r="S38" s="715" t="e">
        <f t="shared" si="10"/>
        <v>#N/A</v>
      </c>
      <c r="T38" s="714" t="s">
        <v>17</v>
      </c>
      <c r="U38" s="715" t="e">
        <f t="shared" si="11"/>
        <v>#N/A</v>
      </c>
      <c r="V38" s="714" t="s">
        <v>17</v>
      </c>
      <c r="W38" s="715" t="e">
        <f t="shared" si="12"/>
        <v>#N/A</v>
      </c>
      <c r="X38" s="1540"/>
      <c r="Y38" s="3439"/>
      <c r="Z38" s="1541" t="str">
        <f t="shared" si="13"/>
        <v>宗地面积</v>
      </c>
      <c r="AA38" s="1538" t="e">
        <f t="shared" si="3"/>
        <v>#N/A</v>
      </c>
      <c r="AB38" s="1538" t="e">
        <f t="shared" si="4"/>
        <v>#N/A</v>
      </c>
      <c r="AC38" s="1538" t="e">
        <f t="shared" si="5"/>
        <v>#N/A</v>
      </c>
    </row>
    <row r="39" spans="1:29" ht="15">
      <c r="A39" s="431"/>
      <c r="B39" s="381" t="s">
        <v>2571</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1"/>
      <c r="M39" s="2945"/>
      <c r="N39" s="2945"/>
      <c r="O39" s="3003"/>
      <c r="P39" s="3439"/>
      <c r="Q39" s="1537" t="str">
        <f t="shared" ref="Q39:Q45" si="14">B39</f>
        <v>宗地形状</v>
      </c>
      <c r="R39" s="714" t="s">
        <v>17</v>
      </c>
      <c r="S39" s="715">
        <f t="shared" si="10"/>
        <v>100</v>
      </c>
      <c r="T39" s="714" t="s">
        <v>17</v>
      </c>
      <c r="U39" s="715">
        <f t="shared" si="11"/>
        <v>100</v>
      </c>
      <c r="V39" s="714" t="s">
        <v>17</v>
      </c>
      <c r="W39" s="715">
        <f t="shared" si="12"/>
        <v>100</v>
      </c>
      <c r="X39" s="1540"/>
      <c r="Y39" s="3439"/>
      <c r="Z39" s="1541" t="str">
        <f t="shared" si="13"/>
        <v>宗地形状</v>
      </c>
      <c r="AA39" s="1538">
        <f t="shared" si="3"/>
        <v>1</v>
      </c>
      <c r="AB39" s="1538">
        <f t="shared" si="4"/>
        <v>1</v>
      </c>
      <c r="AC39" s="1538">
        <f t="shared" si="5"/>
        <v>1</v>
      </c>
    </row>
    <row r="40" spans="1:29" ht="15">
      <c r="A40" s="431"/>
      <c r="B40" s="381" t="s">
        <v>2572</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1"/>
      <c r="M40" s="2945"/>
      <c r="N40" s="2945"/>
      <c r="O40" s="3003"/>
      <c r="P40" s="3439"/>
      <c r="Q40" s="1537" t="str">
        <f t="shared" si="14"/>
        <v>临街宽度及深度</v>
      </c>
      <c r="R40" s="714" t="s">
        <v>17</v>
      </c>
      <c r="S40" s="715">
        <f t="shared" si="10"/>
        <v>100</v>
      </c>
      <c r="T40" s="714" t="s">
        <v>17</v>
      </c>
      <c r="U40" s="715">
        <f t="shared" si="11"/>
        <v>100</v>
      </c>
      <c r="V40" s="714" t="s">
        <v>17</v>
      </c>
      <c r="W40" s="715">
        <f t="shared" si="12"/>
        <v>100</v>
      </c>
      <c r="X40" s="1540"/>
      <c r="Y40" s="3439"/>
      <c r="Z40" s="1541" t="str">
        <f t="shared" si="13"/>
        <v>临街宽度及深度</v>
      </c>
      <c r="AA40" s="1538">
        <f t="shared" si="3"/>
        <v>1</v>
      </c>
      <c r="AB40" s="1538">
        <f t="shared" si="4"/>
        <v>1</v>
      </c>
      <c r="AC40" s="1538">
        <f t="shared" si="5"/>
        <v>1</v>
      </c>
    </row>
    <row r="41" spans="1:29" s="113" customFormat="1" ht="15">
      <c r="A41" s="432"/>
      <c r="B41" s="381" t="s">
        <v>2573</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6"/>
      <c r="M41" s="2947"/>
      <c r="N41" s="2947"/>
      <c r="O41" s="3001"/>
      <c r="P41" s="3439"/>
      <c r="Q41" s="1537" t="str">
        <f t="shared" si="14"/>
        <v>宗地开发程度</v>
      </c>
      <c r="R41" s="710" t="s">
        <v>17</v>
      </c>
      <c r="S41" s="711">
        <f t="shared" si="10"/>
        <v>100</v>
      </c>
      <c r="T41" s="710" t="s">
        <v>17</v>
      </c>
      <c r="U41" s="711">
        <f t="shared" si="11"/>
        <v>100</v>
      </c>
      <c r="V41" s="710" t="s">
        <v>17</v>
      </c>
      <c r="W41" s="711">
        <f t="shared" si="12"/>
        <v>100</v>
      </c>
      <c r="X41" s="712"/>
      <c r="Y41" s="3439"/>
      <c r="Z41" s="55" t="str">
        <f t="shared" si="13"/>
        <v>宗地开发程度</v>
      </c>
      <c r="AA41" s="713">
        <f t="shared" si="3"/>
        <v>1</v>
      </c>
      <c r="AB41" s="713">
        <f t="shared" si="4"/>
        <v>1</v>
      </c>
      <c r="AC41" s="713">
        <f t="shared" si="5"/>
        <v>1</v>
      </c>
    </row>
    <row r="42" spans="1:29" ht="15">
      <c r="A42" s="431"/>
      <c r="B42" s="381" t="s">
        <v>2574</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1"/>
      <c r="M42" s="2945"/>
      <c r="N42" s="2945"/>
      <c r="O42" s="3003"/>
      <c r="P42" s="3439" t="s">
        <v>2385</v>
      </c>
      <c r="Q42" s="1537" t="str">
        <f t="shared" si="14"/>
        <v>工程地质条件</v>
      </c>
      <c r="R42" s="714" t="s">
        <v>17</v>
      </c>
      <c r="S42" s="715">
        <f t="shared" si="10"/>
        <v>100</v>
      </c>
      <c r="T42" s="714" t="s">
        <v>17</v>
      </c>
      <c r="U42" s="715">
        <f t="shared" si="11"/>
        <v>100</v>
      </c>
      <c r="V42" s="714" t="s">
        <v>17</v>
      </c>
      <c r="W42" s="715">
        <f t="shared" si="12"/>
        <v>100</v>
      </c>
      <c r="X42" s="1540"/>
      <c r="Y42" s="3439"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39"/>
      <c r="Q43" s="1537">
        <f t="shared" si="14"/>
        <v>111</v>
      </c>
      <c r="R43" s="714" t="s">
        <v>17</v>
      </c>
      <c r="S43" s="715">
        <f t="shared" si="10"/>
        <v>100</v>
      </c>
      <c r="T43" s="714" t="s">
        <v>17</v>
      </c>
      <c r="U43" s="715">
        <f t="shared" si="11"/>
        <v>100</v>
      </c>
      <c r="V43" s="714" t="s">
        <v>17</v>
      </c>
      <c r="W43" s="715">
        <f t="shared" si="12"/>
        <v>100</v>
      </c>
      <c r="X43" s="1540"/>
      <c r="Y43" s="3439"/>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39"/>
      <c r="Q44" s="1537">
        <f t="shared" si="14"/>
        <v>111</v>
      </c>
      <c r="R44" s="714" t="s">
        <v>17</v>
      </c>
      <c r="S44" s="715">
        <f t="shared" si="10"/>
        <v>100</v>
      </c>
      <c r="T44" s="714" t="s">
        <v>17</v>
      </c>
      <c r="U44" s="715">
        <f t="shared" si="11"/>
        <v>100</v>
      </c>
      <c r="V44" s="714" t="s">
        <v>17</v>
      </c>
      <c r="W44" s="715">
        <f t="shared" si="12"/>
        <v>100</v>
      </c>
      <c r="X44" s="1540"/>
      <c r="Y44" s="3439"/>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39"/>
      <c r="Q45" s="1537">
        <f t="shared" si="14"/>
        <v>111</v>
      </c>
      <c r="R45" s="717" t="s">
        <v>17</v>
      </c>
      <c r="S45" s="718">
        <f t="shared" si="10"/>
        <v>100</v>
      </c>
      <c r="T45" s="717" t="s">
        <v>17</v>
      </c>
      <c r="U45" s="718">
        <f t="shared" si="11"/>
        <v>100</v>
      </c>
      <c r="V45" s="717" t="s">
        <v>17</v>
      </c>
      <c r="W45" s="718">
        <f t="shared" si="12"/>
        <v>100</v>
      </c>
      <c r="X45" s="719"/>
      <c r="Y45" s="3439"/>
      <c r="Z45" s="720">
        <f t="shared" si="13"/>
        <v>111</v>
      </c>
      <c r="AA45" s="1538">
        <f t="shared" si="3"/>
        <v>1</v>
      </c>
      <c r="AB45" s="1538">
        <f t="shared" si="4"/>
        <v>1</v>
      </c>
      <c r="AC45" s="1538">
        <f t="shared" si="5"/>
        <v>1</v>
      </c>
    </row>
    <row r="46" spans="1:29" ht="15">
      <c r="A46" s="438" t="s">
        <v>2539</v>
      </c>
      <c r="B46" s="2169" t="s">
        <v>2575</v>
      </c>
      <c r="C46" s="638" t="s">
        <v>1</v>
      </c>
      <c r="D46" s="440"/>
      <c r="E46" s="441"/>
      <c r="F46" s="442"/>
      <c r="G46" s="443"/>
      <c r="H46" s="444"/>
      <c r="I46" s="441"/>
      <c r="J46" s="444"/>
      <c r="K46" s="723"/>
      <c r="L46" s="2953"/>
      <c r="M46" s="2954"/>
      <c r="N46" s="2945"/>
      <c r="O46" s="2954"/>
      <c r="P46" s="3432" t="str">
        <f>A46</f>
        <v>成交单价</v>
      </c>
      <c r="Q46" s="3432"/>
      <c r="R46" s="3463">
        <f>E46</f>
        <v>0</v>
      </c>
      <c r="S46" s="3463"/>
      <c r="T46" s="3463">
        <f>G46</f>
        <v>0</v>
      </c>
      <c r="U46" s="3463"/>
      <c r="V46" s="3463">
        <f>I46</f>
        <v>0</v>
      </c>
      <c r="W46" s="3463"/>
      <c r="X46" s="699"/>
      <c r="Y46" s="721"/>
      <c r="Z46" s="699"/>
      <c r="AA46" s="699"/>
      <c r="AB46" s="699"/>
      <c r="AC46" s="699"/>
    </row>
    <row r="47" spans="1:29" ht="15.75" thickBot="1">
      <c r="A47" s="445" t="s">
        <v>2488</v>
      </c>
      <c r="B47" s="639"/>
      <c r="C47" s="448" t="e">
        <f>R48</f>
        <v>#DIV/0!</v>
      </c>
      <c r="D47" s="2539" t="s">
        <v>2877</v>
      </c>
      <c r="E47" s="448" t="e">
        <f>R47</f>
        <v>#DIV/0!</v>
      </c>
      <c r="F47" s="2540"/>
      <c r="G47" s="447" t="e">
        <f>T47</f>
        <v>#DIV/0!</v>
      </c>
      <c r="H47" s="2540"/>
      <c r="I47" s="448" t="e">
        <f>V47</f>
        <v>#DIV/0!</v>
      </c>
      <c r="J47" s="2540"/>
      <c r="K47" s="2542">
        <f>F47+H47+J47</f>
        <v>0</v>
      </c>
      <c r="L47" s="2953"/>
      <c r="M47" s="2954"/>
      <c r="N47" s="2954"/>
      <c r="O47" s="2954"/>
      <c r="P47" s="3432" t="str">
        <f>A47</f>
        <v>比较价值（元/平方米）</v>
      </c>
      <c r="Q47" s="3432"/>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3"/>
      <c r="M48" s="2954"/>
      <c r="N48" s="2954"/>
      <c r="O48" s="2954"/>
      <c r="P48" s="3429" t="str">
        <f>A48</f>
        <v>估价对象XX用房的比较价值（楼面单价，元/平方米）</v>
      </c>
      <c r="Q48" s="3430"/>
      <c r="R48" s="3495" t="e">
        <f>ROUND(IF(D47="简单平均",AVERAGE(R47:W47),R47*F47+T47*H47+V47*J47),0)</f>
        <v>#DIV/0!</v>
      </c>
      <c r="S48" s="3495"/>
      <c r="T48" s="3495"/>
      <c r="U48" s="3495"/>
      <c r="V48" s="3495"/>
      <c r="W48" s="349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2577</v>
      </c>
      <c r="B55" s="641" t="s">
        <v>2578</v>
      </c>
      <c r="C55" s="2170" t="s">
        <v>2579</v>
      </c>
      <c r="D55" s="2171" t="s">
        <v>2580</v>
      </c>
      <c r="E55" s="642" t="s">
        <v>2581</v>
      </c>
      <c r="F55" s="1021" t="s">
        <v>2582</v>
      </c>
      <c r="G55" s="3447" t="s">
        <v>2583</v>
      </c>
      <c r="H55" s="3496"/>
      <c r="I55" s="140" t="s">
        <v>2584</v>
      </c>
      <c r="J55" s="2172" t="str">
        <f>项目基本情况!F35</f>
        <v>朗清园</v>
      </c>
      <c r="K55" s="2173" t="s">
        <v>2585</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2586</v>
      </c>
      <c r="B56" s="645" t="e">
        <f>C48</f>
        <v>#DIV/0!</v>
      </c>
      <c r="C56" s="646">
        <v>1</v>
      </c>
      <c r="D56" s="1075">
        <v>1</v>
      </c>
      <c r="E56" s="646">
        <f>'数据-汇总表'!E8+'数据-汇总表'!E9</f>
        <v>13966.28</v>
      </c>
      <c r="F56" s="1017" t="e">
        <f t="shared" ref="F56:F65" si="15">ROUND(B56*E56/10000,0)</f>
        <v>#DIV/0!</v>
      </c>
      <c r="G56" s="3443"/>
      <c r="H56" s="3432"/>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2587</v>
      </c>
      <c r="B57" s="224" t="e">
        <f>ROUND($C$48*C57*D57,0)</f>
        <v>#DIV/0!</v>
      </c>
      <c r="C57" s="176">
        <f t="shared" ref="C57:C65" si="16">IF($C$55="北京市系数",I57,J57)</f>
        <v>0</v>
      </c>
      <c r="D57" s="1076">
        <v>0.25</v>
      </c>
      <c r="E57" s="650"/>
      <c r="F57" s="1017" t="e">
        <f t="shared" si="15"/>
        <v>#DIV/0!</v>
      </c>
      <c r="G57" s="3497" t="s">
        <v>2588</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2589</v>
      </c>
      <c r="B58" s="224" t="e">
        <f t="shared" ref="B58:B65" si="17">ROUND($C$48*C58*D58,0)</f>
        <v>#DIV/0!</v>
      </c>
      <c r="C58" s="176">
        <f t="shared" si="16"/>
        <v>0</v>
      </c>
      <c r="D58" s="1076">
        <v>0.25</v>
      </c>
      <c r="E58" s="650"/>
      <c r="F58" s="1017" t="e">
        <f t="shared" si="15"/>
        <v>#DIV/0!</v>
      </c>
      <c r="G58" s="349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2590</v>
      </c>
      <c r="B59" s="224" t="e">
        <f t="shared" si="17"/>
        <v>#DIV/0!</v>
      </c>
      <c r="C59" s="176">
        <f t="shared" si="16"/>
        <v>0</v>
      </c>
      <c r="D59" s="1076">
        <v>0.25</v>
      </c>
      <c r="E59" s="650"/>
      <c r="F59" s="1017" t="e">
        <f t="shared" si="15"/>
        <v>#DIV/0!</v>
      </c>
      <c r="G59" s="349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2591</v>
      </c>
      <c r="B60" s="224" t="e">
        <f t="shared" si="17"/>
        <v>#DIV/0!</v>
      </c>
      <c r="C60" s="176">
        <f t="shared" si="16"/>
        <v>0</v>
      </c>
      <c r="D60" s="1076">
        <v>0.25</v>
      </c>
      <c r="E60" s="650"/>
      <c r="F60" s="1017" t="e">
        <f t="shared" si="15"/>
        <v>#DIV/0!</v>
      </c>
      <c r="G60" s="349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2592</v>
      </c>
      <c r="B61" s="224" t="e">
        <f t="shared" si="17"/>
        <v>#DIV/0!</v>
      </c>
      <c r="C61" s="176">
        <f t="shared" si="16"/>
        <v>0</v>
      </c>
      <c r="D61" s="1076">
        <v>0.25</v>
      </c>
      <c r="E61" s="223">
        <f>'数据-汇总表'!E11</f>
        <v>0</v>
      </c>
      <c r="F61" s="1017" t="e">
        <f t="shared" si="15"/>
        <v>#DIV/0!</v>
      </c>
      <c r="G61" s="2174" t="s">
        <v>2593</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2596</v>
      </c>
      <c r="B63" s="224" t="e">
        <f t="shared" si="17"/>
        <v>#DIV/0!</v>
      </c>
      <c r="C63" s="176">
        <f t="shared" si="16"/>
        <v>0.15</v>
      </c>
      <c r="D63" s="1076">
        <v>0.25</v>
      </c>
      <c r="E63" s="223">
        <f>'数据-汇总表'!E13</f>
        <v>0</v>
      </c>
      <c r="F63" s="1017" t="e">
        <f t="shared" si="15"/>
        <v>#DIV/0!</v>
      </c>
      <c r="G63" s="1023" t="s">
        <v>2597</v>
      </c>
      <c r="H63" s="1018" t="str">
        <f>IF(G63="商业",项目基本情况!B37,IF(G63="办公",项目基本情况!C37,IF(G63="住宅",项目基本情况!D37,项目基本情况!E37)))</f>
        <v>八级</v>
      </c>
      <c r="I63" s="1022">
        <f>SUMIF(修正!A45:A56,H63,修正!H45:H56)</f>
        <v>0.15</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2598</v>
      </c>
      <c r="B64" s="224" t="e">
        <f t="shared" si="17"/>
        <v>#DIV/0!</v>
      </c>
      <c r="C64" s="176">
        <f t="shared" si="16"/>
        <v>0</v>
      </c>
      <c r="D64" s="1076">
        <v>0.25</v>
      </c>
      <c r="E64" s="223">
        <f>'数据-汇总表'!E14</f>
        <v>0</v>
      </c>
      <c r="F64" s="1017" t="e">
        <f t="shared" si="15"/>
        <v>#DIV/0!</v>
      </c>
      <c r="G64" s="2174" t="s">
        <v>2588</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2599</v>
      </c>
      <c r="B65" s="224" t="e">
        <f t="shared" si="17"/>
        <v>#DIV/0!</v>
      </c>
      <c r="C65" s="176">
        <f t="shared" si="16"/>
        <v>0</v>
      </c>
      <c r="D65" s="1076">
        <v>0.25</v>
      </c>
      <c r="E65" s="223">
        <f>'数据-汇总表'!E15</f>
        <v>0</v>
      </c>
      <c r="F65" s="1017" t="e">
        <f t="shared" si="15"/>
        <v>#DIV/0!</v>
      </c>
      <c r="G65" s="2175" t="s">
        <v>2593</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2600</v>
      </c>
      <c r="B66" s="652" t="s">
        <v>28</v>
      </c>
      <c r="C66" s="652" t="s">
        <v>29</v>
      </c>
      <c r="D66" s="652" t="s">
        <v>997</v>
      </c>
      <c r="E66" s="652">
        <f>IF(B46="楼面地价",SUM(E56:E65),'数据-汇总表'!D3)</f>
        <v>13966.28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4"/>
      <c r="Q68" s="2954"/>
      <c r="R68" s="2954"/>
      <c r="S68" s="2954"/>
      <c r="T68" s="2954"/>
      <c r="U68" s="2954"/>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7" t="s">
        <v>2602</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447" t="s">
        <v>2465</v>
      </c>
      <c r="D4" s="3448"/>
      <c r="E4" s="3449" t="s">
        <v>2466</v>
      </c>
      <c r="F4" s="3450"/>
      <c r="G4" s="3447" t="s">
        <v>2467</v>
      </c>
      <c r="H4" s="3448"/>
      <c r="I4" s="3447" t="s">
        <v>2468</v>
      </c>
      <c r="J4" s="3448"/>
      <c r="K4" s="567" t="s">
        <v>2469</v>
      </c>
      <c r="L4" s="2944"/>
      <c r="M4" s="2945"/>
      <c r="N4" s="2945"/>
      <c r="O4" s="2945"/>
      <c r="P4" s="3451" t="s">
        <v>2470</v>
      </c>
      <c r="Q4" s="3452"/>
      <c r="R4" s="3457" t="s">
        <v>2466</v>
      </c>
      <c r="S4" s="3458"/>
      <c r="T4" s="3457" t="s">
        <v>2467</v>
      </c>
      <c r="U4" s="3458"/>
      <c r="V4" s="3463" t="s">
        <v>2468</v>
      </c>
      <c r="W4" s="3463"/>
      <c r="X4" s="1540"/>
      <c r="Y4" s="3457" t="s">
        <v>2470</v>
      </c>
      <c r="Z4" s="3458"/>
      <c r="AA4" s="3444" t="s">
        <v>2466</v>
      </c>
      <c r="AB4" s="3445" t="s">
        <v>2467</v>
      </c>
      <c r="AC4" s="3444" t="s">
        <v>2468</v>
      </c>
    </row>
    <row r="5" spans="1:29" ht="15">
      <c r="A5" s="364"/>
      <c r="B5" s="365"/>
      <c r="C5" s="3471" t="s">
        <v>2362</v>
      </c>
      <c r="D5" s="3467"/>
      <c r="E5" s="3476" t="s">
        <v>2363</v>
      </c>
      <c r="F5" s="3475"/>
      <c r="G5" s="3471" t="s">
        <v>2364</v>
      </c>
      <c r="H5" s="3467"/>
      <c r="I5" s="3471" t="s">
        <v>2365</v>
      </c>
      <c r="J5" s="3467"/>
      <c r="K5" s="567"/>
      <c r="L5" s="2944"/>
      <c r="M5" s="2945"/>
      <c r="N5" s="2945"/>
      <c r="O5" s="2945"/>
      <c r="P5" s="3453"/>
      <c r="Q5" s="3454"/>
      <c r="R5" s="3459"/>
      <c r="S5" s="3460"/>
      <c r="T5" s="3459"/>
      <c r="U5" s="3460"/>
      <c r="V5" s="3463"/>
      <c r="W5" s="3463"/>
      <c r="X5" s="1540"/>
      <c r="Y5" s="3459"/>
      <c r="Z5" s="3460"/>
      <c r="AA5" s="3445"/>
      <c r="AB5" s="3445"/>
      <c r="AC5" s="3445"/>
    </row>
    <row r="6" spans="1:29" ht="15.75" thickBot="1">
      <c r="A6" s="366"/>
      <c r="B6" s="367"/>
      <c r="C6" s="3498" t="s">
        <v>2616</v>
      </c>
      <c r="D6" s="3499"/>
      <c r="E6" s="3500" t="s">
        <v>2616</v>
      </c>
      <c r="F6" s="3501"/>
      <c r="G6" s="3498" t="s">
        <v>2616</v>
      </c>
      <c r="H6" s="3499"/>
      <c r="I6" s="3498" t="s">
        <v>2616</v>
      </c>
      <c r="J6" s="3499"/>
      <c r="K6" s="567" t="s">
        <v>2367</v>
      </c>
      <c r="L6" s="2944"/>
      <c r="M6" s="2945"/>
      <c r="N6" s="2945"/>
      <c r="O6" s="2945"/>
      <c r="P6" s="3455"/>
      <c r="Q6" s="3456"/>
      <c r="R6" s="3459"/>
      <c r="S6" s="3460"/>
      <c r="T6" s="3461"/>
      <c r="U6" s="3462"/>
      <c r="V6" s="3463"/>
      <c r="W6" s="3463"/>
      <c r="X6" s="1540"/>
      <c r="Y6" s="3461"/>
      <c r="Z6" s="3462"/>
      <c r="AA6" s="3446"/>
      <c r="AB6" s="3446"/>
      <c r="AC6" s="3446"/>
    </row>
    <row r="7" spans="1:29" s="113" customFormat="1" ht="15.75" thickBot="1">
      <c r="A7" s="368" t="s">
        <v>2368</v>
      </c>
      <c r="B7" s="369"/>
      <c r="C7" s="370">
        <f>'数据-取费表'!B2</f>
        <v>44256</v>
      </c>
      <c r="D7" s="371">
        <v>100</v>
      </c>
      <c r="E7" s="372"/>
      <c r="F7" s="373">
        <f>SUMIF(65:65,YEAR(E7)&amp;"-"&amp;INT((MONTH(E7)+2)/3),66:66)</f>
        <v>0</v>
      </c>
      <c r="G7" s="2161"/>
      <c r="H7" s="371">
        <f>SUMIF(65:65,YEAR(G7)&amp;"-"&amp;INT((MONTH(G7)+2)/3),66:66)</f>
        <v>0</v>
      </c>
      <c r="I7" s="2161"/>
      <c r="J7" s="371">
        <f>SUMIF(65:65,YEAR(I7)&amp;"-"&amp;INT((MONTH(I7)+2)/3),66:66)</f>
        <v>0</v>
      </c>
      <c r="K7" s="568"/>
      <c r="L7" s="2946"/>
      <c r="M7" s="2947"/>
      <c r="N7" s="2947"/>
      <c r="O7" s="2947"/>
      <c r="P7" s="3468" t="s">
        <v>2369</v>
      </c>
      <c r="Q7" s="3470"/>
      <c r="R7" s="710" t="s">
        <v>17</v>
      </c>
      <c r="S7" s="711">
        <f t="shared" ref="S7:S15" si="0">F7</f>
        <v>0</v>
      </c>
      <c r="T7" s="710" t="s">
        <v>17</v>
      </c>
      <c r="U7" s="711">
        <f t="shared" ref="U7:U15" si="1">H7</f>
        <v>0</v>
      </c>
      <c r="V7" s="710" t="s">
        <v>17</v>
      </c>
      <c r="W7" s="711">
        <f t="shared" ref="W7:W15" si="2">J7</f>
        <v>0</v>
      </c>
      <c r="X7" s="712"/>
      <c r="Y7" s="3468" t="s">
        <v>2369</v>
      </c>
      <c r="Z7" s="346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68" t="s">
        <v>2372</v>
      </c>
      <c r="Q8" s="3469"/>
      <c r="R8" s="710" t="s">
        <v>17</v>
      </c>
      <c r="S8" s="711">
        <f t="shared" si="0"/>
        <v>0</v>
      </c>
      <c r="T8" s="710" t="s">
        <v>17</v>
      </c>
      <c r="U8" s="711">
        <f t="shared" si="1"/>
        <v>0</v>
      </c>
      <c r="V8" s="710" t="s">
        <v>17</v>
      </c>
      <c r="W8" s="711">
        <f t="shared" si="2"/>
        <v>0</v>
      </c>
      <c r="X8" s="712"/>
      <c r="Y8" s="3468" t="s">
        <v>2372</v>
      </c>
      <c r="Z8" s="3469"/>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6"/>
      <c r="M9" s="2947"/>
      <c r="N9" s="2947"/>
      <c r="O9" s="3001"/>
      <c r="P9" s="3432" t="s">
        <v>2375</v>
      </c>
      <c r="Q9" s="1528" t="str">
        <f t="shared" ref="Q9:Q15" si="6">B9</f>
        <v>用途</v>
      </c>
      <c r="R9" s="710" t="s">
        <v>17</v>
      </c>
      <c r="S9" s="711">
        <f t="shared" si="0"/>
        <v>100</v>
      </c>
      <c r="T9" s="710" t="s">
        <v>17</v>
      </c>
      <c r="U9" s="711">
        <f t="shared" si="1"/>
        <v>100</v>
      </c>
      <c r="V9" s="710" t="s">
        <v>17</v>
      </c>
      <c r="W9" s="711">
        <f t="shared" si="2"/>
        <v>100</v>
      </c>
      <c r="X9" s="712"/>
      <c r="Y9" s="3231"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432"/>
      <c r="Q10" s="1528"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32"/>
      <c r="Q11" s="1528"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32"/>
      <c r="Q12" s="1528">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32"/>
      <c r="Q13" s="1528">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32"/>
      <c r="Q14" s="1528">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57">
      <c r="A15" s="399" t="s">
        <v>2379</v>
      </c>
      <c r="B15" s="585" t="s">
        <v>2617</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34" t="s">
        <v>2380</v>
      </c>
      <c r="Q15" s="1537" t="str">
        <f t="shared" si="6"/>
        <v>产业集聚程度</v>
      </c>
      <c r="R15" s="714" t="s">
        <v>17</v>
      </c>
      <c r="S15" s="715">
        <f t="shared" si="0"/>
        <v>100</v>
      </c>
      <c r="T15" s="714" t="s">
        <v>17</v>
      </c>
      <c r="U15" s="715">
        <f t="shared" si="1"/>
        <v>100</v>
      </c>
      <c r="V15" s="714" t="s">
        <v>17</v>
      </c>
      <c r="W15" s="715">
        <f t="shared" si="2"/>
        <v>100</v>
      </c>
      <c r="X15" s="1540"/>
      <c r="Y15" s="3434"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1"/>
      <c r="M16" s="2945"/>
      <c r="N16" s="2945"/>
      <c r="O16" s="3003"/>
      <c r="P16" s="3435"/>
      <c r="Q16" s="1537"/>
      <c r="R16" s="714"/>
      <c r="S16" s="715"/>
      <c r="T16" s="714"/>
      <c r="U16" s="715"/>
      <c r="V16" s="714"/>
      <c r="W16" s="715"/>
      <c r="X16" s="1540"/>
      <c r="Y16" s="3435"/>
      <c r="Z16" s="1541"/>
      <c r="AA16" s="1538">
        <v>1</v>
      </c>
      <c r="AB16" s="1538">
        <v>1</v>
      </c>
      <c r="AC16" s="1538">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35"/>
      <c r="Q17" s="1537" t="str">
        <f>B17</f>
        <v>交通便捷度</v>
      </c>
      <c r="R17" s="714" t="s">
        <v>17</v>
      </c>
      <c r="S17" s="715">
        <f>F17</f>
        <v>100</v>
      </c>
      <c r="T17" s="714" t="s">
        <v>17</v>
      </c>
      <c r="U17" s="715">
        <f>H17</f>
        <v>100</v>
      </c>
      <c r="V17" s="714" t="s">
        <v>17</v>
      </c>
      <c r="W17" s="715">
        <f>J17</f>
        <v>100</v>
      </c>
      <c r="X17" s="1540"/>
      <c r="Y17" s="3435"/>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1"/>
      <c r="M18" s="2945"/>
      <c r="N18" s="2945"/>
      <c r="O18" s="3003"/>
      <c r="P18" s="3435"/>
      <c r="Q18" s="1537"/>
      <c r="R18" s="714"/>
      <c r="S18" s="715"/>
      <c r="T18" s="714"/>
      <c r="U18" s="715"/>
      <c r="V18" s="714"/>
      <c r="W18" s="715"/>
      <c r="X18" s="1540"/>
      <c r="Y18" s="3435"/>
      <c r="Z18" s="1541"/>
      <c r="AA18" s="1538">
        <v>1</v>
      </c>
      <c r="AB18" s="1538">
        <v>1</v>
      </c>
      <c r="AC18" s="1538">
        <v>1</v>
      </c>
    </row>
    <row r="19" spans="1:29" ht="15">
      <c r="A19" s="387"/>
      <c r="B19" s="587" t="s">
        <v>2567</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35"/>
      <c r="Q19" s="1537" t="str">
        <f t="shared" ref="Q19:Q33" si="8">B19</f>
        <v>区域土地利用方向</v>
      </c>
      <c r="R19" s="714" t="s">
        <v>17</v>
      </c>
      <c r="S19" s="715">
        <f>F19</f>
        <v>100</v>
      </c>
      <c r="T19" s="714" t="s">
        <v>17</v>
      </c>
      <c r="U19" s="715">
        <f>H19</f>
        <v>100</v>
      </c>
      <c r="V19" s="714" t="s">
        <v>17</v>
      </c>
      <c r="W19" s="715">
        <f>J19</f>
        <v>100</v>
      </c>
      <c r="X19" s="1540"/>
      <c r="Y19" s="3435"/>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1"/>
      <c r="M20" s="2945"/>
      <c r="N20" s="2945"/>
      <c r="O20" s="3003"/>
      <c r="P20" s="3435"/>
      <c r="Q20" s="1537"/>
      <c r="R20" s="714"/>
      <c r="S20" s="715"/>
      <c r="T20" s="714"/>
      <c r="U20" s="715"/>
      <c r="V20" s="714"/>
      <c r="W20" s="715"/>
      <c r="X20" s="1540"/>
      <c r="Y20" s="3435"/>
      <c r="Z20" s="1541"/>
      <c r="AA20" s="1538"/>
      <c r="AB20" s="1538"/>
      <c r="AC20" s="1538"/>
    </row>
    <row r="21" spans="1:29" ht="71.25">
      <c r="A21" s="364"/>
      <c r="B21" s="587" t="s">
        <v>2618</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35"/>
      <c r="Q21" s="1537" t="str">
        <f t="shared" si="8"/>
        <v>环境状况</v>
      </c>
      <c r="R21" s="714" t="s">
        <v>17</v>
      </c>
      <c r="S21" s="715">
        <f>F21</f>
        <v>100</v>
      </c>
      <c r="T21" s="714" t="s">
        <v>17</v>
      </c>
      <c r="U21" s="715">
        <f>H21</f>
        <v>100</v>
      </c>
      <c r="V21" s="714" t="s">
        <v>17</v>
      </c>
      <c r="W21" s="715">
        <f>J21</f>
        <v>100</v>
      </c>
      <c r="X21" s="1540"/>
      <c r="Y21" s="3435"/>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1"/>
      <c r="M22" s="2945"/>
      <c r="N22" s="2945"/>
      <c r="O22" s="3003"/>
      <c r="P22" s="3435"/>
      <c r="Q22" s="1537"/>
      <c r="R22" s="714"/>
      <c r="S22" s="715"/>
      <c r="T22" s="714"/>
      <c r="U22" s="715"/>
      <c r="V22" s="714"/>
      <c r="W22" s="715"/>
      <c r="X22" s="1540"/>
      <c r="Y22" s="3435"/>
      <c r="Z22" s="1541"/>
      <c r="AA22" s="1538">
        <v>1</v>
      </c>
      <c r="AB22" s="1538">
        <v>1</v>
      </c>
      <c r="AC22" s="1538">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35"/>
      <c r="Q23" s="1528" t="str">
        <f t="shared" si="8"/>
        <v>公共配套设施</v>
      </c>
      <c r="R23" s="710" t="s">
        <v>17</v>
      </c>
      <c r="S23" s="711">
        <f>F23</f>
        <v>100</v>
      </c>
      <c r="T23" s="710" t="s">
        <v>17</v>
      </c>
      <c r="U23" s="711">
        <f>H23</f>
        <v>100</v>
      </c>
      <c r="V23" s="710" t="s">
        <v>17</v>
      </c>
      <c r="W23" s="711">
        <f>J23</f>
        <v>100</v>
      </c>
      <c r="X23" s="712"/>
      <c r="Y23" s="3435"/>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6"/>
      <c r="M24" s="2947"/>
      <c r="N24" s="2947"/>
      <c r="O24" s="3001"/>
      <c r="P24" s="3435"/>
      <c r="Q24" s="1528"/>
      <c r="R24" s="710"/>
      <c r="S24" s="711"/>
      <c r="T24" s="710"/>
      <c r="U24" s="711"/>
      <c r="V24" s="710"/>
      <c r="W24" s="711"/>
      <c r="X24" s="712"/>
      <c r="Y24" s="3435"/>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35"/>
      <c r="Q25" s="1528" t="str">
        <f t="shared" ref="Q25" si="9">B25</f>
        <v>基础设施水平</v>
      </c>
      <c r="R25" s="710" t="s">
        <v>17</v>
      </c>
      <c r="S25" s="711">
        <f>F25</f>
        <v>100</v>
      </c>
      <c r="T25" s="710" t="s">
        <v>17</v>
      </c>
      <c r="U25" s="711">
        <f>H25</f>
        <v>100</v>
      </c>
      <c r="V25" s="710" t="s">
        <v>17</v>
      </c>
      <c r="W25" s="711">
        <f>J25</f>
        <v>100</v>
      </c>
      <c r="X25" s="712"/>
      <c r="Y25" s="3435"/>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6"/>
      <c r="M26" s="2947"/>
      <c r="N26" s="2947"/>
      <c r="O26" s="3001"/>
      <c r="P26" s="3435"/>
      <c r="Q26" s="1528"/>
      <c r="R26" s="710"/>
      <c r="S26" s="711"/>
      <c r="T26" s="710"/>
      <c r="U26" s="711"/>
      <c r="V26" s="710"/>
      <c r="W26" s="711"/>
      <c r="X26" s="712"/>
      <c r="Y26" s="3435"/>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35"/>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435"/>
      <c r="Z27" s="1541" t="str">
        <f t="shared" ref="Z27:Z40" si="13">Q27</f>
        <v>临街状况</v>
      </c>
      <c r="AA27" s="1538">
        <f t="shared" si="3"/>
        <v>1</v>
      </c>
      <c r="AB27" s="1538">
        <f t="shared" si="4"/>
        <v>1</v>
      </c>
      <c r="AC27" s="1538">
        <f t="shared" si="5"/>
        <v>1</v>
      </c>
    </row>
    <row r="28" spans="1:29" ht="27">
      <c r="A28" s="387"/>
      <c r="B28" s="589" t="s">
        <v>2510</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35"/>
      <c r="Q28" s="1537" t="str">
        <f t="shared" si="8"/>
        <v>毗邻道路的类型与等级</v>
      </c>
      <c r="R28" s="714" t="s">
        <v>17</v>
      </c>
      <c r="S28" s="715">
        <f t="shared" si="10"/>
        <v>100</v>
      </c>
      <c r="T28" s="714" t="s">
        <v>17</v>
      </c>
      <c r="U28" s="715">
        <f t="shared" si="11"/>
        <v>100</v>
      </c>
      <c r="V28" s="714" t="s">
        <v>17</v>
      </c>
      <c r="W28" s="715">
        <f t="shared" si="12"/>
        <v>100</v>
      </c>
      <c r="X28" s="1540"/>
      <c r="Y28" s="3435"/>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1"/>
      <c r="M29" s="2945"/>
      <c r="N29" s="2945"/>
      <c r="O29" s="3003"/>
      <c r="P29" s="3435"/>
      <c r="Q29" s="1537"/>
      <c r="R29" s="714"/>
      <c r="S29" s="715"/>
      <c r="T29" s="714"/>
      <c r="U29" s="715"/>
      <c r="V29" s="714"/>
      <c r="W29" s="715"/>
      <c r="X29" s="1540"/>
      <c r="Y29" s="3435"/>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35"/>
      <c r="Q30" s="1537" t="str">
        <f t="shared" si="8"/>
        <v>土地级别</v>
      </c>
      <c r="R30" s="714" t="s">
        <v>17</v>
      </c>
      <c r="S30" s="715">
        <f t="shared" si="10"/>
        <v>100</v>
      </c>
      <c r="T30" s="714" t="s">
        <v>17</v>
      </c>
      <c r="U30" s="715">
        <f t="shared" si="11"/>
        <v>100</v>
      </c>
      <c r="V30" s="714" t="s">
        <v>17</v>
      </c>
      <c r="W30" s="715">
        <f t="shared" si="12"/>
        <v>100</v>
      </c>
      <c r="X30" s="1540"/>
      <c r="Y30" s="3435"/>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35"/>
      <c r="Q31" s="1537">
        <f t="shared" si="8"/>
        <v>111</v>
      </c>
      <c r="R31" s="714" t="s">
        <v>17</v>
      </c>
      <c r="S31" s="715">
        <f t="shared" si="10"/>
        <v>100</v>
      </c>
      <c r="T31" s="714" t="s">
        <v>17</v>
      </c>
      <c r="U31" s="715">
        <f t="shared" si="11"/>
        <v>100</v>
      </c>
      <c r="V31" s="714" t="s">
        <v>17</v>
      </c>
      <c r="W31" s="715">
        <f t="shared" si="12"/>
        <v>100</v>
      </c>
      <c r="X31" s="1540"/>
      <c r="Y31" s="3435"/>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92" t="s">
        <v>2385</v>
      </c>
      <c r="Q32" s="1537">
        <f t="shared" si="8"/>
        <v>111</v>
      </c>
      <c r="R32" s="714" t="s">
        <v>17</v>
      </c>
      <c r="S32" s="715">
        <f t="shared" si="10"/>
        <v>100</v>
      </c>
      <c r="T32" s="714" t="s">
        <v>17</v>
      </c>
      <c r="U32" s="715">
        <f t="shared" si="11"/>
        <v>100</v>
      </c>
      <c r="V32" s="714" t="s">
        <v>17</v>
      </c>
      <c r="W32" s="715">
        <f t="shared" si="12"/>
        <v>100</v>
      </c>
      <c r="X32" s="1540"/>
      <c r="Y32" s="3439" t="s">
        <v>2385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39"/>
      <c r="Q33" s="1537">
        <f t="shared" si="8"/>
        <v>111</v>
      </c>
      <c r="R33" s="717" t="s">
        <v>17</v>
      </c>
      <c r="S33" s="718">
        <f t="shared" si="10"/>
        <v>100</v>
      </c>
      <c r="T33" s="717" t="s">
        <v>17</v>
      </c>
      <c r="U33" s="718">
        <f t="shared" si="11"/>
        <v>100</v>
      </c>
      <c r="V33" s="717" t="s">
        <v>17</v>
      </c>
      <c r="W33" s="718">
        <f t="shared" si="12"/>
        <v>100</v>
      </c>
      <c r="X33" s="719"/>
      <c r="Y33" s="3439"/>
      <c r="Z33" s="720">
        <f t="shared" si="13"/>
        <v>111</v>
      </c>
      <c r="AA33" s="1538">
        <f t="shared" si="3"/>
        <v>1</v>
      </c>
      <c r="AB33" s="1538">
        <f t="shared" si="4"/>
        <v>1</v>
      </c>
      <c r="AC33" s="1538">
        <f t="shared" si="5"/>
        <v>1</v>
      </c>
    </row>
    <row r="34" spans="1:31" ht="15">
      <c r="A34" s="399" t="s">
        <v>2383</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39"/>
      <c r="Q34" s="1537" t="str">
        <f>B34</f>
        <v>宗地面积</v>
      </c>
      <c r="R34" s="714" t="s">
        <v>17</v>
      </c>
      <c r="S34" s="715" t="e">
        <f t="shared" si="10"/>
        <v>#N/A</v>
      </c>
      <c r="T34" s="714" t="s">
        <v>17</v>
      </c>
      <c r="U34" s="715" t="e">
        <f t="shared" si="11"/>
        <v>#N/A</v>
      </c>
      <c r="V34" s="714" t="s">
        <v>17</v>
      </c>
      <c r="W34" s="715" t="e">
        <f t="shared" si="12"/>
        <v>#N/A</v>
      </c>
      <c r="X34" s="1540"/>
      <c r="Y34" s="3439"/>
      <c r="Z34" s="1541" t="str">
        <f t="shared" si="13"/>
        <v>宗地面积</v>
      </c>
      <c r="AA34" s="1538" t="e">
        <f t="shared" si="3"/>
        <v>#N/A</v>
      </c>
      <c r="AB34" s="1538" t="e">
        <f t="shared" si="4"/>
        <v>#N/A</v>
      </c>
      <c r="AC34" s="1538" t="e">
        <f t="shared" si="5"/>
        <v>#N/A</v>
      </c>
    </row>
    <row r="35" spans="1:31" ht="15">
      <c r="A35" s="431"/>
      <c r="B35" s="381" t="s">
        <v>2571</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1"/>
      <c r="M35" s="2945"/>
      <c r="N35" s="2945"/>
      <c r="O35" s="3003"/>
      <c r="P35" s="3439"/>
      <c r="Q35" s="1537" t="str">
        <f t="shared" ref="Q35:Q40" si="14">B35</f>
        <v>宗地形状</v>
      </c>
      <c r="R35" s="714" t="s">
        <v>17</v>
      </c>
      <c r="S35" s="715">
        <f t="shared" si="10"/>
        <v>100</v>
      </c>
      <c r="T35" s="714" t="s">
        <v>17</v>
      </c>
      <c r="U35" s="715">
        <f t="shared" si="11"/>
        <v>100</v>
      </c>
      <c r="V35" s="714" t="s">
        <v>17</v>
      </c>
      <c r="W35" s="715">
        <f t="shared" si="12"/>
        <v>100</v>
      </c>
      <c r="X35" s="1540"/>
      <c r="Y35" s="3439"/>
      <c r="Z35" s="1541" t="str">
        <f t="shared" si="13"/>
        <v>宗地形状</v>
      </c>
      <c r="AA35" s="1538">
        <f t="shared" si="3"/>
        <v>1</v>
      </c>
      <c r="AB35" s="1538">
        <f t="shared" si="4"/>
        <v>1</v>
      </c>
      <c r="AC35" s="1538">
        <f t="shared" si="5"/>
        <v>1</v>
      </c>
    </row>
    <row r="36" spans="1:31" s="113" customFormat="1" ht="15">
      <c r="A36" s="432"/>
      <c r="B36" s="381" t="s">
        <v>2573</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6"/>
      <c r="M36" s="2947"/>
      <c r="N36" s="2947"/>
      <c r="O36" s="3001"/>
      <c r="P36" s="3439"/>
      <c r="Q36" s="1537" t="str">
        <f t="shared" si="14"/>
        <v>宗地开发程度</v>
      </c>
      <c r="R36" s="710" t="s">
        <v>17</v>
      </c>
      <c r="S36" s="711">
        <f t="shared" si="10"/>
        <v>100</v>
      </c>
      <c r="T36" s="710" t="s">
        <v>17</v>
      </c>
      <c r="U36" s="711">
        <f t="shared" si="11"/>
        <v>100</v>
      </c>
      <c r="V36" s="710" t="s">
        <v>17</v>
      </c>
      <c r="W36" s="711">
        <f t="shared" si="12"/>
        <v>100</v>
      </c>
      <c r="X36" s="712"/>
      <c r="Y36" s="3439"/>
      <c r="Z36" s="55" t="str">
        <f t="shared" si="13"/>
        <v>宗地开发程度</v>
      </c>
      <c r="AA36" s="713">
        <f t="shared" si="3"/>
        <v>1</v>
      </c>
      <c r="AB36" s="713">
        <f t="shared" si="4"/>
        <v>1</v>
      </c>
      <c r="AC36" s="713">
        <f t="shared" si="5"/>
        <v>1</v>
      </c>
    </row>
    <row r="37" spans="1:31" ht="15">
      <c r="A37" s="431"/>
      <c r="B37" s="381" t="s">
        <v>2574</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1"/>
      <c r="M37" s="2945"/>
      <c r="N37" s="2945"/>
      <c r="O37" s="3003"/>
      <c r="P37" s="3439" t="s">
        <v>2385</v>
      </c>
      <c r="Q37" s="1537" t="str">
        <f t="shared" si="14"/>
        <v>工程地质条件</v>
      </c>
      <c r="R37" s="714" t="s">
        <v>17</v>
      </c>
      <c r="S37" s="715">
        <f t="shared" si="10"/>
        <v>100</v>
      </c>
      <c r="T37" s="714" t="s">
        <v>17</v>
      </c>
      <c r="U37" s="715">
        <f t="shared" si="11"/>
        <v>100</v>
      </c>
      <c r="V37" s="714" t="s">
        <v>17</v>
      </c>
      <c r="W37" s="715">
        <f t="shared" si="12"/>
        <v>100</v>
      </c>
      <c r="X37" s="1540"/>
      <c r="Y37" s="3439"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39"/>
      <c r="Q38" s="1537">
        <f t="shared" si="14"/>
        <v>111</v>
      </c>
      <c r="R38" s="714" t="s">
        <v>17</v>
      </c>
      <c r="S38" s="715">
        <f t="shared" si="10"/>
        <v>100</v>
      </c>
      <c r="T38" s="714" t="s">
        <v>17</v>
      </c>
      <c r="U38" s="715">
        <f t="shared" si="11"/>
        <v>100</v>
      </c>
      <c r="V38" s="714" t="s">
        <v>17</v>
      </c>
      <c r="W38" s="715">
        <f t="shared" si="12"/>
        <v>100</v>
      </c>
      <c r="X38" s="1540"/>
      <c r="Y38" s="3439"/>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39"/>
      <c r="Q39" s="1537">
        <f t="shared" si="14"/>
        <v>111</v>
      </c>
      <c r="R39" s="714" t="s">
        <v>17</v>
      </c>
      <c r="S39" s="715">
        <f t="shared" si="10"/>
        <v>100</v>
      </c>
      <c r="T39" s="714" t="s">
        <v>17</v>
      </c>
      <c r="U39" s="715">
        <f t="shared" si="11"/>
        <v>100</v>
      </c>
      <c r="V39" s="714" t="s">
        <v>17</v>
      </c>
      <c r="W39" s="715">
        <f t="shared" si="12"/>
        <v>100</v>
      </c>
      <c r="X39" s="1540"/>
      <c r="Y39" s="3439"/>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39"/>
      <c r="Q40" s="1537">
        <f t="shared" si="14"/>
        <v>111</v>
      </c>
      <c r="R40" s="717" t="s">
        <v>17</v>
      </c>
      <c r="S40" s="718">
        <f t="shared" si="10"/>
        <v>100</v>
      </c>
      <c r="T40" s="717" t="s">
        <v>17</v>
      </c>
      <c r="U40" s="718">
        <f t="shared" si="11"/>
        <v>100</v>
      </c>
      <c r="V40" s="717" t="s">
        <v>17</v>
      </c>
      <c r="W40" s="718">
        <f t="shared" si="12"/>
        <v>100</v>
      </c>
      <c r="X40" s="719"/>
      <c r="Y40" s="3439"/>
      <c r="Z40" s="720">
        <f t="shared" si="13"/>
        <v>111</v>
      </c>
      <c r="AA40" s="1538">
        <f t="shared" si="3"/>
        <v>1</v>
      </c>
      <c r="AB40" s="1538">
        <f t="shared" si="4"/>
        <v>1</v>
      </c>
      <c r="AC40" s="1538">
        <f t="shared" si="5"/>
        <v>1</v>
      </c>
    </row>
    <row r="41" spans="1:31" ht="15">
      <c r="A41" s="438" t="s">
        <v>2539</v>
      </c>
      <c r="B41" s="2169" t="s">
        <v>2619</v>
      </c>
      <c r="C41" s="638" t="s">
        <v>1</v>
      </c>
      <c r="D41" s="440"/>
      <c r="E41" s="441"/>
      <c r="F41" s="442"/>
      <c r="G41" s="443"/>
      <c r="H41" s="444"/>
      <c r="I41" s="441"/>
      <c r="J41" s="444"/>
      <c r="K41" s="723"/>
      <c r="L41" s="2953"/>
      <c r="M41" s="2945"/>
      <c r="N41" s="2945"/>
      <c r="O41" s="2954"/>
      <c r="P41" s="3432" t="str">
        <f>A41</f>
        <v>成交单价</v>
      </c>
      <c r="Q41" s="3432"/>
      <c r="R41" s="3463">
        <f>E41</f>
        <v>0</v>
      </c>
      <c r="S41" s="3463"/>
      <c r="T41" s="3463">
        <f>G41</f>
        <v>0</v>
      </c>
      <c r="U41" s="3463"/>
      <c r="V41" s="3463">
        <f>I41</f>
        <v>0</v>
      </c>
      <c r="W41" s="3463"/>
      <c r="X41" s="699"/>
      <c r="Y41" s="721"/>
      <c r="Z41" s="699"/>
      <c r="AA41" s="699"/>
      <c r="AB41" s="699"/>
      <c r="AC41" s="699"/>
    </row>
    <row r="42" spans="1:31" ht="15.75" thickBot="1">
      <c r="A42" s="445" t="s">
        <v>2488</v>
      </c>
      <c r="B42" s="639"/>
      <c r="C42" s="448" t="e">
        <f>R43</f>
        <v>#DIV/0!</v>
      </c>
      <c r="D42" s="2539" t="s">
        <v>2877</v>
      </c>
      <c r="E42" s="448" t="e">
        <f>R42</f>
        <v>#DIV/0!</v>
      </c>
      <c r="F42" s="2540"/>
      <c r="G42" s="447" t="e">
        <f>T42</f>
        <v>#DIV/0!</v>
      </c>
      <c r="H42" s="2540"/>
      <c r="I42" s="448" t="e">
        <f>V42</f>
        <v>#DIV/0!</v>
      </c>
      <c r="J42" s="2540"/>
      <c r="K42" s="2542">
        <f>F42+H42+J42</f>
        <v>0</v>
      </c>
      <c r="L42" s="2953"/>
      <c r="M42" s="2945"/>
      <c r="N42" s="2945"/>
      <c r="O42" s="2954"/>
      <c r="P42" s="3432" t="str">
        <f>A42</f>
        <v>比较价值（元/平方米）</v>
      </c>
      <c r="Q42" s="3432"/>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429" t="str">
        <f>A43</f>
        <v>估价对象XX用房的比较价值（楼面单价，元/平方米）</v>
      </c>
      <c r="Q43" s="3430"/>
      <c r="R43" s="3495" t="e">
        <f>ROUND(IF(D42="简单平均",AVERAGE(R42:W42),R42*F42+T42*H42+V42*J42),0)</f>
        <v>#DIV/0!</v>
      </c>
      <c r="S43" s="3495"/>
      <c r="T43" s="3495"/>
      <c r="U43" s="3495"/>
      <c r="V43" s="3495"/>
      <c r="W43" s="349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2577</v>
      </c>
      <c r="B50" s="641" t="s">
        <v>2578</v>
      </c>
      <c r="C50" s="2170" t="s">
        <v>2579</v>
      </c>
      <c r="D50" s="2171" t="s">
        <v>2580</v>
      </c>
      <c r="E50" s="642" t="s">
        <v>2581</v>
      </c>
      <c r="F50" s="643" t="s">
        <v>2582</v>
      </c>
      <c r="G50" s="3447" t="s">
        <v>2583</v>
      </c>
      <c r="H50" s="3496"/>
      <c r="I50" s="1541" t="s">
        <v>2620</v>
      </c>
      <c r="J50" s="1541" t="str">
        <f>项目基本情况!F35</f>
        <v>朗清园</v>
      </c>
      <c r="K50" s="2173"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2586</v>
      </c>
      <c r="B51" s="645" t="e">
        <f>C43</f>
        <v>#DIV/0!</v>
      </c>
      <c r="C51" s="646">
        <v>1</v>
      </c>
      <c r="D51" s="1075">
        <v>1</v>
      </c>
      <c r="E51" s="646">
        <f>'数据-汇总表'!E8+'数据-汇总表'!E9</f>
        <v>13966.28</v>
      </c>
      <c r="F51" s="647" t="e">
        <f t="shared" ref="F51:F60" si="15">ROUND(B51*E51/10000,0)</f>
        <v>#DIV/0!</v>
      </c>
      <c r="G51" s="3443"/>
      <c r="H51" s="3432"/>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2587</v>
      </c>
      <c r="B52" s="224" t="e">
        <f>ROUND($C$43*C52*D52,0)</f>
        <v>#DIV/0!</v>
      </c>
      <c r="C52" s="176">
        <f t="shared" ref="C52:C60" si="16">IF($C$50="北京市系数",I52,J52)</f>
        <v>0</v>
      </c>
      <c r="D52" s="1076">
        <v>0.25</v>
      </c>
      <c r="E52" s="650"/>
      <c r="F52" s="647" t="e">
        <f t="shared" si="15"/>
        <v>#DIV/0!</v>
      </c>
      <c r="G52" s="3497" t="s">
        <v>2588</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2589</v>
      </c>
      <c r="B53" s="224" t="e">
        <f t="shared" ref="B53:B60" si="17">ROUND($C$43*C53*D53,0)</f>
        <v>#DIV/0!</v>
      </c>
      <c r="C53" s="176">
        <f t="shared" si="16"/>
        <v>0</v>
      </c>
      <c r="D53" s="1076">
        <v>0.25</v>
      </c>
      <c r="E53" s="650"/>
      <c r="F53" s="647" t="e">
        <f t="shared" si="15"/>
        <v>#DIV/0!</v>
      </c>
      <c r="G53" s="349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2590</v>
      </c>
      <c r="B54" s="224" t="e">
        <f t="shared" si="17"/>
        <v>#DIV/0!</v>
      </c>
      <c r="C54" s="176">
        <f t="shared" si="16"/>
        <v>0</v>
      </c>
      <c r="D54" s="1076">
        <v>0.25</v>
      </c>
      <c r="E54" s="650"/>
      <c r="F54" s="647" t="e">
        <f t="shared" si="15"/>
        <v>#DIV/0!</v>
      </c>
      <c r="G54" s="349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2591</v>
      </c>
      <c r="B55" s="224" t="e">
        <f t="shared" si="17"/>
        <v>#DIV/0!</v>
      </c>
      <c r="C55" s="176">
        <f t="shared" si="16"/>
        <v>0</v>
      </c>
      <c r="D55" s="1076">
        <v>0.25</v>
      </c>
      <c r="E55" s="650"/>
      <c r="F55" s="647" t="e">
        <f t="shared" si="15"/>
        <v>#DIV/0!</v>
      </c>
      <c r="G55" s="349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2592</v>
      </c>
      <c r="B56" s="224" t="e">
        <f t="shared" si="17"/>
        <v>#DIV/0!</v>
      </c>
      <c r="C56" s="176">
        <f t="shared" si="16"/>
        <v>0</v>
      </c>
      <c r="D56" s="1076">
        <v>0.25</v>
      </c>
      <c r="E56" s="223">
        <f>'数据-汇总表'!E11</f>
        <v>0</v>
      </c>
      <c r="F56" s="647" t="e">
        <f t="shared" si="15"/>
        <v>#DIV/0!</v>
      </c>
      <c r="G56" s="2174" t="s">
        <v>2593</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2596</v>
      </c>
      <c r="B58" s="224" t="e">
        <f t="shared" si="17"/>
        <v>#DIV/0!</v>
      </c>
      <c r="C58" s="176">
        <f t="shared" si="16"/>
        <v>0.15</v>
      </c>
      <c r="D58" s="1076">
        <v>0.25</v>
      </c>
      <c r="E58" s="223">
        <f>'数据-汇总表'!E13</f>
        <v>0</v>
      </c>
      <c r="F58" s="647" t="e">
        <f t="shared" si="15"/>
        <v>#DIV/0!</v>
      </c>
      <c r="G58" s="1023" t="s">
        <v>2597</v>
      </c>
      <c r="H58" s="1018" t="str">
        <f>IF(G58="商业",项目基本情况!B37,IF(G58="办公",项目基本情况!C37,IF(G58="住宅",项目基本情况!D37,项目基本情况!E37)))</f>
        <v>八级</v>
      </c>
      <c r="I58" s="879">
        <f>SUMIF(修正!A45:A56,H58,修正!H45:H56)</f>
        <v>0.15</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2598</v>
      </c>
      <c r="B59" s="224" t="e">
        <f t="shared" si="17"/>
        <v>#DIV/0!</v>
      </c>
      <c r="C59" s="176">
        <f t="shared" si="16"/>
        <v>0</v>
      </c>
      <c r="D59" s="1076">
        <v>0.25</v>
      </c>
      <c r="E59" s="223">
        <f>'数据-汇总表'!E14</f>
        <v>0</v>
      </c>
      <c r="F59" s="647" t="e">
        <f t="shared" si="15"/>
        <v>#DIV/0!</v>
      </c>
      <c r="G59" s="2174" t="s">
        <v>2588</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2599</v>
      </c>
      <c r="B60" s="224" t="e">
        <f t="shared" si="17"/>
        <v>#DIV/0!</v>
      </c>
      <c r="C60" s="176">
        <f t="shared" si="16"/>
        <v>0</v>
      </c>
      <c r="D60" s="1076">
        <v>0.25</v>
      </c>
      <c r="E60" s="223">
        <f>'数据-汇总表'!E15</f>
        <v>0</v>
      </c>
      <c r="F60" s="647" t="e">
        <f t="shared" si="15"/>
        <v>#DIV/0!</v>
      </c>
      <c r="G60" s="2175" t="s">
        <v>2593</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2600</v>
      </c>
      <c r="B61" s="652" t="s">
        <v>28</v>
      </c>
      <c r="C61" s="652" t="s">
        <v>29</v>
      </c>
      <c r="D61" s="652" t="s">
        <v>997</v>
      </c>
      <c r="E61" s="652">
        <f>IF(B41="楼面地价",SUM(E51:E60),'数据-汇总表'!D3)</f>
        <v>16732.060000000001</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2" t="s">
        <v>183</v>
      </c>
      <c r="B18" s="821" t="s">
        <v>560</v>
      </c>
      <c r="C18" s="822" t="s">
        <v>561</v>
      </c>
      <c r="D18" s="823"/>
      <c r="E18" s="821">
        <v>1</v>
      </c>
      <c r="F18" s="824" t="s">
        <v>562</v>
      </c>
      <c r="G18" s="825"/>
      <c r="H18" s="817"/>
      <c r="I18" s="817"/>
    </row>
    <row r="19" spans="1:9" s="826" customFormat="1" ht="19.5" customHeight="1">
      <c r="A19" s="3502"/>
      <c r="B19" s="3502" t="s">
        <v>563</v>
      </c>
      <c r="C19" s="822" t="s">
        <v>564</v>
      </c>
      <c r="D19" s="823"/>
      <c r="E19" s="821">
        <v>0.9</v>
      </c>
      <c r="F19" s="824" t="s">
        <v>565</v>
      </c>
      <c r="G19" s="825"/>
      <c r="H19" s="817"/>
      <c r="I19" s="817"/>
    </row>
    <row r="20" spans="1:9" s="826" customFormat="1" ht="19.5" customHeight="1">
      <c r="A20" s="3502"/>
      <c r="B20" s="3502"/>
      <c r="C20" s="822" t="s">
        <v>566</v>
      </c>
      <c r="D20" s="823"/>
      <c r="E20" s="821">
        <v>1.1000000000000001</v>
      </c>
      <c r="F20" s="824" t="s">
        <v>567</v>
      </c>
      <c r="G20" s="825"/>
      <c r="H20" s="817"/>
      <c r="I20" s="817"/>
    </row>
    <row r="21" spans="1:9" s="826" customFormat="1" ht="19.5" customHeight="1">
      <c r="A21" s="3502"/>
      <c r="B21" s="3502"/>
      <c r="C21" s="822" t="s">
        <v>568</v>
      </c>
      <c r="D21" s="823"/>
      <c r="E21" s="821">
        <v>0.8</v>
      </c>
      <c r="F21" s="824" t="s">
        <v>569</v>
      </c>
      <c r="G21" s="825"/>
      <c r="H21" s="817"/>
      <c r="I21" s="817"/>
    </row>
    <row r="22" spans="1:9" s="826" customFormat="1" ht="19.5" customHeight="1">
      <c r="A22" s="3502"/>
      <c r="B22" s="3502"/>
      <c r="C22" s="822" t="s">
        <v>570</v>
      </c>
      <c r="D22" s="823"/>
      <c r="E22" s="821">
        <v>0.5</v>
      </c>
      <c r="F22" s="824"/>
      <c r="G22" s="825"/>
      <c r="H22" s="817"/>
      <c r="I22" s="817"/>
    </row>
    <row r="23" spans="1:9" s="826" customFormat="1" ht="19.5" customHeight="1">
      <c r="A23" s="3502" t="s">
        <v>184</v>
      </c>
      <c r="B23" s="821" t="s">
        <v>560</v>
      </c>
      <c r="C23" s="822" t="s">
        <v>571</v>
      </c>
      <c r="D23" s="823"/>
      <c r="E23" s="821">
        <v>1</v>
      </c>
      <c r="F23" s="824" t="s">
        <v>572</v>
      </c>
      <c r="G23" s="825"/>
      <c r="H23" s="817"/>
      <c r="I23" s="817"/>
    </row>
    <row r="24" spans="1:9" s="826" customFormat="1" ht="19.5" customHeight="1">
      <c r="A24" s="3502"/>
      <c r="B24" s="3502" t="s">
        <v>563</v>
      </c>
      <c r="C24" s="822" t="s">
        <v>573</v>
      </c>
      <c r="D24" s="823"/>
      <c r="E24" s="821">
        <v>0.5</v>
      </c>
      <c r="F24" s="824"/>
      <c r="G24" s="825"/>
      <c r="H24" s="817"/>
      <c r="I24" s="817"/>
    </row>
    <row r="25" spans="1:9" s="826" customFormat="1" ht="19.5" customHeight="1">
      <c r="A25" s="3502"/>
      <c r="B25" s="3502"/>
      <c r="C25" s="822" t="s">
        <v>574</v>
      </c>
      <c r="D25" s="823"/>
      <c r="E25" s="821">
        <v>1.1000000000000001</v>
      </c>
      <c r="F25" s="824"/>
      <c r="G25" s="825"/>
      <c r="H25" s="817"/>
      <c r="I25" s="817"/>
    </row>
    <row r="26" spans="1:9" s="826" customFormat="1" ht="19.5" customHeight="1">
      <c r="A26" s="3502"/>
      <c r="B26" s="3502"/>
      <c r="C26" s="822" t="s">
        <v>575</v>
      </c>
      <c r="D26" s="823"/>
      <c r="E26" s="821">
        <v>1.1000000000000001</v>
      </c>
      <c r="F26" s="824"/>
      <c r="G26" s="825"/>
      <c r="H26" s="817"/>
      <c r="I26" s="817"/>
    </row>
    <row r="27" spans="1:9" s="826" customFormat="1" ht="19.5" customHeight="1">
      <c r="A27" s="3502"/>
      <c r="B27" s="3502"/>
      <c r="C27" s="822" t="s">
        <v>576</v>
      </c>
      <c r="D27" s="823"/>
      <c r="E27" s="821">
        <v>0.9</v>
      </c>
      <c r="F27" s="824" t="s">
        <v>577</v>
      </c>
      <c r="G27" s="825"/>
      <c r="H27" s="817"/>
      <c r="I27" s="817"/>
    </row>
    <row r="28" spans="1:9" s="826" customFormat="1" ht="19.5" customHeight="1">
      <c r="A28" s="3502"/>
      <c r="B28" s="3502"/>
      <c r="C28" s="822" t="s">
        <v>578</v>
      </c>
      <c r="D28" s="823"/>
      <c r="E28" s="821">
        <v>0.9</v>
      </c>
      <c r="F28" s="824" t="s">
        <v>579</v>
      </c>
      <c r="G28" s="825"/>
      <c r="H28" s="817"/>
      <c r="I28" s="817"/>
    </row>
    <row r="29" spans="1:9" s="826" customFormat="1" ht="19.5" customHeight="1">
      <c r="A29" s="3502"/>
      <c r="B29" s="3502"/>
      <c r="C29" s="822" t="s">
        <v>580</v>
      </c>
      <c r="D29" s="823"/>
      <c r="E29" s="821">
        <v>0.9</v>
      </c>
      <c r="F29" s="824" t="s">
        <v>581</v>
      </c>
      <c r="G29" s="825"/>
      <c r="H29" s="817"/>
      <c r="I29" s="817"/>
    </row>
    <row r="30" spans="1:9" s="826" customFormat="1" ht="19.5" customHeight="1">
      <c r="A30" s="3502"/>
      <c r="B30" s="3502"/>
      <c r="C30" s="822" t="s">
        <v>582</v>
      </c>
      <c r="D30" s="823"/>
      <c r="E30" s="821">
        <v>0.9</v>
      </c>
      <c r="F30" s="824" t="s">
        <v>583</v>
      </c>
      <c r="G30" s="825"/>
      <c r="H30" s="817"/>
      <c r="I30" s="817"/>
    </row>
    <row r="31" spans="1:9" s="826" customFormat="1" ht="19.5" customHeight="1">
      <c r="A31" s="3502"/>
      <c r="B31" s="3502"/>
      <c r="C31" s="822" t="s">
        <v>584</v>
      </c>
      <c r="D31" s="823"/>
      <c r="E31" s="821">
        <v>0.8</v>
      </c>
      <c r="F31" s="824" t="s">
        <v>585</v>
      </c>
      <c r="G31" s="825"/>
      <c r="H31" s="817"/>
      <c r="I31" s="817"/>
    </row>
    <row r="32" spans="1:9" s="826" customFormat="1" ht="19.5" customHeight="1">
      <c r="A32" s="3502"/>
      <c r="B32" s="3502"/>
      <c r="C32" s="822" t="s">
        <v>586</v>
      </c>
      <c r="D32" s="823"/>
      <c r="E32" s="821">
        <v>0.8</v>
      </c>
      <c r="F32" s="824" t="s">
        <v>587</v>
      </c>
      <c r="G32" s="825"/>
      <c r="H32" s="817"/>
      <c r="I32" s="817"/>
    </row>
    <row r="33" spans="1:9" s="826" customFormat="1" ht="19.5" customHeight="1">
      <c r="A33" s="3502" t="s">
        <v>185</v>
      </c>
      <c r="B33" s="821" t="s">
        <v>560</v>
      </c>
      <c r="C33" s="822" t="s">
        <v>588</v>
      </c>
      <c r="D33" s="823"/>
      <c r="E33" s="821">
        <v>1</v>
      </c>
      <c r="F33" s="824" t="s">
        <v>589</v>
      </c>
      <c r="G33" s="825"/>
      <c r="H33" s="817"/>
      <c r="I33" s="817"/>
    </row>
    <row r="34" spans="1:9" s="826" customFormat="1" ht="19.5" customHeight="1">
      <c r="A34" s="3502"/>
      <c r="B34" s="821" t="s">
        <v>563</v>
      </c>
      <c r="C34" s="822" t="s">
        <v>590</v>
      </c>
      <c r="D34" s="823"/>
      <c r="E34" s="821">
        <v>1.5</v>
      </c>
      <c r="F34" s="824" t="s">
        <v>591</v>
      </c>
      <c r="G34" s="825"/>
      <c r="H34" s="817"/>
      <c r="I34" s="817"/>
    </row>
    <row r="35" spans="1:9" s="826" customFormat="1" ht="19.5" customHeight="1">
      <c r="A35" s="3502" t="s">
        <v>186</v>
      </c>
      <c r="B35" s="821" t="s">
        <v>560</v>
      </c>
      <c r="C35" s="822" t="s">
        <v>592</v>
      </c>
      <c r="D35" s="823"/>
      <c r="E35" s="821">
        <v>1</v>
      </c>
      <c r="F35" s="824" t="s">
        <v>593</v>
      </c>
      <c r="G35" s="825"/>
      <c r="H35" s="817"/>
      <c r="I35" s="817"/>
    </row>
    <row r="36" spans="1:9" s="826" customFormat="1" ht="19.5" customHeight="1">
      <c r="A36" s="3502"/>
      <c r="B36" s="3502" t="s">
        <v>563</v>
      </c>
      <c r="C36" s="822" t="s">
        <v>594</v>
      </c>
      <c r="D36" s="823"/>
      <c r="E36" s="821">
        <v>1</v>
      </c>
      <c r="F36" s="824" t="s">
        <v>595</v>
      </c>
      <c r="G36" s="825"/>
      <c r="H36" s="817"/>
      <c r="I36" s="817"/>
    </row>
    <row r="37" spans="1:9" s="826" customFormat="1" ht="19.5" customHeight="1">
      <c r="A37" s="3502"/>
      <c r="B37" s="3502"/>
      <c r="C37" s="822" t="s">
        <v>596</v>
      </c>
      <c r="D37" s="823"/>
      <c r="E37" s="821">
        <v>1.5</v>
      </c>
      <c r="F37" s="824" t="s">
        <v>597</v>
      </c>
      <c r="G37" s="825"/>
      <c r="H37" s="817"/>
      <c r="I37" s="817"/>
    </row>
    <row r="38" spans="1:9" s="826" customFormat="1" ht="19.5" customHeight="1">
      <c r="A38" s="3502"/>
      <c r="B38" s="3502"/>
      <c r="C38" s="822" t="s">
        <v>598</v>
      </c>
      <c r="D38" s="823"/>
      <c r="E38" s="821">
        <v>1</v>
      </c>
      <c r="F38" s="824" t="s">
        <v>599</v>
      </c>
      <c r="G38" s="825"/>
      <c r="H38" s="817"/>
      <c r="I38" s="817"/>
    </row>
    <row r="39" spans="1:9" s="826" customFormat="1" ht="19.5" customHeight="1">
      <c r="A39" s="3502"/>
      <c r="B39" s="35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2" t="s">
        <v>614</v>
      </c>
      <c r="C61" s="757" t="s">
        <v>615</v>
      </c>
      <c r="D61" s="757" t="s">
        <v>616</v>
      </c>
      <c r="E61" s="834">
        <v>0.5</v>
      </c>
      <c r="F61" s="821">
        <v>80</v>
      </c>
    </row>
    <row r="62" spans="1:8" s="817" customFormat="1" ht="24">
      <c r="A62" s="821">
        <v>2</v>
      </c>
      <c r="B62" s="3502"/>
      <c r="C62" s="757" t="s">
        <v>617</v>
      </c>
      <c r="D62" s="757" t="s">
        <v>618</v>
      </c>
      <c r="E62" s="834">
        <v>0.5</v>
      </c>
      <c r="F62" s="821">
        <v>80</v>
      </c>
    </row>
    <row r="63" spans="1:8" s="817" customFormat="1" ht="36">
      <c r="A63" s="821">
        <v>3</v>
      </c>
      <c r="B63" s="3502"/>
      <c r="C63" s="757" t="s">
        <v>619</v>
      </c>
      <c r="D63" s="757" t="s">
        <v>620</v>
      </c>
      <c r="E63" s="834">
        <v>0.5</v>
      </c>
      <c r="F63" s="821">
        <v>80</v>
      </c>
    </row>
    <row r="64" spans="1:8" s="817" customFormat="1" ht="36">
      <c r="A64" s="821">
        <v>4</v>
      </c>
      <c r="B64" s="3502"/>
      <c r="C64" s="757" t="s">
        <v>621</v>
      </c>
      <c r="D64" s="757" t="s">
        <v>622</v>
      </c>
      <c r="E64" s="834">
        <v>0.4</v>
      </c>
      <c r="F64" s="821">
        <v>60</v>
      </c>
    </row>
    <row r="65" spans="1:6" s="817" customFormat="1" ht="36">
      <c r="A65" s="821">
        <v>5</v>
      </c>
      <c r="B65" s="3502"/>
      <c r="C65" s="757" t="s">
        <v>623</v>
      </c>
      <c r="D65" s="757" t="s">
        <v>624</v>
      </c>
      <c r="E65" s="834">
        <v>0.2</v>
      </c>
      <c r="F65" s="821">
        <v>30</v>
      </c>
    </row>
    <row r="66" spans="1:6" s="817" customFormat="1" ht="36">
      <c r="A66" s="821">
        <v>6</v>
      </c>
      <c r="B66" s="3502"/>
      <c r="C66" s="757" t="s">
        <v>625</v>
      </c>
      <c r="D66" s="757" t="s">
        <v>626</v>
      </c>
      <c r="E66" s="834">
        <v>0.3</v>
      </c>
      <c r="F66" s="821">
        <v>50</v>
      </c>
    </row>
    <row r="67" spans="1:6" s="817" customFormat="1" ht="36">
      <c r="A67" s="821">
        <v>7</v>
      </c>
      <c r="B67" s="3502"/>
      <c r="C67" s="757" t="s">
        <v>627</v>
      </c>
      <c r="D67" s="757" t="s">
        <v>628</v>
      </c>
      <c r="E67" s="834">
        <v>0.2</v>
      </c>
      <c r="F67" s="821">
        <v>30</v>
      </c>
    </row>
    <row r="68" spans="1:6" s="817" customFormat="1" ht="36">
      <c r="A68" s="821">
        <v>8</v>
      </c>
      <c r="B68" s="3502"/>
      <c r="C68" s="757" t="s">
        <v>629</v>
      </c>
      <c r="D68" s="757" t="s">
        <v>630</v>
      </c>
      <c r="E68" s="834">
        <v>0.2</v>
      </c>
      <c r="F68" s="821">
        <v>30</v>
      </c>
    </row>
    <row r="69" spans="1:6" s="817" customFormat="1" ht="36">
      <c r="A69" s="821">
        <v>9</v>
      </c>
      <c r="B69" s="3502"/>
      <c r="C69" s="757" t="s">
        <v>631</v>
      </c>
      <c r="D69" s="757" t="s">
        <v>632</v>
      </c>
      <c r="E69" s="834">
        <v>0.2</v>
      </c>
      <c r="F69" s="821">
        <v>30</v>
      </c>
    </row>
    <row r="70" spans="1:6" s="817" customFormat="1" ht="48">
      <c r="A70" s="821">
        <v>10</v>
      </c>
      <c r="B70" s="3502"/>
      <c r="C70" s="757" t="s">
        <v>633</v>
      </c>
      <c r="D70" s="757" t="s">
        <v>634</v>
      </c>
      <c r="E70" s="834">
        <v>0.2</v>
      </c>
      <c r="F70" s="821">
        <v>30</v>
      </c>
    </row>
    <row r="71" spans="1:6" s="817" customFormat="1" ht="48">
      <c r="A71" s="821">
        <v>11</v>
      </c>
      <c r="B71" s="3502"/>
      <c r="C71" s="757" t="s">
        <v>635</v>
      </c>
      <c r="D71" s="757" t="s">
        <v>636</v>
      </c>
      <c r="E71" s="834">
        <v>0.2</v>
      </c>
      <c r="F71" s="821">
        <v>30</v>
      </c>
    </row>
    <row r="72" spans="1:6" s="817" customFormat="1" ht="36">
      <c r="A72" s="821">
        <v>12</v>
      </c>
      <c r="B72" s="3502"/>
      <c r="C72" s="757" t="s">
        <v>637</v>
      </c>
      <c r="D72" s="757" t="s">
        <v>638</v>
      </c>
      <c r="E72" s="834">
        <v>0.5</v>
      </c>
      <c r="F72" s="821">
        <v>80</v>
      </c>
    </row>
    <row r="73" spans="1:6" s="817" customFormat="1" ht="24">
      <c r="A73" s="821">
        <v>13</v>
      </c>
      <c r="B73" s="3502"/>
      <c r="C73" s="757" t="s">
        <v>639</v>
      </c>
      <c r="D73" s="757" t="s">
        <v>640</v>
      </c>
      <c r="E73" s="834">
        <v>0.4</v>
      </c>
      <c r="F73" s="821">
        <v>60</v>
      </c>
    </row>
    <row r="74" spans="1:6" s="817" customFormat="1" ht="24">
      <c r="A74" s="821">
        <v>14</v>
      </c>
      <c r="B74" s="3502"/>
      <c r="C74" s="757" t="s">
        <v>641</v>
      </c>
      <c r="D74" s="757" t="s">
        <v>642</v>
      </c>
      <c r="E74" s="834">
        <v>0.2</v>
      </c>
      <c r="F74" s="821">
        <v>30</v>
      </c>
    </row>
    <row r="75" spans="1:6" s="817" customFormat="1" ht="24">
      <c r="A75" s="821">
        <v>15</v>
      </c>
      <c r="B75" s="3502"/>
      <c r="C75" s="757" t="s">
        <v>643</v>
      </c>
      <c r="D75" s="757" t="s">
        <v>644</v>
      </c>
      <c r="E75" s="834">
        <v>0.2</v>
      </c>
      <c r="F75" s="821">
        <v>30</v>
      </c>
    </row>
    <row r="76" spans="1:6" s="817" customFormat="1" ht="24">
      <c r="A76" s="821">
        <v>16</v>
      </c>
      <c r="B76" s="3502" t="s">
        <v>645</v>
      </c>
      <c r="C76" s="757" t="s">
        <v>646</v>
      </c>
      <c r="D76" s="757" t="s">
        <v>647</v>
      </c>
      <c r="E76" s="834">
        <v>0.5</v>
      </c>
      <c r="F76" s="821">
        <v>80</v>
      </c>
    </row>
    <row r="77" spans="1:6" s="817" customFormat="1" ht="24">
      <c r="A77" s="821">
        <v>17</v>
      </c>
      <c r="B77" s="3502"/>
      <c r="C77" s="757" t="s">
        <v>648</v>
      </c>
      <c r="D77" s="757" t="s">
        <v>649</v>
      </c>
      <c r="E77" s="834">
        <v>0.5</v>
      </c>
      <c r="F77" s="821">
        <v>80</v>
      </c>
    </row>
    <row r="78" spans="1:6" s="817" customFormat="1" ht="24">
      <c r="A78" s="821">
        <v>18</v>
      </c>
      <c r="B78" s="3502"/>
      <c r="C78" s="757" t="s">
        <v>650</v>
      </c>
      <c r="D78" s="757" t="s">
        <v>651</v>
      </c>
      <c r="E78" s="834">
        <v>0.2</v>
      </c>
      <c r="F78" s="821">
        <v>30</v>
      </c>
    </row>
    <row r="79" spans="1:6" s="817" customFormat="1" ht="24">
      <c r="A79" s="821">
        <v>19</v>
      </c>
      <c r="B79" s="3502"/>
      <c r="C79" s="757" t="s">
        <v>652</v>
      </c>
      <c r="D79" s="757" t="s">
        <v>653</v>
      </c>
      <c r="E79" s="834">
        <v>0.5</v>
      </c>
      <c r="F79" s="821">
        <v>80</v>
      </c>
    </row>
    <row r="80" spans="1:6" s="817" customFormat="1" ht="36">
      <c r="A80" s="821">
        <v>20</v>
      </c>
      <c r="B80" s="3502"/>
      <c r="C80" s="757" t="s">
        <v>654</v>
      </c>
      <c r="D80" s="757" t="s">
        <v>655</v>
      </c>
      <c r="E80" s="834">
        <v>0.2</v>
      </c>
      <c r="F80" s="821">
        <v>30</v>
      </c>
    </row>
    <row r="81" spans="1:6" s="817" customFormat="1" ht="36">
      <c r="A81" s="821">
        <v>21</v>
      </c>
      <c r="B81" s="3502"/>
      <c r="C81" s="757" t="s">
        <v>656</v>
      </c>
      <c r="D81" s="757" t="s">
        <v>657</v>
      </c>
      <c r="E81" s="834">
        <v>0.2</v>
      </c>
      <c r="F81" s="821">
        <v>30</v>
      </c>
    </row>
    <row r="82" spans="1:6" s="817" customFormat="1" ht="48">
      <c r="A82" s="821">
        <v>22</v>
      </c>
      <c r="B82" s="3502"/>
      <c r="C82" s="757" t="s">
        <v>658</v>
      </c>
      <c r="D82" s="757" t="s">
        <v>659</v>
      </c>
      <c r="E82" s="834">
        <v>0.2</v>
      </c>
      <c r="F82" s="821">
        <v>30</v>
      </c>
    </row>
    <row r="83" spans="1:6" s="817" customFormat="1" ht="48">
      <c r="A83" s="821">
        <v>23</v>
      </c>
      <c r="B83" s="3502"/>
      <c r="C83" s="757" t="s">
        <v>660</v>
      </c>
      <c r="D83" s="757" t="s">
        <v>661</v>
      </c>
      <c r="E83" s="834">
        <v>0.2</v>
      </c>
      <c r="F83" s="821">
        <v>30</v>
      </c>
    </row>
    <row r="84" spans="1:6" s="817" customFormat="1" ht="36">
      <c r="A84" s="821">
        <v>24</v>
      </c>
      <c r="B84" s="3502"/>
      <c r="C84" s="757" t="s">
        <v>662</v>
      </c>
      <c r="D84" s="757" t="s">
        <v>663</v>
      </c>
      <c r="E84" s="834">
        <v>0.2</v>
      </c>
      <c r="F84" s="821">
        <v>30</v>
      </c>
    </row>
    <row r="85" spans="1:6" s="817" customFormat="1" ht="36">
      <c r="A85" s="821">
        <v>25</v>
      </c>
      <c r="B85" s="3502"/>
      <c r="C85" s="757" t="s">
        <v>664</v>
      </c>
      <c r="D85" s="757" t="s">
        <v>665</v>
      </c>
      <c r="E85" s="834">
        <v>0.5</v>
      </c>
      <c r="F85" s="821">
        <v>80</v>
      </c>
    </row>
    <row r="86" spans="1:6" s="817" customFormat="1" ht="36">
      <c r="A86" s="821">
        <v>26</v>
      </c>
      <c r="B86" s="3502"/>
      <c r="C86" s="757" t="s">
        <v>666</v>
      </c>
      <c r="D86" s="757" t="s">
        <v>667</v>
      </c>
      <c r="E86" s="834">
        <v>0.2</v>
      </c>
      <c r="F86" s="821">
        <v>30</v>
      </c>
    </row>
    <row r="87" spans="1:6" s="817" customFormat="1" ht="36">
      <c r="A87" s="821">
        <v>27</v>
      </c>
      <c r="B87" s="3502"/>
      <c r="C87" s="757" t="s">
        <v>668</v>
      </c>
      <c r="D87" s="757" t="s">
        <v>669</v>
      </c>
      <c r="E87" s="834">
        <v>0.2</v>
      </c>
      <c r="F87" s="821">
        <v>30</v>
      </c>
    </row>
    <row r="88" spans="1:6" s="817" customFormat="1" ht="36">
      <c r="A88" s="821">
        <v>28</v>
      </c>
      <c r="B88" s="3502"/>
      <c r="C88" s="757" t="s">
        <v>670</v>
      </c>
      <c r="D88" s="757" t="s">
        <v>671</v>
      </c>
      <c r="E88" s="834">
        <v>0.2</v>
      </c>
      <c r="F88" s="821">
        <v>30</v>
      </c>
    </row>
    <row r="89" spans="1:6" s="817" customFormat="1" ht="24">
      <c r="A89" s="821">
        <v>29</v>
      </c>
      <c r="B89" s="3502"/>
      <c r="C89" s="757" t="s">
        <v>672</v>
      </c>
      <c r="D89" s="757" t="s">
        <v>673</v>
      </c>
      <c r="E89" s="834">
        <v>0.2</v>
      </c>
      <c r="F89" s="821">
        <v>30</v>
      </c>
    </row>
    <row r="90" spans="1:6" s="817" customFormat="1" ht="24">
      <c r="A90" s="821">
        <v>30</v>
      </c>
      <c r="B90" s="3502"/>
      <c r="C90" s="757" t="s">
        <v>674</v>
      </c>
      <c r="D90" s="757" t="s">
        <v>675</v>
      </c>
      <c r="E90" s="834">
        <v>0.2</v>
      </c>
      <c r="F90" s="821">
        <v>30</v>
      </c>
    </row>
    <row r="91" spans="1:6" s="817" customFormat="1" ht="36">
      <c r="A91" s="821">
        <v>31</v>
      </c>
      <c r="B91" s="3502"/>
      <c r="C91" s="757" t="s">
        <v>676</v>
      </c>
      <c r="D91" s="757" t="s">
        <v>677</v>
      </c>
      <c r="E91" s="834">
        <v>0.2</v>
      </c>
      <c r="F91" s="821">
        <v>30</v>
      </c>
    </row>
    <row r="92" spans="1:6" s="817" customFormat="1" ht="24">
      <c r="A92" s="821">
        <v>32</v>
      </c>
      <c r="B92" s="3502" t="s">
        <v>678</v>
      </c>
      <c r="C92" s="821" t="s">
        <v>679</v>
      </c>
      <c r="D92" s="757" t="s">
        <v>680</v>
      </c>
      <c r="E92" s="834">
        <v>0.2</v>
      </c>
      <c r="F92" s="821">
        <v>30</v>
      </c>
    </row>
    <row r="93" spans="1:6" s="817" customFormat="1" ht="36">
      <c r="A93" s="821">
        <v>33</v>
      </c>
      <c r="B93" s="3502"/>
      <c r="C93" s="821" t="s">
        <v>681</v>
      </c>
      <c r="D93" s="757" t="s">
        <v>682</v>
      </c>
      <c r="E93" s="834">
        <v>0.2</v>
      </c>
      <c r="F93" s="821">
        <v>30</v>
      </c>
    </row>
    <row r="94" spans="1:6" s="817" customFormat="1" ht="48">
      <c r="A94" s="821">
        <v>34</v>
      </c>
      <c r="B94" s="3502"/>
      <c r="C94" s="821" t="s">
        <v>683</v>
      </c>
      <c r="D94" s="757" t="s">
        <v>684</v>
      </c>
      <c r="E94" s="834">
        <v>0.2</v>
      </c>
      <c r="F94" s="821">
        <v>30</v>
      </c>
    </row>
    <row r="95" spans="1:6" s="817" customFormat="1" ht="36">
      <c r="A95" s="821">
        <v>35</v>
      </c>
      <c r="B95" s="3502"/>
      <c r="C95" s="821" t="s">
        <v>685</v>
      </c>
      <c r="D95" s="757" t="s">
        <v>686</v>
      </c>
      <c r="E95" s="834">
        <v>0.2</v>
      </c>
      <c r="F95" s="821">
        <v>30</v>
      </c>
    </row>
    <row r="96" spans="1:6" s="817" customFormat="1" ht="48">
      <c r="A96" s="821">
        <v>36</v>
      </c>
      <c r="B96" s="3502"/>
      <c r="C96" s="757" t="s">
        <v>687</v>
      </c>
      <c r="D96" s="757" t="s">
        <v>688</v>
      </c>
      <c r="E96" s="834">
        <v>0.2</v>
      </c>
      <c r="F96" s="821">
        <v>30</v>
      </c>
    </row>
    <row r="97" spans="1:6" s="817" customFormat="1" ht="36">
      <c r="A97" s="821">
        <v>37</v>
      </c>
      <c r="B97" s="3502"/>
      <c r="C97" s="821" t="s">
        <v>689</v>
      </c>
      <c r="D97" s="757" t="s">
        <v>690</v>
      </c>
      <c r="E97" s="834">
        <v>0.2</v>
      </c>
      <c r="F97" s="821">
        <v>30</v>
      </c>
    </row>
    <row r="98" spans="1:6" s="817" customFormat="1" ht="36">
      <c r="A98" s="821">
        <v>38</v>
      </c>
      <c r="B98" s="3502"/>
      <c r="C98" s="821" t="s">
        <v>691</v>
      </c>
      <c r="D98" s="757" t="s">
        <v>692</v>
      </c>
      <c r="E98" s="834">
        <v>0.2</v>
      </c>
      <c r="F98" s="821">
        <v>30</v>
      </c>
    </row>
    <row r="99" spans="1:6" s="817" customFormat="1" ht="36">
      <c r="A99" s="821">
        <v>39</v>
      </c>
      <c r="B99" s="3502" t="s">
        <v>693</v>
      </c>
      <c r="C99" s="821" t="s">
        <v>694</v>
      </c>
      <c r="D99" s="757" t="s">
        <v>695</v>
      </c>
      <c r="E99" s="834">
        <v>0.3</v>
      </c>
      <c r="F99" s="821">
        <v>50</v>
      </c>
    </row>
    <row r="100" spans="1:6" s="817" customFormat="1" ht="24">
      <c r="A100" s="821">
        <v>40</v>
      </c>
      <c r="B100" s="3502"/>
      <c r="C100" s="821" t="s">
        <v>696</v>
      </c>
      <c r="D100" s="757" t="s">
        <v>697</v>
      </c>
      <c r="E100" s="834">
        <v>0.2</v>
      </c>
      <c r="F100" s="821">
        <v>30</v>
      </c>
    </row>
    <row r="101" spans="1:6" s="817" customFormat="1" ht="36">
      <c r="A101" s="821">
        <v>41</v>
      </c>
      <c r="B101" s="350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2" t="s">
        <v>708</v>
      </c>
      <c r="C105" s="821" t="s">
        <v>709</v>
      </c>
      <c r="D105" s="757" t="s">
        <v>710</v>
      </c>
      <c r="E105" s="834">
        <v>0.2</v>
      </c>
      <c r="F105" s="821">
        <v>30</v>
      </c>
    </row>
    <row r="106" spans="1:6" s="817" customFormat="1" ht="36">
      <c r="A106" s="821">
        <v>46</v>
      </c>
      <c r="B106" s="3502"/>
      <c r="C106" s="821" t="s">
        <v>711</v>
      </c>
      <c r="D106" s="757" t="s">
        <v>712</v>
      </c>
      <c r="E106" s="834">
        <v>0.2</v>
      </c>
      <c r="F106" s="821">
        <v>30</v>
      </c>
    </row>
    <row r="107" spans="1:6" s="817" customFormat="1" ht="36">
      <c r="A107" s="821">
        <v>47</v>
      </c>
      <c r="B107" s="3502" t="s">
        <v>713</v>
      </c>
      <c r="C107" s="821" t="s">
        <v>714</v>
      </c>
      <c r="D107" s="757" t="s">
        <v>715</v>
      </c>
      <c r="E107" s="834">
        <v>0.3</v>
      </c>
      <c r="F107" s="821">
        <v>50</v>
      </c>
    </row>
    <row r="108" spans="1:6" s="817" customFormat="1" ht="36">
      <c r="A108" s="821">
        <v>48</v>
      </c>
      <c r="B108" s="35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2" t="s">
        <v>724</v>
      </c>
      <c r="C111" s="821" t="s">
        <v>725</v>
      </c>
      <c r="D111" s="757" t="s">
        <v>726</v>
      </c>
      <c r="E111" s="834">
        <v>0.2</v>
      </c>
      <c r="F111" s="821">
        <v>30</v>
      </c>
    </row>
    <row r="112" spans="1:6" s="817" customFormat="1" ht="24">
      <c r="A112" s="821">
        <v>52</v>
      </c>
      <c r="B112" s="3502"/>
      <c r="C112" s="821" t="s">
        <v>727</v>
      </c>
      <c r="D112" s="757" t="s">
        <v>728</v>
      </c>
      <c r="E112" s="834">
        <v>0.2</v>
      </c>
      <c r="F112" s="821">
        <v>30</v>
      </c>
    </row>
    <row r="113" spans="1:6" s="817" customFormat="1" ht="24">
      <c r="A113" s="821">
        <v>53</v>
      </c>
      <c r="B113" s="350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2" t="s">
        <v>737</v>
      </c>
      <c r="C116" s="821" t="s">
        <v>738</v>
      </c>
      <c r="D116" s="757" t="s">
        <v>739</v>
      </c>
      <c r="E116" s="834">
        <v>0.2</v>
      </c>
      <c r="F116" s="821">
        <v>30</v>
      </c>
    </row>
    <row r="117" spans="1:6" ht="36">
      <c r="A117" s="821">
        <v>57</v>
      </c>
      <c r="B117" s="350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1.0740000000000001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估价结果一览表（市场价值不需“结果表-1”）</v>
      </c>
      <c r="B3" s="3144"/>
      <c r="C3" s="3144"/>
      <c r="D3" s="3144"/>
      <c r="E3" s="3144"/>
    </row>
    <row r="4" spans="1:5" ht="19.5" thickBot="1">
      <c r="A4" s="1679"/>
      <c r="B4" s="3142" t="s">
        <v>1595</v>
      </c>
      <c r="C4" s="3142"/>
      <c r="D4" s="3142"/>
      <c r="E4" s="1679"/>
    </row>
    <row r="5" spans="1:5" ht="16.5" thickTop="1">
      <c r="A5" s="1677"/>
      <c r="B5" s="3140" t="s">
        <v>1587</v>
      </c>
      <c r="C5" s="1680" t="s">
        <v>1588</v>
      </c>
      <c r="D5" s="959" t="e">
        <f ca="1">结果表!H101</f>
        <v>#REF!</v>
      </c>
      <c r="E5" s="1677"/>
    </row>
    <row r="6" spans="1:5" ht="15.75">
      <c r="A6" s="1677"/>
      <c r="B6" s="3140"/>
      <c r="C6" s="1680" t="s">
        <v>1589</v>
      </c>
      <c r="D6" s="959" t="e">
        <f ca="1">NUMBERSTRING(INT(D5*10000),2)&amp;"元整"</f>
        <v>#REF!</v>
      </c>
      <c r="E6" s="1677"/>
    </row>
    <row r="7" spans="1:5" ht="15.75">
      <c r="A7" s="1677"/>
      <c r="B7" s="3145"/>
      <c r="C7" s="1681" t="s">
        <v>1590</v>
      </c>
      <c r="D7" s="960" t="e">
        <f ca="1">结果表!H102</f>
        <v>#REF!</v>
      </c>
      <c r="E7" s="1677"/>
    </row>
    <row r="8" spans="1:5" ht="15.75">
      <c r="A8" s="1677"/>
      <c r="B8" s="3146" t="str">
        <f>结果表!E103</f>
        <v>2.估价师知悉的法定优先受偿款</v>
      </c>
      <c r="C8" s="1682" t="s">
        <v>1591</v>
      </c>
      <c r="D8" s="960">
        <f>结果表!H103</f>
        <v>0</v>
      </c>
      <c r="E8" s="1677"/>
    </row>
    <row r="9" spans="1:5" ht="15.75">
      <c r="A9" s="1677"/>
      <c r="B9" s="3148"/>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39" t="str">
        <f>结果表!E107</f>
        <v>3.房地产抵押价值</v>
      </c>
      <c r="C13" s="1685" t="s">
        <v>1588</v>
      </c>
      <c r="D13" s="962" t="e">
        <f ca="1">结果表!H107</f>
        <v>#REF!</v>
      </c>
      <c r="E13" s="1677"/>
    </row>
    <row r="14" spans="1:5" ht="15.75">
      <c r="A14" s="1677"/>
      <c r="B14" s="3140"/>
      <c r="C14" s="1680" t="s">
        <v>1589</v>
      </c>
      <c r="D14" s="959" t="e">
        <f ca="1">NUMBERSTRING(INT(D13*10000),2)&amp;"元整"</f>
        <v>#REF!</v>
      </c>
      <c r="E14" s="1677"/>
    </row>
    <row r="15" spans="1:5" ht="15">
      <c r="A15" s="1677"/>
      <c r="B15" s="3145"/>
      <c r="C15" s="1681" t="s">
        <v>1599</v>
      </c>
      <c r="D15" s="968" t="e">
        <f ca="1">结果表!H108</f>
        <v>#REF!</v>
      </c>
      <c r="E15" s="1677"/>
    </row>
    <row r="16" spans="1:5" ht="15">
      <c r="A16" s="1677"/>
      <c r="B16" s="3146" t="str">
        <f>结果表!E109</f>
        <v>——</v>
      </c>
      <c r="C16" s="1685" t="s">
        <v>1600</v>
      </c>
      <c r="D16" s="1686" t="str">
        <f>结果表!H109</f>
        <v>——</v>
      </c>
      <c r="E16" s="1677"/>
    </row>
    <row r="17" spans="1:5" ht="15.75">
      <c r="A17" s="1677"/>
      <c r="B17" s="3147"/>
      <c r="C17" s="1680" t="s">
        <v>1601</v>
      </c>
      <c r="D17" s="959" t="e">
        <f>NUMBERSTRING(INT(D16*10000),2)&amp;"元整"</f>
        <v>#VALUE!</v>
      </c>
      <c r="E17" s="1677"/>
    </row>
    <row r="18" spans="1:5" ht="15">
      <c r="A18" s="1677"/>
      <c r="B18" s="3148"/>
      <c r="C18" s="1681" t="s">
        <v>1590</v>
      </c>
      <c r="D18" s="968" t="str">
        <f>结果表!H110</f>
        <v>——</v>
      </c>
      <c r="E18" s="1677"/>
    </row>
    <row r="19" spans="1:5" ht="15.75">
      <c r="A19" s="1677"/>
      <c r="B19" s="3139" t="str">
        <f>结果表!E111</f>
        <v>——</v>
      </c>
      <c r="C19" s="1685" t="s">
        <v>1588</v>
      </c>
      <c r="D19" s="960" t="str">
        <f>结果表!H111</f>
        <v>——</v>
      </c>
      <c r="E19" s="1677"/>
    </row>
    <row r="20" spans="1:5" ht="15.75">
      <c r="A20" s="1677"/>
      <c r="B20" s="3140"/>
      <c r="C20" s="1680" t="s">
        <v>1601</v>
      </c>
      <c r="D20" s="959" t="e">
        <f>NUMBERSTRING(INT(D19*10000),2)&amp;"元整"</f>
        <v>#VALUE!</v>
      </c>
      <c r="E20" s="1677"/>
    </row>
    <row r="21" spans="1:5" ht="15.75" thickBot="1">
      <c r="A21" s="1677"/>
      <c r="B21" s="3141"/>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2819</v>
      </c>
      <c r="B1" s="2364"/>
      <c r="C1" s="2364"/>
      <c r="D1" s="2364"/>
      <c r="E1" s="2364"/>
      <c r="F1" s="3024"/>
      <c r="G1" s="3024"/>
      <c r="H1" s="3024"/>
      <c r="I1" s="3024"/>
      <c r="J1" s="3024"/>
      <c r="K1" s="3024"/>
      <c r="L1" s="3024"/>
      <c r="M1" s="3024"/>
      <c r="N1" s="3024"/>
      <c r="O1" s="3024"/>
      <c r="P1" s="3024"/>
    </row>
    <row r="2" spans="1:16" ht="15.75">
      <c r="A2" s="2362" t="s">
        <v>2811</v>
      </c>
      <c r="B2" s="2828">
        <f ca="1">SUMIF(B6:B13,"&lt;&gt;#ref!",B6:B13)</f>
        <v>14211</v>
      </c>
      <c r="C2" s="2362" t="s">
        <v>2812</v>
      </c>
      <c r="D2" s="2362" t="s">
        <v>2813</v>
      </c>
      <c r="E2" s="2838">
        <f ca="1">SUMIF(E6:E13,"&lt;&gt;#ref!",E6:E13)</f>
        <v>27932.560000000001</v>
      </c>
      <c r="F2" s="3024"/>
      <c r="G2" s="3024"/>
      <c r="H2" s="3024"/>
      <c r="I2" s="3024"/>
      <c r="J2" s="3024"/>
      <c r="K2" s="3024"/>
      <c r="L2" s="3024"/>
      <c r="M2" s="3024"/>
      <c r="N2" s="3024"/>
      <c r="O2" s="3024"/>
      <c r="P2" s="3024"/>
    </row>
    <row r="3" spans="1:16" ht="15.75">
      <c r="A3" s="2362" t="s">
        <v>2814</v>
      </c>
      <c r="B3" s="2828">
        <f ca="1">ROUND(B2*10000/E2,0)</f>
        <v>5088</v>
      </c>
      <c r="C3" s="2362" t="s">
        <v>2820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2815</v>
      </c>
      <c r="B5" s="2836" t="s">
        <v>2816</v>
      </c>
      <c r="C5" s="2363"/>
      <c r="D5" s="3024"/>
      <c r="E5" s="2837" t="s">
        <v>2817</v>
      </c>
      <c r="F5" s="3024"/>
      <c r="G5" s="3024"/>
      <c r="H5" s="3024"/>
      <c r="I5" s="3024"/>
      <c r="J5" s="3024"/>
      <c r="K5" s="3024"/>
      <c r="L5" s="3024"/>
      <c r="M5" s="3024"/>
      <c r="N5" s="3024"/>
      <c r="O5" s="3024"/>
      <c r="P5" s="3024"/>
    </row>
    <row r="6" spans="1:16" ht="15.75">
      <c r="A6" s="2835" t="s">
        <v>2818</v>
      </c>
      <c r="B6" s="2828">
        <f ca="1">SUMIF(INDIRECT("'"&amp;A6&amp;"'"&amp;"!A:A"),"总价",INDIRECT("'"&amp;A6&amp;"'"&amp;"!B:B"))</f>
        <v>14211</v>
      </c>
      <c r="C6" s="2362" t="s">
        <v>2812</v>
      </c>
      <c r="D6" s="3024"/>
      <c r="E6" s="2838">
        <f ca="1">SUMIF(INDIRECT("'"&amp;A6&amp;"'"&amp;"!C:C"),"建筑面积",INDIRECT("'"&amp;A6&amp;"'"&amp;"!D:D"))</f>
        <v>27932.560000000001</v>
      </c>
      <c r="F6" s="3024"/>
      <c r="G6" s="3024"/>
      <c r="H6" s="3024"/>
      <c r="I6" s="3024"/>
      <c r="J6" s="3024"/>
      <c r="K6" s="3024"/>
      <c r="L6" s="3024"/>
      <c r="M6" s="3024"/>
      <c r="N6" s="3024"/>
      <c r="O6" s="3024"/>
      <c r="P6" s="3024"/>
    </row>
    <row r="7" spans="1:16" ht="15.75">
      <c r="A7" s="2835"/>
      <c r="B7" s="2828" t="e">
        <f ca="1">SUMIF(INDIRECT("'"&amp;A7&amp;"'"&amp;"!A:A"),"总价",INDIRECT("'"&amp;A7&amp;"'"&amp;"!B:B"))</f>
        <v>#REF!</v>
      </c>
      <c r="C7" s="2362" t="s">
        <v>2812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2812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2812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2812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2812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2812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2812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O11"/>
  <sheetViews>
    <sheetView topLeftCell="A5" workbookViewId="0">
      <selection activeCell="AQ37" sqref="AQ37:AQ39"/>
    </sheetView>
  </sheetViews>
  <sheetFormatPr defaultRowHeight="12.75"/>
  <cols>
    <col min="1" max="1" width="11.25" style="3053" customWidth="1"/>
    <col min="2" max="2" width="2.875" style="3053" customWidth="1"/>
    <col min="3" max="3" width="13" style="3053" customWidth="1"/>
    <col min="4" max="6" width="6.75" style="3053" customWidth="1"/>
    <col min="7" max="8" width="6.75" style="3053" hidden="1" customWidth="1"/>
    <col min="9" max="9" width="6.75" style="3053" customWidth="1"/>
    <col min="10" max="11" width="6.75" style="3053" hidden="1" customWidth="1"/>
    <col min="12" max="12" width="6.75" style="3053" customWidth="1"/>
    <col min="13" max="14" width="6.75" style="3053" hidden="1" customWidth="1"/>
    <col min="15" max="15" width="6.75" style="3053" customWidth="1"/>
    <col min="16" max="17" width="6.75" style="3053" hidden="1" customWidth="1"/>
    <col min="18" max="18" width="6.75" style="3053" customWidth="1"/>
    <col min="19" max="20" width="6.75" style="3053" hidden="1" customWidth="1"/>
    <col min="21" max="21" width="6.75" style="3053" customWidth="1"/>
    <col min="22" max="23" width="6.75" style="3053" hidden="1" customWidth="1"/>
    <col min="24" max="24" width="6.75" style="3053" customWidth="1"/>
    <col min="25" max="26" width="6.75" style="3053" hidden="1" customWidth="1"/>
    <col min="27" max="27" width="6.625" style="3053" customWidth="1"/>
    <col min="28" max="29" width="6.75" style="3053" hidden="1" customWidth="1"/>
    <col min="30" max="30" width="6.75" style="3053" customWidth="1"/>
    <col min="31" max="32" width="6.75" style="3053" hidden="1" customWidth="1"/>
    <col min="33" max="33" width="6.75" style="3053" customWidth="1"/>
    <col min="34" max="35" width="6.75" style="3053" hidden="1" customWidth="1"/>
    <col min="36" max="36" width="6.75" style="3053" customWidth="1"/>
    <col min="37" max="38" width="6.75" style="3053" hidden="1" customWidth="1"/>
    <col min="39" max="39" width="6.75" style="3053" customWidth="1"/>
    <col min="40" max="41" width="6.75" style="3053" hidden="1" customWidth="1"/>
    <col min="42" max="256" width="6.75" style="3053" customWidth="1"/>
    <col min="257" max="257" width="11.25" style="3053" customWidth="1"/>
    <col min="258" max="512" width="6.75" style="3053" customWidth="1"/>
    <col min="513" max="513" width="11.25" style="3053" customWidth="1"/>
    <col min="514" max="768" width="6.75" style="3053" customWidth="1"/>
    <col min="769" max="769" width="11.25" style="3053" customWidth="1"/>
    <col min="770" max="1024" width="6.75" style="3053" customWidth="1"/>
    <col min="1025" max="1025" width="11.25" style="3053" customWidth="1"/>
    <col min="1026" max="1280" width="6.75" style="3053" customWidth="1"/>
    <col min="1281" max="1281" width="11.25" style="3053" customWidth="1"/>
    <col min="1282" max="1536" width="6.75" style="3053" customWidth="1"/>
    <col min="1537" max="1537" width="11.25" style="3053" customWidth="1"/>
    <col min="1538" max="1792" width="6.75" style="3053" customWidth="1"/>
    <col min="1793" max="1793" width="11.25" style="3053" customWidth="1"/>
    <col min="1794" max="2048" width="6.75" style="3053" customWidth="1"/>
    <col min="2049" max="2049" width="11.25" style="3053" customWidth="1"/>
    <col min="2050" max="2304" width="6.75" style="3053" customWidth="1"/>
    <col min="2305" max="2305" width="11.25" style="3053" customWidth="1"/>
    <col min="2306" max="2560" width="6.75" style="3053" customWidth="1"/>
    <col min="2561" max="2561" width="11.25" style="3053" customWidth="1"/>
    <col min="2562" max="2816" width="6.75" style="3053" customWidth="1"/>
    <col min="2817" max="2817" width="11.25" style="3053" customWidth="1"/>
    <col min="2818" max="3072" width="6.75" style="3053" customWidth="1"/>
    <col min="3073" max="3073" width="11.25" style="3053" customWidth="1"/>
    <col min="3074" max="3328" width="6.75" style="3053" customWidth="1"/>
    <col min="3329" max="3329" width="11.25" style="3053" customWidth="1"/>
    <col min="3330" max="3584" width="6.75" style="3053" customWidth="1"/>
    <col min="3585" max="3585" width="11.25" style="3053" customWidth="1"/>
    <col min="3586" max="3840" width="6.75" style="3053" customWidth="1"/>
    <col min="3841" max="3841" width="11.25" style="3053" customWidth="1"/>
    <col min="3842" max="4096" width="6.75" style="3053" customWidth="1"/>
    <col min="4097" max="4097" width="11.25" style="3053" customWidth="1"/>
    <col min="4098" max="4352" width="6.75" style="3053" customWidth="1"/>
    <col min="4353" max="4353" width="11.25" style="3053" customWidth="1"/>
    <col min="4354" max="4608" width="6.75" style="3053" customWidth="1"/>
    <col min="4609" max="4609" width="11.25" style="3053" customWidth="1"/>
    <col min="4610" max="4864" width="6.75" style="3053" customWidth="1"/>
    <col min="4865" max="4865" width="11.25" style="3053" customWidth="1"/>
    <col min="4866" max="5120" width="6.75" style="3053" customWidth="1"/>
    <col min="5121" max="5121" width="11.25" style="3053" customWidth="1"/>
    <col min="5122" max="5376" width="6.75" style="3053" customWidth="1"/>
    <col min="5377" max="5377" width="11.25" style="3053" customWidth="1"/>
    <col min="5378" max="5632" width="6.75" style="3053" customWidth="1"/>
    <col min="5633" max="5633" width="11.25" style="3053" customWidth="1"/>
    <col min="5634" max="5888" width="6.75" style="3053" customWidth="1"/>
    <col min="5889" max="5889" width="11.25" style="3053" customWidth="1"/>
    <col min="5890" max="6144" width="6.75" style="3053" customWidth="1"/>
    <col min="6145" max="6145" width="11.25" style="3053" customWidth="1"/>
    <col min="6146" max="6400" width="6.75" style="3053" customWidth="1"/>
    <col min="6401" max="6401" width="11.25" style="3053" customWidth="1"/>
    <col min="6402" max="6656" width="6.75" style="3053" customWidth="1"/>
    <col min="6657" max="6657" width="11.25" style="3053" customWidth="1"/>
    <col min="6658" max="6912" width="6.75" style="3053" customWidth="1"/>
    <col min="6913" max="6913" width="11.25" style="3053" customWidth="1"/>
    <col min="6914" max="7168" width="6.75" style="3053" customWidth="1"/>
    <col min="7169" max="7169" width="11.25" style="3053" customWidth="1"/>
    <col min="7170" max="7424" width="6.75" style="3053" customWidth="1"/>
    <col min="7425" max="7425" width="11.25" style="3053" customWidth="1"/>
    <col min="7426" max="7680" width="6.75" style="3053" customWidth="1"/>
    <col min="7681" max="7681" width="11.25" style="3053" customWidth="1"/>
    <col min="7682" max="7936" width="6.75" style="3053" customWidth="1"/>
    <col min="7937" max="7937" width="11.25" style="3053" customWidth="1"/>
    <col min="7938" max="8192" width="6.75" style="3053" customWidth="1"/>
    <col min="8193" max="8193" width="11.25" style="3053" customWidth="1"/>
    <col min="8194" max="8448" width="6.75" style="3053" customWidth="1"/>
    <col min="8449" max="8449" width="11.25" style="3053" customWidth="1"/>
    <col min="8450" max="8704" width="6.75" style="3053" customWidth="1"/>
    <col min="8705" max="8705" width="11.25" style="3053" customWidth="1"/>
    <col min="8706" max="8960" width="6.75" style="3053" customWidth="1"/>
    <col min="8961" max="8961" width="11.25" style="3053" customWidth="1"/>
    <col min="8962" max="9216" width="6.75" style="3053" customWidth="1"/>
    <col min="9217" max="9217" width="11.25" style="3053" customWidth="1"/>
    <col min="9218" max="9472" width="6.75" style="3053" customWidth="1"/>
    <col min="9473" max="9473" width="11.25" style="3053" customWidth="1"/>
    <col min="9474" max="9728" width="6.75" style="3053" customWidth="1"/>
    <col min="9729" max="9729" width="11.25" style="3053" customWidth="1"/>
    <col min="9730" max="9984" width="6.75" style="3053" customWidth="1"/>
    <col min="9985" max="9985" width="11.25" style="3053" customWidth="1"/>
    <col min="9986" max="10240" width="6.75" style="3053" customWidth="1"/>
    <col min="10241" max="10241" width="11.25" style="3053" customWidth="1"/>
    <col min="10242" max="10496" width="6.75" style="3053" customWidth="1"/>
    <col min="10497" max="10497" width="11.25" style="3053" customWidth="1"/>
    <col min="10498" max="10752" width="6.75" style="3053" customWidth="1"/>
    <col min="10753" max="10753" width="11.25" style="3053" customWidth="1"/>
    <col min="10754" max="11008" width="6.75" style="3053" customWidth="1"/>
    <col min="11009" max="11009" width="11.25" style="3053" customWidth="1"/>
    <col min="11010" max="11264" width="6.75" style="3053" customWidth="1"/>
    <col min="11265" max="11265" width="11.25" style="3053" customWidth="1"/>
    <col min="11266" max="11520" width="6.75" style="3053" customWidth="1"/>
    <col min="11521" max="11521" width="11.25" style="3053" customWidth="1"/>
    <col min="11522" max="11776" width="6.75" style="3053" customWidth="1"/>
    <col min="11777" max="11777" width="11.25" style="3053" customWidth="1"/>
    <col min="11778" max="12032" width="6.75" style="3053" customWidth="1"/>
    <col min="12033" max="12033" width="11.25" style="3053" customWidth="1"/>
    <col min="12034" max="12288" width="6.75" style="3053" customWidth="1"/>
    <col min="12289" max="12289" width="11.25" style="3053" customWidth="1"/>
    <col min="12290" max="12544" width="6.75" style="3053" customWidth="1"/>
    <col min="12545" max="12545" width="11.25" style="3053" customWidth="1"/>
    <col min="12546" max="12800" width="6.75" style="3053" customWidth="1"/>
    <col min="12801" max="12801" width="11.25" style="3053" customWidth="1"/>
    <col min="12802" max="13056" width="6.75" style="3053" customWidth="1"/>
    <col min="13057" max="13057" width="11.25" style="3053" customWidth="1"/>
    <col min="13058" max="13312" width="6.75" style="3053" customWidth="1"/>
    <col min="13313" max="13313" width="11.25" style="3053" customWidth="1"/>
    <col min="13314" max="13568" width="6.75" style="3053" customWidth="1"/>
    <col min="13569" max="13569" width="11.25" style="3053" customWidth="1"/>
    <col min="13570" max="13824" width="6.75" style="3053" customWidth="1"/>
    <col min="13825" max="13825" width="11.25" style="3053" customWidth="1"/>
    <col min="13826" max="14080" width="6.75" style="3053" customWidth="1"/>
    <col min="14081" max="14081" width="11.25" style="3053" customWidth="1"/>
    <col min="14082" max="14336" width="6.75" style="3053" customWidth="1"/>
    <col min="14337" max="14337" width="11.25" style="3053" customWidth="1"/>
    <col min="14338" max="14592" width="6.75" style="3053" customWidth="1"/>
    <col min="14593" max="14593" width="11.25" style="3053" customWidth="1"/>
    <col min="14594" max="14848" width="6.75" style="3053" customWidth="1"/>
    <col min="14849" max="14849" width="11.25" style="3053" customWidth="1"/>
    <col min="14850" max="15104" width="6.75" style="3053" customWidth="1"/>
    <col min="15105" max="15105" width="11.25" style="3053" customWidth="1"/>
    <col min="15106" max="15360" width="6.75" style="3053" customWidth="1"/>
    <col min="15361" max="15361" width="11.25" style="3053" customWidth="1"/>
    <col min="15362" max="15616" width="6.75" style="3053" customWidth="1"/>
    <col min="15617" max="15617" width="11.25" style="3053" customWidth="1"/>
    <col min="15618" max="15872" width="6.75" style="3053" customWidth="1"/>
    <col min="15873" max="15873" width="11.25" style="3053" customWidth="1"/>
    <col min="15874" max="16128" width="6.75" style="3053" customWidth="1"/>
    <col min="16129" max="16129" width="11.25" style="3053" customWidth="1"/>
    <col min="16130" max="16384" width="6.75" style="3053" customWidth="1"/>
  </cols>
  <sheetData>
    <row r="1" spans="1:41">
      <c r="A1" s="3053" t="s">
        <v>3060</v>
      </c>
      <c r="B1" s="3053" t="s">
        <v>3061</v>
      </c>
      <c r="C1" s="3053" t="s">
        <v>3061</v>
      </c>
      <c r="D1" s="3053" t="s">
        <v>3061</v>
      </c>
      <c r="E1" s="3053" t="s">
        <v>3061</v>
      </c>
      <c r="F1" s="3503" t="s">
        <v>3062</v>
      </c>
      <c r="G1" s="3503"/>
      <c r="H1" s="3503"/>
      <c r="I1" s="3503" t="s">
        <v>3063</v>
      </c>
      <c r="J1" s="3503"/>
      <c r="K1" s="3503"/>
      <c r="L1" s="3503" t="s">
        <v>3064</v>
      </c>
      <c r="M1" s="3503"/>
      <c r="N1" s="3503"/>
      <c r="O1" s="3503" t="s">
        <v>3065</v>
      </c>
      <c r="P1" s="3503"/>
      <c r="Q1" s="3503"/>
      <c r="R1" s="3503" t="s">
        <v>3066</v>
      </c>
      <c r="S1" s="3503"/>
      <c r="T1" s="3503"/>
      <c r="U1" s="3503" t="s">
        <v>3067</v>
      </c>
      <c r="V1" s="3503"/>
      <c r="W1" s="3503"/>
      <c r="X1" s="3503" t="s">
        <v>3068</v>
      </c>
      <c r="Y1" s="3503"/>
      <c r="Z1" s="3503"/>
      <c r="AA1" s="3503" t="s">
        <v>3069</v>
      </c>
      <c r="AB1" s="3503"/>
      <c r="AC1" s="3503"/>
      <c r="AD1" s="3503" t="s">
        <v>3070</v>
      </c>
      <c r="AE1" s="3503"/>
      <c r="AF1" s="3503"/>
      <c r="AG1" s="3503" t="s">
        <v>3071</v>
      </c>
      <c r="AH1" s="3503"/>
      <c r="AI1" s="3503"/>
      <c r="AJ1" s="3503" t="s">
        <v>3072</v>
      </c>
      <c r="AK1" s="3503"/>
      <c r="AL1" s="3503"/>
      <c r="AM1" s="3503" t="s">
        <v>3073</v>
      </c>
      <c r="AN1" s="3503"/>
      <c r="AO1" s="3503"/>
    </row>
    <row r="2" spans="1:41" s="3054" customFormat="1" ht="14.25">
      <c r="A2" s="3054" t="s">
        <v>3074</v>
      </c>
      <c r="B2" s="3054" t="s">
        <v>3075</v>
      </c>
      <c r="C2" s="3054" t="s">
        <v>3076</v>
      </c>
      <c r="D2" s="3054" t="s">
        <v>3077</v>
      </c>
      <c r="E2" s="3054" t="s">
        <v>3078</v>
      </c>
      <c r="F2" s="3055" t="s">
        <v>3079</v>
      </c>
      <c r="G2" s="3055" t="s">
        <v>3080</v>
      </c>
      <c r="H2" s="3055" t="s">
        <v>3081</v>
      </c>
      <c r="I2" s="3055" t="s">
        <v>3079</v>
      </c>
      <c r="J2" s="3055" t="s">
        <v>3080</v>
      </c>
      <c r="K2" s="3055" t="s">
        <v>3081</v>
      </c>
      <c r="L2" s="3055" t="s">
        <v>3079</v>
      </c>
      <c r="M2" s="3055" t="s">
        <v>3080</v>
      </c>
      <c r="N2" s="3055" t="s">
        <v>3081</v>
      </c>
      <c r="O2" s="3055" t="s">
        <v>3079</v>
      </c>
      <c r="P2" s="3055" t="s">
        <v>3080</v>
      </c>
      <c r="Q2" s="3055" t="s">
        <v>3081</v>
      </c>
      <c r="R2" s="3055" t="s">
        <v>3079</v>
      </c>
      <c r="S2" s="3055" t="s">
        <v>3080</v>
      </c>
      <c r="T2" s="3055" t="s">
        <v>3081</v>
      </c>
      <c r="U2" s="3055" t="s">
        <v>3079</v>
      </c>
      <c r="V2" s="3055" t="s">
        <v>3080</v>
      </c>
      <c r="W2" s="3055" t="s">
        <v>3081</v>
      </c>
      <c r="X2" s="3055" t="s">
        <v>3079</v>
      </c>
      <c r="Y2" s="3055" t="s">
        <v>3080</v>
      </c>
      <c r="Z2" s="3055" t="s">
        <v>3081</v>
      </c>
      <c r="AA2" s="3055" t="s">
        <v>3079</v>
      </c>
      <c r="AB2" s="3055" t="s">
        <v>3080</v>
      </c>
      <c r="AC2" s="3055" t="s">
        <v>3081</v>
      </c>
      <c r="AD2" s="3055" t="s">
        <v>3079</v>
      </c>
      <c r="AE2" s="3055" t="s">
        <v>3080</v>
      </c>
      <c r="AF2" s="3055" t="s">
        <v>3081</v>
      </c>
      <c r="AG2" s="3055" t="s">
        <v>3079</v>
      </c>
      <c r="AH2" s="3055" t="s">
        <v>3080</v>
      </c>
      <c r="AI2" s="3055" t="s">
        <v>3081</v>
      </c>
      <c r="AJ2" s="3055" t="s">
        <v>3079</v>
      </c>
      <c r="AK2" s="3055" t="s">
        <v>3080</v>
      </c>
      <c r="AL2" s="3055" t="s">
        <v>3081</v>
      </c>
      <c r="AM2" s="3055" t="s">
        <v>3079</v>
      </c>
      <c r="AN2" s="3055" t="s">
        <v>3080</v>
      </c>
      <c r="AO2" s="3055" t="s">
        <v>3081</v>
      </c>
    </row>
    <row r="3" spans="1:41">
      <c r="A3" s="3053">
        <f>ROUND((F3+I3+L3+O3+R3+U3+X3+AA3+AD3+AG3+AJ3+AM3)/12,0)</f>
        <v>49</v>
      </c>
      <c r="B3" s="3053">
        <v>1</v>
      </c>
      <c r="C3" s="3053" t="s">
        <v>3082</v>
      </c>
      <c r="D3" s="3053" t="s">
        <v>3083</v>
      </c>
      <c r="E3" s="3053" t="s">
        <v>3084</v>
      </c>
      <c r="F3" s="3053">
        <v>45.91</v>
      </c>
      <c r="G3" s="3053">
        <v>3453</v>
      </c>
      <c r="H3" s="3053">
        <v>47269</v>
      </c>
      <c r="I3" s="3053">
        <v>46.5</v>
      </c>
      <c r="J3" s="3053">
        <v>3644</v>
      </c>
      <c r="K3" s="3053">
        <v>47617</v>
      </c>
      <c r="L3" s="3053">
        <v>46.43</v>
      </c>
      <c r="M3" s="3053">
        <v>3415</v>
      </c>
      <c r="N3" s="3053">
        <v>48579</v>
      </c>
      <c r="O3" s="3053">
        <v>48.35</v>
      </c>
      <c r="P3" s="3053">
        <v>3512</v>
      </c>
      <c r="Q3" s="3053">
        <v>49967</v>
      </c>
      <c r="R3" s="3053">
        <v>47.59</v>
      </c>
      <c r="S3" s="3053">
        <v>3725</v>
      </c>
      <c r="T3" s="3053">
        <v>50975</v>
      </c>
      <c r="U3" s="3053">
        <v>47.94</v>
      </c>
      <c r="V3" s="3053">
        <v>3661</v>
      </c>
      <c r="W3" s="3053">
        <v>49441</v>
      </c>
      <c r="X3" s="3053">
        <v>49.65</v>
      </c>
      <c r="Y3" s="3053">
        <v>3850</v>
      </c>
      <c r="Z3" s="3053">
        <v>49401</v>
      </c>
      <c r="AA3" s="3053">
        <v>49.88</v>
      </c>
      <c r="AB3" s="3053">
        <v>3914</v>
      </c>
      <c r="AC3" s="3053">
        <v>49822</v>
      </c>
      <c r="AD3" s="3053">
        <v>52.22</v>
      </c>
      <c r="AE3" s="3053">
        <v>4019</v>
      </c>
      <c r="AF3" s="3053">
        <v>49064</v>
      </c>
      <c r="AG3" s="3053">
        <v>50.13</v>
      </c>
      <c r="AH3" s="3053">
        <v>3840</v>
      </c>
      <c r="AI3" s="3053">
        <v>49376</v>
      </c>
      <c r="AJ3" s="3053">
        <v>49.53</v>
      </c>
      <c r="AK3" s="3053">
        <v>3919</v>
      </c>
      <c r="AL3" s="3053">
        <v>49407</v>
      </c>
      <c r="AM3" s="3053">
        <v>49.52</v>
      </c>
      <c r="AN3" s="3053">
        <v>3741</v>
      </c>
      <c r="AO3" s="3053">
        <v>48888</v>
      </c>
    </row>
    <row r="4" spans="1:41">
      <c r="A4" s="3053">
        <f t="shared" ref="A4:A11" si="0">ROUND((F4+I4+L4+O4+R4+U4+X4+AA4+AD4+AG4+AJ4+AM4)/12,0)</f>
        <v>47</v>
      </c>
      <c r="B4" s="3053">
        <v>2</v>
      </c>
      <c r="C4" s="3053" t="s">
        <v>3085</v>
      </c>
      <c r="D4" s="3053" t="s">
        <v>3083</v>
      </c>
      <c r="E4" s="3053" t="s">
        <v>3084</v>
      </c>
      <c r="F4" s="3053">
        <v>45.83</v>
      </c>
      <c r="G4" s="3053">
        <v>3273</v>
      </c>
      <c r="H4" s="3053">
        <v>42791</v>
      </c>
      <c r="I4" s="3053">
        <v>44.29</v>
      </c>
      <c r="J4" s="3053">
        <v>3537</v>
      </c>
      <c r="K4" s="3053">
        <v>42678</v>
      </c>
      <c r="L4" s="3053">
        <v>43.83</v>
      </c>
      <c r="M4" s="3053">
        <v>3531</v>
      </c>
      <c r="N4" s="3053">
        <v>43242</v>
      </c>
      <c r="O4" s="3053">
        <v>45.8</v>
      </c>
      <c r="P4" s="3053">
        <v>3750</v>
      </c>
      <c r="Q4" s="3053">
        <v>45585</v>
      </c>
      <c r="R4" s="3053">
        <v>46.98</v>
      </c>
      <c r="S4" s="3053">
        <v>3490</v>
      </c>
      <c r="T4" s="3053">
        <v>46697</v>
      </c>
      <c r="U4" s="3053">
        <v>49.59</v>
      </c>
      <c r="V4" s="3053">
        <v>3825</v>
      </c>
      <c r="W4" s="3053">
        <v>46630</v>
      </c>
      <c r="X4" s="3053">
        <v>43.09</v>
      </c>
      <c r="Y4" s="3053">
        <v>3757</v>
      </c>
      <c r="Z4" s="3053">
        <v>45208</v>
      </c>
      <c r="AA4" s="3053">
        <v>54.64</v>
      </c>
      <c r="AB4" s="3053">
        <v>3794</v>
      </c>
      <c r="AC4" s="3053">
        <v>45021</v>
      </c>
      <c r="AD4" s="3053">
        <v>48.3</v>
      </c>
      <c r="AE4" s="3053">
        <v>3820</v>
      </c>
      <c r="AF4" s="3053">
        <v>46157</v>
      </c>
      <c r="AG4" s="3053">
        <v>45.99</v>
      </c>
      <c r="AH4" s="3053">
        <v>3833</v>
      </c>
      <c r="AI4" s="3053">
        <v>48575</v>
      </c>
      <c r="AJ4" s="3053">
        <v>52.23</v>
      </c>
      <c r="AK4" s="3053">
        <v>3355</v>
      </c>
      <c r="AL4" s="3053">
        <v>49471</v>
      </c>
      <c r="AM4" s="3053">
        <v>46.32</v>
      </c>
      <c r="AN4" s="3053">
        <v>3821</v>
      </c>
      <c r="AO4" s="3053">
        <v>49015</v>
      </c>
    </row>
    <row r="5" spans="1:41">
      <c r="A5" s="3053">
        <f t="shared" si="0"/>
        <v>48</v>
      </c>
      <c r="B5" s="3053">
        <v>3</v>
      </c>
      <c r="C5" s="3053" t="s">
        <v>3086</v>
      </c>
      <c r="D5" s="3053" t="s">
        <v>3083</v>
      </c>
      <c r="E5" s="3053" t="s">
        <v>3084</v>
      </c>
      <c r="F5" s="3053">
        <v>42.51</v>
      </c>
      <c r="G5" s="3053">
        <v>3366</v>
      </c>
      <c r="H5" s="3053">
        <v>49202</v>
      </c>
      <c r="I5" s="3053">
        <v>42.86</v>
      </c>
      <c r="J5" s="3053">
        <v>3450</v>
      </c>
      <c r="K5" s="3053">
        <v>49098</v>
      </c>
      <c r="L5" s="3053">
        <v>42.49</v>
      </c>
      <c r="M5" s="3053">
        <v>3430</v>
      </c>
      <c r="N5" s="3053">
        <v>49408</v>
      </c>
      <c r="O5" s="3053">
        <v>43.62</v>
      </c>
      <c r="P5" s="3053">
        <v>4349</v>
      </c>
      <c r="Q5" s="3053">
        <v>54439</v>
      </c>
      <c r="R5" s="3053">
        <v>43.69</v>
      </c>
      <c r="S5" s="3053">
        <v>4308</v>
      </c>
      <c r="T5" s="3053">
        <v>53776</v>
      </c>
      <c r="U5" s="3053">
        <v>47.94</v>
      </c>
      <c r="V5" s="3053">
        <v>4054</v>
      </c>
      <c r="W5" s="3053">
        <v>54253</v>
      </c>
      <c r="X5" s="3053">
        <v>43.3</v>
      </c>
      <c r="Y5" s="3053">
        <v>4027</v>
      </c>
      <c r="Z5" s="3053">
        <v>52516</v>
      </c>
      <c r="AA5" s="3053">
        <v>51.27</v>
      </c>
      <c r="AB5" s="3053">
        <v>4340</v>
      </c>
      <c r="AC5" s="3053">
        <v>51845</v>
      </c>
      <c r="AD5" s="3053">
        <v>52.35</v>
      </c>
      <c r="AE5" s="3053">
        <v>3354</v>
      </c>
      <c r="AF5" s="3053">
        <v>49957</v>
      </c>
      <c r="AG5" s="3053">
        <v>45.23</v>
      </c>
      <c r="AH5" s="3053">
        <v>3604</v>
      </c>
      <c r="AI5" s="3053">
        <v>50117</v>
      </c>
      <c r="AJ5" s="3053">
        <v>53.72</v>
      </c>
      <c r="AK5" s="3053">
        <v>4034</v>
      </c>
      <c r="AL5" s="3053">
        <v>55018</v>
      </c>
      <c r="AM5" s="3053">
        <v>68.180000000000007</v>
      </c>
      <c r="AN5" s="3053">
        <v>8594</v>
      </c>
      <c r="AO5" s="3053">
        <v>52814</v>
      </c>
    </row>
    <row r="6" spans="1:41">
      <c r="A6" s="3053">
        <f t="shared" si="0"/>
        <v>45</v>
      </c>
      <c r="B6" s="3053">
        <v>4</v>
      </c>
      <c r="C6" s="3053" t="s">
        <v>3087</v>
      </c>
      <c r="D6" s="3053" t="s">
        <v>3083</v>
      </c>
      <c r="E6" s="3053" t="s">
        <v>3084</v>
      </c>
      <c r="F6" s="3053">
        <v>42.04</v>
      </c>
      <c r="G6" s="3053">
        <v>3787</v>
      </c>
      <c r="H6" s="3053">
        <v>44040</v>
      </c>
      <c r="I6" s="3053">
        <v>41.03</v>
      </c>
      <c r="J6" s="3053">
        <v>3758</v>
      </c>
      <c r="K6" s="3053">
        <v>45459</v>
      </c>
      <c r="L6" s="3053">
        <v>43.42</v>
      </c>
      <c r="M6" s="3053">
        <v>3919</v>
      </c>
      <c r="N6" s="3053">
        <v>46701</v>
      </c>
      <c r="O6" s="3053">
        <v>41.6</v>
      </c>
      <c r="P6" s="3053">
        <v>4008</v>
      </c>
      <c r="Q6" s="3053">
        <v>47939</v>
      </c>
      <c r="R6" s="3053">
        <v>43.49</v>
      </c>
      <c r="S6" s="3053">
        <v>4109</v>
      </c>
      <c r="T6" s="3053">
        <v>47321</v>
      </c>
      <c r="U6" s="3053">
        <v>45.26</v>
      </c>
      <c r="V6" s="3053">
        <v>4272</v>
      </c>
      <c r="W6" s="3053">
        <v>48548</v>
      </c>
      <c r="X6" s="3053">
        <v>43.46</v>
      </c>
      <c r="Y6" s="3053">
        <v>3951</v>
      </c>
      <c r="Z6" s="3053">
        <v>50375</v>
      </c>
      <c r="AA6" s="3053">
        <v>48.91</v>
      </c>
      <c r="AB6" s="3053">
        <v>4513</v>
      </c>
      <c r="AC6" s="3053">
        <v>50047</v>
      </c>
      <c r="AD6" s="3053">
        <v>47.34</v>
      </c>
      <c r="AE6" s="3053">
        <v>4068</v>
      </c>
      <c r="AF6" s="3053">
        <v>48887</v>
      </c>
      <c r="AG6" s="3053">
        <v>47.31</v>
      </c>
      <c r="AH6" s="3053">
        <v>4005</v>
      </c>
      <c r="AI6" s="3053">
        <v>48436</v>
      </c>
      <c r="AJ6" s="3053">
        <v>48.88</v>
      </c>
      <c r="AK6" s="3053">
        <v>3985</v>
      </c>
      <c r="AL6" s="3053">
        <v>48861</v>
      </c>
      <c r="AM6" s="3053">
        <v>48.42</v>
      </c>
      <c r="AN6" s="3053">
        <v>3733</v>
      </c>
      <c r="AO6" s="3053">
        <v>49167</v>
      </c>
    </row>
    <row r="7" spans="1:41">
      <c r="A7" s="3053">
        <f>ROUND((F7+L7+R7+U7+AA7+AD7+AG7+AJ7+AM7)/9,0)</f>
        <v>50</v>
      </c>
      <c r="B7" s="3053">
        <v>5</v>
      </c>
      <c r="C7" s="3053" t="s">
        <v>3088</v>
      </c>
      <c r="D7" s="3053" t="s">
        <v>3083</v>
      </c>
      <c r="E7" s="3053" t="s">
        <v>3084</v>
      </c>
      <c r="F7" s="3053">
        <v>41.56</v>
      </c>
      <c r="G7" s="3053">
        <v>3363</v>
      </c>
      <c r="H7" s="3053">
        <v>63149</v>
      </c>
      <c r="I7" s="3053" t="s">
        <v>1298</v>
      </c>
      <c r="J7" s="3053" t="s">
        <v>1298</v>
      </c>
      <c r="K7" s="3053" t="s">
        <v>1298</v>
      </c>
      <c r="L7" s="3053">
        <v>44.09</v>
      </c>
      <c r="M7" s="3053">
        <v>3578</v>
      </c>
      <c r="N7" s="3053">
        <v>62628</v>
      </c>
      <c r="O7" s="3053" t="s">
        <v>1298</v>
      </c>
      <c r="P7" s="3053" t="s">
        <v>1298</v>
      </c>
      <c r="Q7" s="3053" t="s">
        <v>1298</v>
      </c>
      <c r="R7" s="3053">
        <v>41.4</v>
      </c>
      <c r="S7" s="3053">
        <v>3410</v>
      </c>
      <c r="T7" s="3053">
        <v>66788</v>
      </c>
      <c r="U7" s="3053">
        <v>42.8</v>
      </c>
      <c r="V7" s="3053">
        <v>3607</v>
      </c>
      <c r="W7" s="3053">
        <v>55746</v>
      </c>
      <c r="X7" s="3053" t="s">
        <v>1298</v>
      </c>
      <c r="Y7" s="3053" t="s">
        <v>1298</v>
      </c>
      <c r="Z7" s="3053" t="s">
        <v>1298</v>
      </c>
      <c r="AA7" s="3053">
        <v>59.47</v>
      </c>
      <c r="AB7" s="3053">
        <v>3920</v>
      </c>
      <c r="AC7" s="3053">
        <v>58182</v>
      </c>
      <c r="AD7" s="3053">
        <v>48.09</v>
      </c>
      <c r="AE7" s="3053">
        <v>3294</v>
      </c>
      <c r="AF7" s="3053">
        <v>59169</v>
      </c>
      <c r="AG7" s="3053">
        <v>53.07</v>
      </c>
      <c r="AH7" s="3053">
        <v>3198</v>
      </c>
      <c r="AI7" s="3053">
        <v>50991</v>
      </c>
      <c r="AJ7" s="3053">
        <v>63.68</v>
      </c>
      <c r="AK7" s="3053">
        <v>3700</v>
      </c>
      <c r="AL7" s="3053">
        <v>54179</v>
      </c>
      <c r="AM7" s="3053">
        <v>52.84</v>
      </c>
      <c r="AN7" s="3053">
        <v>3435</v>
      </c>
      <c r="AO7" s="3053">
        <v>55863</v>
      </c>
    </row>
    <row r="8" spans="1:41">
      <c r="A8" s="3053" t="e">
        <f t="shared" si="0"/>
        <v>#VALUE!</v>
      </c>
      <c r="B8" s="3053">
        <v>6</v>
      </c>
      <c r="C8" s="3053" t="s">
        <v>3089</v>
      </c>
      <c r="D8" s="3053" t="s">
        <v>3083</v>
      </c>
      <c r="E8" s="3053" t="s">
        <v>3084</v>
      </c>
      <c r="F8" s="3053">
        <v>40.42</v>
      </c>
      <c r="G8" s="3053">
        <v>3473</v>
      </c>
      <c r="H8" s="3053">
        <v>45295</v>
      </c>
      <c r="I8" s="3053" t="s">
        <v>1298</v>
      </c>
      <c r="J8" s="3053" t="s">
        <v>1298</v>
      </c>
      <c r="K8" s="3053" t="s">
        <v>1298</v>
      </c>
      <c r="L8" s="3053" t="s">
        <v>1298</v>
      </c>
      <c r="M8" s="3053" t="s">
        <v>1298</v>
      </c>
      <c r="N8" s="3053" t="s">
        <v>1298</v>
      </c>
      <c r="O8" s="3053" t="s">
        <v>1298</v>
      </c>
      <c r="P8" s="3053" t="s">
        <v>1298</v>
      </c>
      <c r="Q8" s="3053" t="s">
        <v>1298</v>
      </c>
      <c r="R8" s="3053" t="s">
        <v>1298</v>
      </c>
      <c r="S8" s="3053" t="s">
        <v>1298</v>
      </c>
      <c r="T8" s="3053" t="s">
        <v>1298</v>
      </c>
      <c r="U8" s="3053" t="s">
        <v>1298</v>
      </c>
      <c r="V8" s="3053" t="s">
        <v>1298</v>
      </c>
      <c r="W8" s="3053" t="s">
        <v>1298</v>
      </c>
      <c r="X8" s="3053" t="s">
        <v>1298</v>
      </c>
      <c r="Y8" s="3053" t="s">
        <v>1298</v>
      </c>
      <c r="Z8" s="3053" t="s">
        <v>1298</v>
      </c>
      <c r="AA8" s="3053" t="s">
        <v>1298</v>
      </c>
      <c r="AB8" s="3053" t="s">
        <v>1298</v>
      </c>
      <c r="AC8" s="3053" t="s">
        <v>1298</v>
      </c>
      <c r="AD8" s="3053" t="s">
        <v>1298</v>
      </c>
      <c r="AE8" s="3053" t="s">
        <v>1298</v>
      </c>
      <c r="AF8" s="3053" t="s">
        <v>1298</v>
      </c>
      <c r="AG8" s="3053" t="s">
        <v>1298</v>
      </c>
      <c r="AH8" s="3053" t="s">
        <v>1298</v>
      </c>
      <c r="AI8" s="3053" t="s">
        <v>1298</v>
      </c>
      <c r="AJ8" s="3053" t="s">
        <v>1298</v>
      </c>
      <c r="AK8" s="3053" t="s">
        <v>1298</v>
      </c>
      <c r="AL8" s="3053" t="s">
        <v>1298</v>
      </c>
      <c r="AM8" s="3053" t="s">
        <v>1298</v>
      </c>
      <c r="AN8" s="3053" t="s">
        <v>1298</v>
      </c>
      <c r="AO8" s="3053" t="s">
        <v>1298</v>
      </c>
    </row>
    <row r="9" spans="1:41">
      <c r="A9" s="3053">
        <f t="shared" si="0"/>
        <v>45</v>
      </c>
      <c r="B9" s="3053">
        <v>7</v>
      </c>
      <c r="C9" s="3053" t="s">
        <v>3090</v>
      </c>
      <c r="D9" s="3053" t="s">
        <v>3083</v>
      </c>
      <c r="E9" s="3053" t="s">
        <v>3084</v>
      </c>
      <c r="F9" s="3053">
        <v>40.32</v>
      </c>
      <c r="G9" s="3053">
        <v>3475</v>
      </c>
      <c r="H9" s="3053">
        <v>46638</v>
      </c>
      <c r="I9" s="3053">
        <v>39.869999999999997</v>
      </c>
      <c r="J9" s="3053">
        <v>3487</v>
      </c>
      <c r="K9" s="3053">
        <v>47008</v>
      </c>
      <c r="L9" s="3053">
        <v>43.1</v>
      </c>
      <c r="M9" s="3053">
        <v>3719</v>
      </c>
      <c r="N9" s="3053">
        <v>47788</v>
      </c>
      <c r="O9" s="3053">
        <v>43.64</v>
      </c>
      <c r="P9" s="3053">
        <v>3617</v>
      </c>
      <c r="Q9" s="3053">
        <v>49285</v>
      </c>
      <c r="R9" s="3053">
        <v>43.52</v>
      </c>
      <c r="S9" s="3053">
        <v>4090</v>
      </c>
      <c r="T9" s="3053">
        <v>49763</v>
      </c>
      <c r="U9" s="3053">
        <v>43.43</v>
      </c>
      <c r="V9" s="3053">
        <v>4450</v>
      </c>
      <c r="W9" s="3053">
        <v>50041</v>
      </c>
      <c r="X9" s="3053">
        <v>44.56</v>
      </c>
      <c r="Y9" s="3053">
        <v>4250</v>
      </c>
      <c r="Z9" s="3053">
        <v>50091</v>
      </c>
      <c r="AA9" s="3053">
        <v>49.78</v>
      </c>
      <c r="AB9" s="3053">
        <v>4701</v>
      </c>
      <c r="AC9" s="3053">
        <v>49436</v>
      </c>
      <c r="AD9" s="3053">
        <v>48.11</v>
      </c>
      <c r="AE9" s="3053">
        <v>4745</v>
      </c>
      <c r="AF9" s="3053">
        <v>48701</v>
      </c>
      <c r="AG9" s="3053">
        <v>49.46</v>
      </c>
      <c r="AH9" s="3053">
        <v>4439</v>
      </c>
      <c r="AI9" s="3053">
        <v>48285</v>
      </c>
      <c r="AJ9" s="3053">
        <v>49.4</v>
      </c>
      <c r="AK9" s="3053">
        <v>4234</v>
      </c>
      <c r="AL9" s="3053">
        <v>48896</v>
      </c>
      <c r="AM9" s="3053">
        <v>48.86</v>
      </c>
      <c r="AN9" s="3053">
        <v>4007</v>
      </c>
      <c r="AO9" s="3053">
        <v>49551</v>
      </c>
    </row>
    <row r="10" spans="1:41">
      <c r="A10" s="3053">
        <f t="shared" si="0"/>
        <v>44</v>
      </c>
      <c r="B10" s="3053">
        <v>8</v>
      </c>
      <c r="C10" s="3053" t="s">
        <v>3091</v>
      </c>
      <c r="D10" s="3053" t="s">
        <v>3083</v>
      </c>
      <c r="E10" s="3053" t="s">
        <v>3084</v>
      </c>
      <c r="F10" s="3053">
        <v>40.29</v>
      </c>
      <c r="G10" s="3053">
        <v>3120</v>
      </c>
      <c r="H10" s="3053">
        <v>40922</v>
      </c>
      <c r="I10" s="3053">
        <v>40.299999999999997</v>
      </c>
      <c r="J10" s="3053">
        <v>3167</v>
      </c>
      <c r="K10" s="3053">
        <v>40517</v>
      </c>
      <c r="L10" s="3053">
        <v>40.270000000000003</v>
      </c>
      <c r="M10" s="3053">
        <v>3188</v>
      </c>
      <c r="N10" s="3053">
        <v>40116</v>
      </c>
      <c r="O10" s="3053">
        <v>42.12</v>
      </c>
      <c r="P10" s="3053">
        <v>3266</v>
      </c>
      <c r="Q10" s="3053">
        <v>56089</v>
      </c>
      <c r="R10" s="3053">
        <v>42.41</v>
      </c>
      <c r="S10" s="3053">
        <v>3265</v>
      </c>
      <c r="T10" s="3053">
        <v>54263</v>
      </c>
      <c r="U10" s="3053">
        <v>44.71</v>
      </c>
      <c r="V10" s="3053">
        <v>3537</v>
      </c>
      <c r="W10" s="3053">
        <v>53284</v>
      </c>
      <c r="X10" s="3053">
        <v>42.27</v>
      </c>
      <c r="Y10" s="3053">
        <v>3271</v>
      </c>
      <c r="Z10" s="3053">
        <v>54482</v>
      </c>
      <c r="AA10" s="3053">
        <v>42.92</v>
      </c>
      <c r="AB10" s="3053">
        <v>3654</v>
      </c>
      <c r="AC10" s="3053">
        <v>53387</v>
      </c>
      <c r="AD10" s="3053">
        <v>46.33</v>
      </c>
      <c r="AE10" s="3053">
        <v>3362</v>
      </c>
      <c r="AF10" s="3053">
        <v>56374</v>
      </c>
      <c r="AG10" s="3053">
        <v>47.92</v>
      </c>
      <c r="AH10" s="3053">
        <v>3414</v>
      </c>
      <c r="AI10" s="3053">
        <v>55986</v>
      </c>
      <c r="AJ10" s="3053">
        <v>48.82</v>
      </c>
      <c r="AK10" s="3053">
        <v>3606</v>
      </c>
      <c r="AL10" s="3053">
        <v>59929</v>
      </c>
      <c r="AM10" s="3053">
        <v>44.67</v>
      </c>
      <c r="AN10" s="3053">
        <v>3390</v>
      </c>
      <c r="AO10" s="3053">
        <v>57790</v>
      </c>
    </row>
    <row r="11" spans="1:41">
      <c r="A11" s="3053" t="e">
        <f t="shared" si="0"/>
        <v>#VALUE!</v>
      </c>
      <c r="B11" s="3053">
        <v>9</v>
      </c>
      <c r="C11" s="3053" t="s">
        <v>3092</v>
      </c>
      <c r="D11" s="3053" t="s">
        <v>3083</v>
      </c>
      <c r="E11" s="3053" t="s">
        <v>3084</v>
      </c>
      <c r="F11" s="3053">
        <v>40.24</v>
      </c>
      <c r="G11" s="3053">
        <v>3014</v>
      </c>
      <c r="H11" s="3053">
        <v>34787</v>
      </c>
      <c r="I11" s="3053" t="s">
        <v>1298</v>
      </c>
      <c r="J11" s="3053" t="s">
        <v>1298</v>
      </c>
      <c r="K11" s="3053" t="s">
        <v>1298</v>
      </c>
      <c r="L11" s="3053">
        <v>42.27</v>
      </c>
      <c r="M11" s="3053">
        <v>3040</v>
      </c>
      <c r="N11" s="3053">
        <v>35509</v>
      </c>
      <c r="O11" s="3053">
        <v>42.31</v>
      </c>
      <c r="P11" s="3053">
        <v>3144</v>
      </c>
      <c r="Q11" s="3053">
        <v>35859</v>
      </c>
      <c r="R11" s="3053">
        <v>43.55</v>
      </c>
      <c r="S11" s="3053">
        <v>3121</v>
      </c>
      <c r="T11" s="3053">
        <v>35992</v>
      </c>
      <c r="U11" s="3053">
        <v>42.09</v>
      </c>
      <c r="V11" s="3053">
        <v>3162</v>
      </c>
      <c r="W11" s="3053">
        <v>37670</v>
      </c>
      <c r="X11" s="3053">
        <v>44.19</v>
      </c>
      <c r="Y11" s="3053">
        <v>3080</v>
      </c>
      <c r="Z11" s="3053">
        <v>38967</v>
      </c>
      <c r="AA11" s="3053">
        <v>43.2</v>
      </c>
      <c r="AB11" s="3053">
        <v>3217</v>
      </c>
      <c r="AC11" s="3053">
        <v>38673</v>
      </c>
      <c r="AD11" s="3053">
        <v>42.8</v>
      </c>
      <c r="AE11" s="3053">
        <v>3330</v>
      </c>
      <c r="AF11" s="3053">
        <v>37233</v>
      </c>
      <c r="AG11" s="3053">
        <v>43.82</v>
      </c>
      <c r="AH11" s="3053">
        <v>3527</v>
      </c>
      <c r="AI11" s="3053">
        <v>39574</v>
      </c>
      <c r="AJ11" s="3053">
        <v>45.6</v>
      </c>
      <c r="AK11" s="3053">
        <v>3504</v>
      </c>
      <c r="AL11" s="3053">
        <v>41195</v>
      </c>
      <c r="AM11" s="3053">
        <v>45.37</v>
      </c>
      <c r="AN11" s="3053">
        <v>3454</v>
      </c>
      <c r="AO11" s="3053">
        <v>44988</v>
      </c>
    </row>
  </sheetData>
  <mergeCells count="12">
    <mergeCell ref="AM1:AO1"/>
    <mergeCell ref="F1:H1"/>
    <mergeCell ref="I1:K1"/>
    <mergeCell ref="L1:N1"/>
    <mergeCell ref="O1:Q1"/>
    <mergeCell ref="R1:T1"/>
    <mergeCell ref="U1:W1"/>
    <mergeCell ref="X1:Z1"/>
    <mergeCell ref="AA1:AC1"/>
    <mergeCell ref="AD1:AF1"/>
    <mergeCell ref="AG1:AI1"/>
    <mergeCell ref="AJ1:AL1"/>
  </mergeCells>
  <phoneticPr fontId="140"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509" t="s">
        <v>1117</v>
      </c>
      <c r="C1" s="3509"/>
      <c r="D1" s="3509"/>
      <c r="E1" s="3509"/>
      <c r="F1" s="3509"/>
      <c r="G1" s="3508" t="s">
        <v>1118</v>
      </c>
      <c r="H1" s="3508"/>
      <c r="I1" s="3508"/>
      <c r="J1" s="3508"/>
      <c r="K1" s="3508"/>
      <c r="L1" s="3508"/>
      <c r="N1" s="3508" t="s">
        <v>1119</v>
      </c>
      <c r="O1" s="3508"/>
      <c r="P1" s="3508"/>
      <c r="Q1" s="3508"/>
      <c r="S1" s="3508" t="s">
        <v>1120</v>
      </c>
      <c r="T1" s="3508"/>
      <c r="U1" s="3508"/>
      <c r="V1" s="3508"/>
      <c r="X1" s="3507" t="s">
        <v>1121</v>
      </c>
      <c r="Y1" s="3508"/>
      <c r="Z1" s="3508"/>
      <c r="AA1" s="3508"/>
      <c r="AB1" s="3508"/>
      <c r="AD1" s="3507" t="s">
        <v>1122</v>
      </c>
      <c r="AE1" s="3508"/>
      <c r="AF1" s="3508"/>
      <c r="AG1" s="3508"/>
      <c r="AH1" s="3508"/>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2852</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3">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2853</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3057</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3">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3055</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0">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2869</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2867</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2866</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2865</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2863</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2861</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2864</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505">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2859</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505"/>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2858</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505"/>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2851</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514"/>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2849</v>
      </c>
      <c r="B18" s="2439">
        <v>439</v>
      </c>
      <c r="C18" s="2439">
        <v>327</v>
      </c>
      <c r="D18" s="2439">
        <f>C18</f>
        <v>327</v>
      </c>
      <c r="E18" s="2439">
        <v>627</v>
      </c>
      <c r="F18" s="2440">
        <v>283</v>
      </c>
      <c r="G18" s="3510">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2850</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505"/>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505"/>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514"/>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510">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505"/>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505"/>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506"/>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504">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505"/>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505"/>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506"/>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504">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505"/>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505"/>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506"/>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511">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512"/>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512"/>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513"/>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504">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505"/>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505"/>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506"/>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504">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505">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505">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506">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504">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505">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505">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506">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504">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505">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505">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506">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504">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505">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505">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506">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504">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505">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505">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506">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504">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505">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505">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506">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504">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505">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505">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506">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504">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505">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505">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506">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504">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505">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505">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506">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504">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505">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505">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506">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518" t="s">
        <v>2822</v>
      </c>
      <c r="D1" s="3519"/>
      <c r="E1" s="3519"/>
      <c r="F1" s="3519"/>
      <c r="G1" s="3519"/>
      <c r="H1" s="3519"/>
      <c r="I1" s="3519"/>
      <c r="J1" s="3519"/>
      <c r="K1" s="3519"/>
      <c r="L1" s="3519"/>
      <c r="M1" s="3519"/>
      <c r="N1" s="3519"/>
      <c r="O1" s="3519"/>
      <c r="P1" s="3519"/>
      <c r="Q1" s="3519"/>
      <c r="R1" s="3519"/>
      <c r="S1" s="3520"/>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2825</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2826</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2827</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2831</v>
      </c>
      <c r="B17" s="2366"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2833</v>
      </c>
      <c r="E19" s="1525"/>
      <c r="F19" s="1525"/>
      <c r="G19" s="1525"/>
      <c r="H19" s="1190"/>
      <c r="I19" s="164"/>
      <c r="J19" s="164"/>
      <c r="K19" s="164"/>
      <c r="L19" s="164"/>
      <c r="M19" s="164"/>
      <c r="N19" s="164"/>
      <c r="O19" s="164"/>
      <c r="P19" s="164"/>
      <c r="Q19" s="164"/>
      <c r="R19" s="727"/>
      <c r="S19" s="134"/>
    </row>
    <row r="20" spans="1:45" ht="16.5" thickBot="1">
      <c r="A20" s="671" t="s">
        <v>2834</v>
      </c>
      <c r="B20" s="300" t="e">
        <f ca="1">IF(D20="——",S22,S22-F20)</f>
        <v>#REF!</v>
      </c>
      <c r="C20" s="164"/>
      <c r="D20" s="2368"/>
      <c r="E20" s="1526"/>
      <c r="F20" s="1114" t="e">
        <f ca="1">SUMIF(INDIRECT("'"&amp;H20&amp;"'"&amp;"!A:A"),"承租人权益价值",INDIRECT("'"&amp;H20&amp;"'"&amp;"!c:c"))</f>
        <v>#REF!</v>
      </c>
      <c r="G20" s="1114" t="s">
        <v>2835</v>
      </c>
      <c r="H20" s="2369"/>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515" t="s">
        <v>33</v>
      </c>
      <c r="D22" s="3516"/>
      <c r="E22" s="3516"/>
      <c r="F22" s="3516"/>
      <c r="G22" s="3516"/>
      <c r="H22" s="3516"/>
      <c r="I22" s="3516"/>
      <c r="J22" s="3516"/>
      <c r="K22" s="3516"/>
      <c r="L22" s="3516"/>
      <c r="M22" s="3516"/>
      <c r="N22" s="3516"/>
      <c r="O22" s="3516"/>
      <c r="P22" s="3516"/>
      <c r="Q22" s="3517"/>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34012</v>
      </c>
      <c r="C2" s="2" t="s">
        <v>133</v>
      </c>
      <c r="D2" s="205"/>
      <c r="E2" s="205"/>
      <c r="F2" s="205"/>
      <c r="G2" s="205"/>
    </row>
    <row r="3" spans="1:7" s="206" customFormat="1" ht="18" customHeight="1" thickBot="1">
      <c r="A3" s="209" t="s">
        <v>85</v>
      </c>
      <c r="B3" s="210">
        <f ca="1">ROUND(B2*10000/'数据-汇总表'!E3,0)</f>
        <v>20327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237</v>
      </c>
      <c r="D9" s="954">
        <f>'数据-汇总表'!E5</f>
        <v>13966.28</v>
      </c>
      <c r="E9" s="231">
        <f>'数据-取费表'!B27</f>
        <v>170</v>
      </c>
      <c r="F9" s="227"/>
      <c r="G9" s="232"/>
    </row>
    <row r="10" spans="1:7" s="220" customFormat="1" ht="13.5" customHeight="1">
      <c r="A10" s="887" t="s">
        <v>801</v>
      </c>
      <c r="B10" s="230" t="s">
        <v>94</v>
      </c>
      <c r="C10" s="231">
        <f>ROUND(D10*E10/10000,0)</f>
        <v>55</v>
      </c>
      <c r="D10" s="954">
        <f>'数据-汇总表'!E6</f>
        <v>2765.7800000000007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335</v>
      </c>
      <c r="D19" s="958">
        <f>'数据-汇总表'!E3</f>
        <v>16732.060000000001</v>
      </c>
      <c r="E19" s="217">
        <f>'数据-取费表'!B31</f>
        <v>200</v>
      </c>
      <c r="F19" s="237"/>
      <c r="G19" s="1" t="s">
        <v>1042</v>
      </c>
    </row>
    <row r="20" spans="1:7" s="220" customFormat="1" ht="13.5" customHeight="1">
      <c r="A20" s="885" t="s">
        <v>1025</v>
      </c>
      <c r="B20" s="216" t="s">
        <v>104</v>
      </c>
      <c r="C20" s="238">
        <f>ROUND((C5+C19)*F20,0)</f>
        <v>628</v>
      </c>
      <c r="D20" s="238"/>
      <c r="E20" s="238"/>
      <c r="F20" s="239">
        <f>'数据-取费表'!B37</f>
        <v>0.03</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1668</v>
      </c>
      <c r="D22" s="241">
        <f ca="1">C26</f>
        <v>4.0000000000000002E-4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26</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2157</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2157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27128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5784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4888</v>
      </c>
      <c r="D34" s="223"/>
      <c r="E34" s="226"/>
      <c r="F34" s="263">
        <f>IF('数据-取费表'!B24=0,1,'数据-取费表'!N16)</f>
        <v>1</v>
      </c>
      <c r="G34" s="225" t="s">
        <v>116</v>
      </c>
    </row>
    <row r="35" spans="1:7" ht="13.5" customHeight="1">
      <c r="A35" s="888" t="s">
        <v>796</v>
      </c>
      <c r="B35" s="221" t="s">
        <v>60</v>
      </c>
      <c r="C35" s="226">
        <f>ROUND(C34*F35,0)</f>
        <v>244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244</v>
      </c>
      <c r="D36" s="226"/>
      <c r="E36" s="226"/>
      <c r="F36" s="265">
        <f>'数据-取费表'!B34</f>
        <v>0.05</v>
      </c>
      <c r="G36" s="266" t="s">
        <v>62</v>
      </c>
    </row>
    <row r="37" spans="1:7" s="264" customFormat="1" ht="13.5" customHeight="1">
      <c r="A37" s="888" t="s">
        <v>798</v>
      </c>
      <c r="B37" s="221" t="s">
        <v>118</v>
      </c>
      <c r="C37" s="255">
        <f>ROUND(E37*D37*F34/10000,0)</f>
        <v>335</v>
      </c>
      <c r="D37" s="223">
        <f>'数据-汇总表'!E3</f>
        <v>16732.060000000001</v>
      </c>
      <c r="E37" s="255">
        <f>'数据-取费表'!B35</f>
        <v>200</v>
      </c>
      <c r="F37" s="265"/>
      <c r="G37" s="267" t="s">
        <v>119</v>
      </c>
    </row>
    <row r="38" spans="1:7" ht="13.5" customHeight="1">
      <c r="A38" s="888" t="s">
        <v>799</v>
      </c>
      <c r="B38" s="221" t="s">
        <v>63</v>
      </c>
      <c r="C38" s="226">
        <f>ROUND(C34*F38,0)</f>
        <v>73</v>
      </c>
      <c r="D38" s="226"/>
      <c r="E38" s="226"/>
      <c r="F38" s="265">
        <f>'数据-取费表'!B36</f>
        <v>1.4999999999999999E-2</v>
      </c>
      <c r="G38" s="225" t="s">
        <v>117</v>
      </c>
    </row>
    <row r="39" spans="1:7" s="220" customFormat="1" ht="13.5" customHeight="1">
      <c r="A39" s="885" t="s">
        <v>783</v>
      </c>
      <c r="B39" s="216" t="s">
        <v>104</v>
      </c>
      <c r="C39" s="238">
        <f>ROUND(C33*F20,0)</f>
        <v>174</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230</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223</v>
      </c>
      <c r="D42" s="244"/>
      <c r="E42" s="244"/>
      <c r="F42" s="245"/>
      <c r="G42" s="3353" t="s">
        <v>121</v>
      </c>
    </row>
    <row r="43" spans="1:7" ht="13.5" customHeight="1">
      <c r="A43" s="888" t="s">
        <v>792</v>
      </c>
      <c r="B43" s="221" t="s">
        <v>1032</v>
      </c>
      <c r="C43" s="244">
        <f ca="1">ROUND(IF('数据-取费表'!B22&lt;=1,C39*F22*'数据-取费表'!B21/2,C39*(POWER((1+F22),'数据-取费表'!B21/2)-1)),0)</f>
        <v>7</v>
      </c>
      <c r="D43" s="244"/>
      <c r="E43" s="244"/>
      <c r="F43" s="245"/>
      <c r="G43" s="3354"/>
    </row>
    <row r="44" spans="1:7" ht="13.5" customHeight="1">
      <c r="A44" s="888" t="s">
        <v>793</v>
      </c>
      <c r="B44" s="221" t="s">
        <v>1034</v>
      </c>
      <c r="C44" s="244">
        <f ca="1">ROUND(IF('数据-取费表'!B22&lt;=1,C40*F22*'数据-取费表'!B21/2,C40*(POWER((1+F22),'数据-取费表'!B21/2)-1)),4)</f>
        <v>4.0000000000000002E-4</v>
      </c>
      <c r="D44" s="244"/>
      <c r="E44" s="244"/>
      <c r="F44" s="245"/>
      <c r="G44" s="3355"/>
    </row>
    <row r="45" spans="1:7" s="220" customFormat="1" ht="13.5" customHeight="1">
      <c r="A45" s="885" t="s">
        <v>786</v>
      </c>
      <c r="B45" s="250" t="s">
        <v>112</v>
      </c>
      <c r="C45" s="251">
        <f>C46</f>
        <v>596</v>
      </c>
      <c r="D45" s="241">
        <f>C47</f>
        <v>1E-3</v>
      </c>
      <c r="E45" s="242" t="s">
        <v>129</v>
      </c>
      <c r="F45" s="252"/>
      <c r="G45" s="253" t="s">
        <v>1040</v>
      </c>
    </row>
    <row r="46" spans="1:7" s="220" customFormat="1" ht="13.5" customHeight="1">
      <c r="A46" s="888" t="s">
        <v>794</v>
      </c>
      <c r="B46" s="254" t="s">
        <v>1033</v>
      </c>
      <c r="C46" s="255">
        <f>ROUND((C33+C39)*F27,0)</f>
        <v>596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7246</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6884</v>
      </c>
      <c r="D51" s="238"/>
      <c r="E51" s="238"/>
      <c r="F51" s="270"/>
      <c r="G51" s="240" t="s">
        <v>64</v>
      </c>
    </row>
    <row r="52" spans="1:7" s="214" customFormat="1" ht="16.5" thickBot="1">
      <c r="A52" s="271" t="s">
        <v>65</v>
      </c>
      <c r="B52" s="272"/>
      <c r="C52" s="273">
        <f ca="1">C31+C51</f>
        <v>34012</v>
      </c>
      <c r="D52" s="272"/>
      <c r="E52" s="272"/>
      <c r="F52" s="272"/>
      <c r="G52" s="274"/>
    </row>
    <row r="55" spans="1:7" ht="15">
      <c r="B55" s="276" t="s">
        <v>66</v>
      </c>
      <c r="C55" s="277"/>
    </row>
    <row r="56" spans="1:7">
      <c r="B56" s="279" t="s">
        <v>67</v>
      </c>
      <c r="C56" s="280">
        <f ca="1">ROUND(C51/C52,3)</f>
        <v>0.20200000000000001</v>
      </c>
    </row>
    <row r="57" spans="1:7">
      <c r="B57" s="279" t="s">
        <v>68</v>
      </c>
      <c r="C57" s="281">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1" t="s">
        <v>156</v>
      </c>
      <c r="B1" s="3521"/>
      <c r="C1" s="3521"/>
      <c r="D1" s="3521"/>
      <c r="E1" s="3521"/>
      <c r="F1" s="35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2" t="s">
        <v>169</v>
      </c>
      <c r="B2" s="3522"/>
      <c r="C2" s="3522"/>
      <c r="D2" s="3522"/>
      <c r="E2" s="3522"/>
      <c r="F2" s="35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1" t="s">
        <v>839</v>
      </c>
      <c r="B1" s="352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44256</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58" t="str">
        <f>IF(项目基本情况!B9="房地产市场价值","估价结果一览表","结果表-2")</f>
        <v>估价结果一览表</v>
      </c>
      <c r="B1" s="3158"/>
      <c r="C1" s="3158"/>
      <c r="D1" s="3158"/>
      <c r="E1" s="3158"/>
      <c r="F1" s="3158"/>
      <c r="G1" s="3158"/>
      <c r="H1" s="3158"/>
      <c r="I1" s="3158"/>
    </row>
    <row r="2" spans="1:9" ht="30" customHeight="1" thickTop="1">
      <c r="A2" s="3159" t="s">
        <v>1606</v>
      </c>
      <c r="B2" s="3159" t="s">
        <v>1607</v>
      </c>
      <c r="C2" s="3159" t="s">
        <v>1608</v>
      </c>
      <c r="D2" s="3159" t="str">
        <f>结果表!D116</f>
        <v>出让国有建设用地使用权价值</v>
      </c>
      <c r="E2" s="3159"/>
      <c r="F2" s="3159" t="str">
        <f>结果表!F116</f>
        <v>在建建筑物价值</v>
      </c>
      <c r="G2" s="3159"/>
      <c r="H2" s="3159" t="str">
        <f>IF(项目基本情况!B9="房地产市场价值","房地产市场价值","房地产价值")</f>
        <v>房地产市场价值</v>
      </c>
      <c r="I2" s="3159"/>
    </row>
    <row r="3" spans="1:9" ht="15">
      <c r="A3" s="3153"/>
      <c r="B3" s="3153"/>
      <c r="C3" s="3153"/>
      <c r="D3" s="963" t="s">
        <v>1603</v>
      </c>
      <c r="E3" s="963" t="s">
        <v>1609</v>
      </c>
      <c r="F3" s="963" t="s">
        <v>1603</v>
      </c>
      <c r="G3" s="963" t="s">
        <v>1604</v>
      </c>
      <c r="H3" s="963" t="s">
        <v>1603</v>
      </c>
      <c r="I3" s="963" t="s">
        <v>1604</v>
      </c>
    </row>
    <row r="4" spans="1:9" ht="15">
      <c r="A4" s="1691" t="str">
        <f>项目基本情况!S2</f>
        <v>北京市房地产</v>
      </c>
      <c r="B4" s="963">
        <f>项目基本情况!C17</f>
        <v>16732.060000000001</v>
      </c>
      <c r="C4" s="963">
        <f>项目基本情况!C18</f>
        <v>16732.060000000001</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53" t="s">
        <v>1605</v>
      </c>
      <c r="B5" s="3153"/>
      <c r="C5" s="3153"/>
      <c r="D5" s="3154" t="e">
        <f ca="1">结果表!D119</f>
        <v>#REF!</v>
      </c>
      <c r="E5" s="3154"/>
      <c r="F5" s="3154" t="e">
        <f ca="1">结果表!F119</f>
        <v>#REF!</v>
      </c>
      <c r="G5" s="3154"/>
      <c r="H5" s="3154" t="e">
        <f ca="1">结果表!H119</f>
        <v>#REF!</v>
      </c>
      <c r="I5" s="3154"/>
    </row>
    <row r="6" spans="1:9" ht="15.75">
      <c r="A6" s="3152" t="str">
        <f>结果表!A120</f>
        <v/>
      </c>
      <c r="B6" s="3152"/>
      <c r="C6" s="3152"/>
      <c r="D6" s="3152">
        <f>结果表!D120</f>
        <v>0</v>
      </c>
      <c r="E6" s="3152"/>
      <c r="F6" s="3152"/>
      <c r="G6" s="3152"/>
      <c r="H6" s="3152"/>
      <c r="I6" s="3152"/>
    </row>
    <row r="7" spans="1:9" ht="15">
      <c r="A7" s="3153" t="s">
        <v>1605</v>
      </c>
      <c r="B7" s="3153"/>
      <c r="C7" s="3153"/>
      <c r="D7" s="3155" t="str">
        <f>结果表!D121</f>
        <v>零元整</v>
      </c>
      <c r="E7" s="3156"/>
      <c r="F7" s="3156"/>
      <c r="G7" s="3156"/>
      <c r="H7" s="3156"/>
      <c r="I7" s="3157"/>
    </row>
    <row r="8" spans="1:9" ht="15.75">
      <c r="A8" s="3152" t="str">
        <f>结果表!A122</f>
        <v/>
      </c>
      <c r="B8" s="3152"/>
      <c r="C8" s="3152"/>
      <c r="D8" s="3152" t="e">
        <f ca="1">结果表!D122</f>
        <v>#REF!</v>
      </c>
      <c r="E8" s="3152"/>
      <c r="F8" s="3152"/>
      <c r="G8" s="3152"/>
      <c r="H8" s="3152"/>
      <c r="I8" s="3152"/>
    </row>
    <row r="9" spans="1:9" ht="15">
      <c r="A9" s="3153" t="s">
        <v>1605</v>
      </c>
      <c r="B9" s="3153"/>
      <c r="C9" s="3153"/>
      <c r="D9" s="3154" t="e">
        <f ca="1">结果表!D123</f>
        <v>#REF!</v>
      </c>
      <c r="E9" s="3154"/>
      <c r="F9" s="3154"/>
      <c r="G9" s="3154"/>
      <c r="H9" s="3154"/>
      <c r="I9" s="3154"/>
    </row>
    <row r="10" spans="1:9" ht="15.75">
      <c r="A10" s="3152" t="str">
        <f>结果表!A124</f>
        <v/>
      </c>
      <c r="B10" s="3152"/>
      <c r="C10" s="3152"/>
      <c r="D10" s="3152" t="str">
        <f>结果表!D124</f>
        <v>——</v>
      </c>
      <c r="E10" s="3152"/>
      <c r="F10" s="3152"/>
      <c r="G10" s="3152"/>
      <c r="H10" s="3152"/>
      <c r="I10" s="3152"/>
    </row>
    <row r="11" spans="1:9" ht="15">
      <c r="A11" s="3153" t="s">
        <v>1605</v>
      </c>
      <c r="B11" s="3153"/>
      <c r="C11" s="3153"/>
      <c r="D11" s="3154" t="e">
        <f>结果表!D125</f>
        <v>#VALUE!</v>
      </c>
      <c r="E11" s="3154"/>
      <c r="F11" s="3154"/>
      <c r="G11" s="3154"/>
      <c r="H11" s="3154"/>
      <c r="I11" s="3154"/>
    </row>
    <row r="12" spans="1:9" ht="15.75">
      <c r="A12" s="3152" t="str">
        <f>结果表!A126</f>
        <v/>
      </c>
      <c r="B12" s="3152"/>
      <c r="C12" s="3152"/>
      <c r="D12" s="3152" t="str">
        <f>结果表!D126</f>
        <v>——</v>
      </c>
      <c r="E12" s="3152"/>
      <c r="F12" s="3152"/>
      <c r="G12" s="3152"/>
      <c r="H12" s="3152"/>
      <c r="I12" s="3152"/>
    </row>
    <row r="13" spans="1:9" ht="15.75" thickBot="1">
      <c r="A13" s="3149" t="s">
        <v>1605</v>
      </c>
      <c r="B13" s="3149"/>
      <c r="C13" s="3149"/>
      <c r="D13" s="3150" t="e">
        <f>结果表!D127</f>
        <v>#VALUE!</v>
      </c>
      <c r="E13" s="3150"/>
      <c r="F13" s="3150"/>
      <c r="G13" s="3150"/>
      <c r="H13" s="3150"/>
      <c r="I13" s="3150"/>
    </row>
    <row r="14" spans="1:9" ht="15" thickTop="1">
      <c r="A14" s="3151" t="s">
        <v>1610</v>
      </c>
      <c r="B14" s="3151"/>
      <c r="C14" s="3151"/>
      <c r="D14" s="3151"/>
      <c r="E14" s="3151"/>
      <c r="F14" s="3151"/>
      <c r="G14" s="3151"/>
      <c r="H14" s="3151"/>
      <c r="I14" s="3151"/>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66" t="s">
        <v>1627</v>
      </c>
      <c r="B1" s="3166"/>
      <c r="C1" s="3166"/>
      <c r="D1" s="3166"/>
    </row>
    <row r="2" spans="1:4" ht="18">
      <c r="A2" s="3167" t="s">
        <v>1611</v>
      </c>
      <c r="B2" s="3167"/>
      <c r="C2" s="3167"/>
      <c r="D2" s="3167"/>
    </row>
    <row r="3" spans="1:4" ht="18.75">
      <c r="A3" s="1695" t="s">
        <v>1612</v>
      </c>
      <c r="B3" s="1695" t="s">
        <v>1613</v>
      </c>
      <c r="C3" s="1695" t="s">
        <v>1614</v>
      </c>
      <c r="D3" s="1695" t="s">
        <v>1615</v>
      </c>
    </row>
    <row r="4" spans="1:4" ht="56.25" customHeight="1">
      <c r="A4" s="1696" t="str">
        <f>项目基本情况!B4</f>
        <v>陈颖</v>
      </c>
      <c r="B4" s="1697">
        <f ca="1">项目基本情况!C4</f>
        <v>1120060040</v>
      </c>
      <c r="C4" s="1698"/>
      <c r="D4" s="1699" t="s">
        <v>1616</v>
      </c>
    </row>
    <row r="5" spans="1:4" ht="56.25" customHeight="1">
      <c r="A5" s="1696" t="str">
        <f>项目基本情况!D4</f>
        <v>叶凌</v>
      </c>
      <c r="B5" s="1697">
        <f ca="1">项目基本情况!E4</f>
        <v>1119970111</v>
      </c>
      <c r="C5" s="1700"/>
      <c r="D5" s="1699" t="s">
        <v>1616</v>
      </c>
    </row>
    <row r="6" spans="1:4" ht="18">
      <c r="A6" s="3167" t="s">
        <v>1617</v>
      </c>
      <c r="B6" s="3167"/>
      <c r="C6" s="3167"/>
      <c r="D6" s="3167"/>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68" t="s">
        <v>1620</v>
      </c>
      <c r="B11" s="3160"/>
      <c r="C11" s="3160"/>
      <c r="D11" s="3160"/>
    </row>
    <row r="12" spans="1:4" ht="15.75">
      <c r="A12" s="3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5"/>
      <c r="C12" s="3165"/>
      <c r="D12" s="3165"/>
    </row>
    <row r="13" spans="1:4" ht="30" customHeight="1">
      <c r="A13" s="3160" t="str">
        <f>IF(项目基本情况!B8="抵押","3.抵押双方在办理抵押登记手续时，应使用本公司出具的正式《房地产评估报告》，特提醒报告使用者注意。","——")</f>
        <v>——</v>
      </c>
      <c r="B13" s="3165"/>
      <c r="C13" s="3165"/>
      <c r="D13" s="3165"/>
    </row>
    <row r="14" spans="1:4" ht="15.75" customHeight="1">
      <c r="A14" s="3160" t="str">
        <f>IF(项目基本情况!B8="抵押","4.本次评估估价师所知悉的法定优先受偿款情况说明如下：","——")</f>
        <v>——</v>
      </c>
      <c r="B14" s="3165"/>
      <c r="C14" s="3165"/>
      <c r="D14" s="3165"/>
    </row>
    <row r="15" spans="1:4" ht="42" customHeight="1">
      <c r="A15" s="3160" t="str">
        <f>IF(项目基本情况!B8="抵押","（1）"&amp;CONCATENATE(项目基本情况!L20,项目基本情况!L21,项目基本情况!L22),"——")</f>
        <v>——</v>
      </c>
      <c r="B15" s="3160"/>
      <c r="C15" s="3160"/>
      <c r="D15" s="3160"/>
    </row>
    <row r="16" spans="1:4" ht="30" customHeight="1">
      <c r="A16" s="3162" t="s">
        <v>1621</v>
      </c>
      <c r="B16" s="3162"/>
      <c r="C16" s="3162"/>
      <c r="D16" s="3162"/>
    </row>
    <row r="17" spans="1:4" ht="144" customHeight="1">
      <c r="A17" s="3162" t="s">
        <v>1622</v>
      </c>
      <c r="B17" s="3162"/>
      <c r="C17" s="3162"/>
      <c r="D17" s="3162"/>
    </row>
    <row r="18" spans="1:4" ht="15.75" customHeight="1">
      <c r="A18" s="3160" t="str">
        <f>IF(项目基本情况!B8="抵押",结果表!K120,"——")</f>
        <v>——</v>
      </c>
      <c r="B18" s="3160"/>
      <c r="C18" s="3160"/>
      <c r="D18" s="3160"/>
    </row>
    <row r="19" spans="1:4" ht="46.5" customHeight="1">
      <c r="A19" s="3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0"/>
      <c r="C19" s="3160"/>
      <c r="D19" s="3160"/>
    </row>
    <row r="20" spans="1:4" ht="57.75" customHeight="1">
      <c r="A20" s="3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0"/>
      <c r="C20" s="3160"/>
      <c r="D20" s="3160"/>
    </row>
    <row r="21" spans="1:4" ht="57.75" customHeight="1">
      <c r="A21" s="31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3"/>
      <c r="C21" s="3163"/>
      <c r="D21" s="3163"/>
    </row>
    <row r="22" spans="1:4" ht="18.75" customHeight="1">
      <c r="A22" s="3164" t="s">
        <v>1623</v>
      </c>
      <c r="B22" s="3164"/>
      <c r="C22" s="3164"/>
      <c r="D22" s="3164"/>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61">
        <v>42551</v>
      </c>
      <c r="D31" s="31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74" t="s">
        <v>1634</v>
      </c>
      <c r="B15" s="3169" t="s">
        <v>136</v>
      </c>
      <c r="C15" s="3170"/>
    </row>
    <row r="16" spans="1:7" ht="13.5">
      <c r="A16" s="3175"/>
      <c r="B16" s="3169" t="s">
        <v>69</v>
      </c>
      <c r="C16" s="3170"/>
    </row>
    <row r="17" spans="1:3" ht="13.5">
      <c r="A17" s="3175"/>
      <c r="B17" s="3172" t="s">
        <v>1635</v>
      </c>
      <c r="C17" s="1718" t="s">
        <v>1634</v>
      </c>
    </row>
    <row r="18" spans="1:3" ht="13.5">
      <c r="A18" s="3175"/>
      <c r="B18" s="3172"/>
      <c r="C18" s="1718" t="s">
        <v>1636</v>
      </c>
    </row>
    <row r="19" spans="1:3" ht="13.5">
      <c r="A19" s="3175"/>
      <c r="B19" s="3172"/>
      <c r="C19" s="1718" t="s">
        <v>1637</v>
      </c>
    </row>
    <row r="20" spans="1:3" ht="13.5">
      <c r="A20" s="3176"/>
      <c r="B20" s="3171" t="s">
        <v>1638</v>
      </c>
      <c r="C20" s="3170"/>
    </row>
    <row r="21" spans="1:3" ht="13.5">
      <c r="A21" s="1719" t="s">
        <v>1639</v>
      </c>
      <c r="B21" s="1720"/>
      <c r="C21" s="1721"/>
    </row>
    <row r="22" spans="1:3" ht="13.5">
      <c r="A22" s="3173" t="s">
        <v>1640</v>
      </c>
      <c r="B22" s="3171" t="s">
        <v>1641</v>
      </c>
      <c r="C22" s="3170"/>
    </row>
    <row r="23" spans="1:3" ht="13.5">
      <c r="A23" s="3173"/>
      <c r="B23" s="3171" t="s">
        <v>1642</v>
      </c>
      <c r="C23" s="3170"/>
    </row>
    <row r="24" spans="1:3" ht="13.5">
      <c r="A24" s="3173"/>
      <c r="B24" s="3171" t="s">
        <v>1643</v>
      </c>
      <c r="C24" s="3170"/>
    </row>
    <row r="25" spans="1:3" ht="13.5">
      <c r="A25" s="3173"/>
      <c r="B25" s="3172" t="s">
        <v>1644</v>
      </c>
      <c r="C25" s="1718" t="s">
        <v>1645</v>
      </c>
    </row>
    <row r="26" spans="1:3" ht="13.5">
      <c r="A26" s="3173"/>
      <c r="B26" s="3172"/>
      <c r="C26" s="1718" t="s">
        <v>1646</v>
      </c>
    </row>
    <row r="27" spans="1:3" ht="13.5">
      <c r="A27" s="3173"/>
      <c r="B27" s="3172"/>
      <c r="C27" s="1718" t="s">
        <v>1647</v>
      </c>
    </row>
    <row r="28" spans="1:3" ht="13.5">
      <c r="A28" s="3173"/>
      <c r="B28" s="3172"/>
      <c r="C28" s="1718" t="s">
        <v>1648</v>
      </c>
    </row>
    <row r="29" spans="1:3" ht="13.5">
      <c r="A29" s="3173"/>
      <c r="B29" s="3172"/>
      <c r="C29" s="1718" t="s">
        <v>1649</v>
      </c>
    </row>
    <row r="30" spans="1:3" ht="13.5">
      <c r="A30" s="3173"/>
      <c r="B30" s="3172"/>
      <c r="C30" s="1718" t="s">
        <v>1650</v>
      </c>
    </row>
    <row r="31" spans="1:3" ht="13.5">
      <c r="A31" s="3173"/>
      <c r="B31" s="3172"/>
      <c r="C31" s="1718" t="s">
        <v>1651</v>
      </c>
    </row>
    <row r="32" spans="1:3" ht="13.5">
      <c r="A32" s="3173"/>
      <c r="B32" s="3172"/>
      <c r="C32" s="1718" t="s">
        <v>1652</v>
      </c>
    </row>
    <row r="33" spans="1:3" ht="13.5">
      <c r="A33" s="3173"/>
      <c r="B33" s="3172"/>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2878</v>
      </c>
      <c r="B2" s="2563">
        <f ca="1">TODAY()</f>
        <v>44264</v>
      </c>
      <c r="C2" s="2564" t="s">
        <v>2879</v>
      </c>
      <c r="D2" s="2564"/>
      <c r="E2" s="2564"/>
      <c r="F2" s="2560"/>
      <c r="G2" s="2560"/>
      <c r="H2" s="2560"/>
    </row>
    <row r="3" spans="1:8" ht="24" customHeight="1">
      <c r="A3" s="2565" t="s">
        <v>2880</v>
      </c>
      <c r="B3" s="2566" t="s">
        <v>2881</v>
      </c>
      <c r="C3" s="2566" t="s">
        <v>2882</v>
      </c>
      <c r="D3" s="2567" t="s">
        <v>2883</v>
      </c>
      <c r="E3" s="2568" t="s">
        <v>2884</v>
      </c>
      <c r="F3" s="1473" t="s">
        <v>2885</v>
      </c>
      <c r="G3" s="2566" t="s">
        <v>2882</v>
      </c>
      <c r="H3" s="2567" t="s">
        <v>2886</v>
      </c>
    </row>
    <row r="4" spans="1:8" ht="24" customHeight="1">
      <c r="A4" s="1473" t="s">
        <v>2887</v>
      </c>
      <c r="B4" s="1473">
        <f ca="1">IF(C4&lt;B2,"已过期",1119970066)</f>
        <v>1119970066</v>
      </c>
      <c r="C4" s="2569">
        <v>44876</v>
      </c>
      <c r="D4" s="2570" t="str">
        <f ca="1">A4&amp;"（注册号："&amp;B4&amp;"）"</f>
        <v>梁津（注册号：1119970066）</v>
      </c>
      <c r="E4" s="2571" t="s">
        <v>2887</v>
      </c>
      <c r="F4" s="1473">
        <f ca="1">IF(G4&lt;B2,"已过期",96010014)</f>
        <v>96010014</v>
      </c>
      <c r="G4" s="2572">
        <v>47118</v>
      </c>
      <c r="H4" s="2573" t="str">
        <f ca="1">E4&amp;"（注册号："&amp;F4&amp;"）"</f>
        <v>梁津（注册号：96010014）</v>
      </c>
    </row>
    <row r="5" spans="1:8" ht="24" customHeight="1">
      <c r="A5" s="1473" t="s">
        <v>2888</v>
      </c>
      <c r="B5" s="1473">
        <f ca="1">IF(C5&lt;B2,"已过期",1119970111)</f>
        <v>1119970111</v>
      </c>
      <c r="C5" s="2569">
        <v>44876</v>
      </c>
      <c r="D5" s="2570" t="str">
        <f t="shared" ref="D5:D15" ca="1" si="0">A5&amp;"（注册号："&amp;B5&amp;"）"</f>
        <v>叶凌（注册号：1119970111）</v>
      </c>
      <c r="E5" s="2571" t="s">
        <v>2888</v>
      </c>
      <c r="F5" s="1473">
        <f ca="1">IF(G5&lt;B2,"已过期",94010078)</f>
        <v>94010078</v>
      </c>
      <c r="G5" s="2572">
        <v>46387</v>
      </c>
      <c r="H5" s="2573" t="str">
        <f t="shared" ref="H5:H16" ca="1" si="1">E5&amp;"（注册号："&amp;F5&amp;"）"</f>
        <v>叶凌（注册号：94010078）</v>
      </c>
    </row>
    <row r="6" spans="1:8" ht="24" customHeight="1">
      <c r="A6" s="1473" t="s">
        <v>2889</v>
      </c>
      <c r="B6" s="1473">
        <f ca="1">IF(C6&lt;B2,"已过期",1120050019)</f>
        <v>1120050019</v>
      </c>
      <c r="C6" s="2569">
        <v>44395</v>
      </c>
      <c r="D6" s="2570" t="str">
        <f t="shared" ca="1" si="0"/>
        <v>王鹏（注册号：1120050019）</v>
      </c>
      <c r="E6" s="2571" t="s">
        <v>2889</v>
      </c>
      <c r="F6" s="1473">
        <f ca="1">IF(G6&lt;B2,"已过期",2002110030)</f>
        <v>2002110030</v>
      </c>
      <c r="G6" s="2572">
        <v>46387</v>
      </c>
      <c r="H6" s="2573" t="str">
        <f t="shared" ca="1" si="1"/>
        <v>王鹏（注册号：2002110030）</v>
      </c>
    </row>
    <row r="7" spans="1:8" ht="24" customHeight="1">
      <c r="A7" s="1473" t="s">
        <v>2890</v>
      </c>
      <c r="B7" s="1473">
        <f ca="1">IF(C7&lt;B2,"已过期",1120000080)</f>
        <v>1120000080</v>
      </c>
      <c r="C7" s="2569">
        <v>44876</v>
      </c>
      <c r="D7" s="2570" t="str">
        <f t="shared" ca="1" si="0"/>
        <v>欧红伟（注册号：1120000080）</v>
      </c>
      <c r="E7" s="2571" t="s">
        <v>2890</v>
      </c>
      <c r="F7" s="1473">
        <f ca="1">IF(G7&lt;B2,"已过期",2000110082)</f>
        <v>2000110082</v>
      </c>
      <c r="G7" s="2572">
        <v>46387</v>
      </c>
      <c r="H7" s="2573" t="str">
        <f t="shared" ca="1" si="1"/>
        <v>欧红伟（注册号：2000110082）</v>
      </c>
    </row>
    <row r="8" spans="1:8" ht="24" customHeight="1">
      <c r="A8" s="1473" t="s">
        <v>2891</v>
      </c>
      <c r="B8" s="1473">
        <f ca="1">IF(C8&lt;B2,"已过期",1419970001)</f>
        <v>1419970001</v>
      </c>
      <c r="C8" s="2569">
        <v>44899</v>
      </c>
      <c r="D8" s="2570" t="str">
        <f t="shared" ca="1" si="0"/>
        <v>吴薇（注册号：1419970001）</v>
      </c>
      <c r="E8" s="2571" t="s">
        <v>2891</v>
      </c>
      <c r="F8" s="1473">
        <f ca="1">IF(G8&lt;B2,"已过期",2002110125)</f>
        <v>2002110125</v>
      </c>
      <c r="G8" s="2572">
        <v>47118</v>
      </c>
      <c r="H8" s="2573" t="str">
        <f t="shared" ca="1" si="1"/>
        <v>吴薇（注册号：2002110125）</v>
      </c>
    </row>
    <row r="9" spans="1:8" ht="24" customHeight="1">
      <c r="A9" s="1473" t="s">
        <v>2892</v>
      </c>
      <c r="B9" s="1473">
        <f ca="1">IF(C9&lt;B2,"已过期",1120060040)</f>
        <v>1120060040</v>
      </c>
      <c r="C9" s="2574">
        <v>44554</v>
      </c>
      <c r="D9" s="2570" t="str">
        <f t="shared" ca="1" si="0"/>
        <v>陈颖（注册号：1120060040）</v>
      </c>
      <c r="E9" s="2571" t="s">
        <v>2892</v>
      </c>
      <c r="F9" s="1473">
        <f ca="1">IF(G9&lt;B2,"已过期",2004110096)</f>
        <v>2004110096</v>
      </c>
      <c r="G9" s="2572">
        <v>47118</v>
      </c>
      <c r="H9" s="2573" t="str">
        <f t="shared" ca="1" si="1"/>
        <v>陈颖（注册号：2004110096）</v>
      </c>
    </row>
    <row r="10" spans="1:8" ht="24" customHeight="1">
      <c r="A10" s="1473" t="s">
        <v>2893</v>
      </c>
      <c r="B10" s="1473">
        <f ca="1">IF(C10&lt;B2,"已过期",1120100036)</f>
        <v>1120100036</v>
      </c>
      <c r="C10" s="2574">
        <v>44675</v>
      </c>
      <c r="D10" s="2570" t="str">
        <f t="shared" ca="1" si="0"/>
        <v>崔锴（注册号：1120100036）</v>
      </c>
      <c r="E10" s="2571" t="s">
        <v>2893</v>
      </c>
      <c r="F10" s="1473">
        <f ca="1">IF(G10&lt;B2,"已过期",2010110070)</f>
        <v>2010110070</v>
      </c>
      <c r="G10" s="2572">
        <v>47907</v>
      </c>
      <c r="H10" s="2573" t="str">
        <f t="shared" ca="1" si="1"/>
        <v>崔锴（注册号：2010110070）</v>
      </c>
    </row>
    <row r="11" spans="1:8" ht="24" customHeight="1">
      <c r="A11" s="1473" t="s">
        <v>2894</v>
      </c>
      <c r="B11" s="1473">
        <f ca="1">IF(C11&lt;B2,"已过期",1120070131)</f>
        <v>1120070131</v>
      </c>
      <c r="C11" s="2569">
        <v>44849</v>
      </c>
      <c r="D11" s="2570" t="str">
        <f t="shared" ca="1" si="0"/>
        <v>郑燚（注册号：1120070131）</v>
      </c>
      <c r="E11" s="2571" t="s">
        <v>2894</v>
      </c>
      <c r="F11" s="1473">
        <f ca="1">IF(G11&lt;B2,"已过期",2014110011)</f>
        <v>2014110011</v>
      </c>
      <c r="G11" s="2572">
        <v>49302</v>
      </c>
      <c r="H11" s="2573" t="str">
        <f t="shared" ca="1" si="1"/>
        <v>郑燚（注册号：2014110011）</v>
      </c>
    </row>
    <row r="12" spans="1:8" ht="24" customHeight="1">
      <c r="A12" s="1473" t="s">
        <v>2895</v>
      </c>
      <c r="B12" s="1473">
        <f ca="1">IF(C12&lt;B2,"已过期",1120040230)</f>
        <v>1120040230</v>
      </c>
      <c r="C12" s="2574">
        <v>44864</v>
      </c>
      <c r="D12" s="2570" t="str">
        <f t="shared" ca="1" si="0"/>
        <v>苏海（注册号：1120040230）</v>
      </c>
      <c r="E12" s="2571" t="s">
        <v>2895</v>
      </c>
      <c r="F12" s="1473">
        <f ca="1">IF(G12&lt;B2,"已过期",98030020)</f>
        <v>98030020</v>
      </c>
      <c r="G12" s="2572">
        <v>47118</v>
      </c>
      <c r="H12" s="2573" t="str">
        <f t="shared" ca="1" si="1"/>
        <v>苏海（注册号：98030020）</v>
      </c>
    </row>
    <row r="13" spans="1:8" ht="24" customHeight="1">
      <c r="A13" s="1473" t="s">
        <v>2896</v>
      </c>
      <c r="B13" s="1473">
        <f ca="1">IF(C13&lt;B2,"已过期",1120020033)</f>
        <v>1120020033</v>
      </c>
      <c r="C13" s="2569">
        <v>44339</v>
      </c>
      <c r="D13" s="2570" t="str">
        <f t="shared" ca="1" si="0"/>
        <v>刘敬东（注册号：1120020033）</v>
      </c>
      <c r="E13" s="2571" t="s">
        <v>2896</v>
      </c>
      <c r="F13" s="1473">
        <f ca="1">IF(G13&lt;B2,"已过期",2000110137)</f>
        <v>2000110137</v>
      </c>
      <c r="G13" s="2572">
        <v>46387</v>
      </c>
      <c r="H13" s="2573" t="str">
        <f t="shared" ca="1" si="1"/>
        <v>刘敬东（注册号：2000110137）</v>
      </c>
    </row>
    <row r="14" spans="1:8" ht="24" customHeight="1">
      <c r="A14" s="1473" t="s">
        <v>2897</v>
      </c>
      <c r="B14" s="1473">
        <f ca="1">IF(C14&lt;B2,"已过期",1119980106)</f>
        <v>1119980106</v>
      </c>
      <c r="C14" s="2574">
        <v>44969</v>
      </c>
      <c r="D14" s="2570" t="str">
        <f t="shared" ca="1" si="0"/>
        <v>刘俊财（注册号：1119980106）</v>
      </c>
      <c r="E14" s="2571" t="s">
        <v>2897</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2898</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77" t="s">
        <v>2899</v>
      </c>
      <c r="B17" s="3177"/>
      <c r="C17" s="3177"/>
      <c r="D17" s="3177"/>
      <c r="E17" s="3177"/>
      <c r="F17" s="3177"/>
      <c r="G17" s="3177"/>
      <c r="H17" s="3177"/>
    </row>
    <row r="18" spans="1:8" ht="24" customHeight="1">
      <c r="A18" s="3178" t="s">
        <v>2900</v>
      </c>
      <c r="B18" s="3178"/>
      <c r="C18" s="3178"/>
      <c r="D18" s="2567"/>
      <c r="E18" s="3179" t="s">
        <v>2901</v>
      </c>
      <c r="F18" s="3178"/>
      <c r="G18" s="3178"/>
    </row>
    <row r="19" spans="1:8" s="2578" customFormat="1" ht="24" customHeight="1">
      <c r="A19" s="2577" t="s">
        <v>2902</v>
      </c>
      <c r="B19" s="2566" t="s">
        <v>2903</v>
      </c>
      <c r="C19" s="2566" t="s">
        <v>2882</v>
      </c>
      <c r="D19" s="2567"/>
      <c r="E19" s="2571" t="s">
        <v>2902</v>
      </c>
      <c r="F19" s="2566" t="s">
        <v>2903</v>
      </c>
      <c r="G19" s="2566" t="s">
        <v>2882</v>
      </c>
    </row>
    <row r="20" spans="1:8" s="2578" customFormat="1" ht="24" customHeight="1">
      <c r="A20" s="2579" t="s">
        <v>2904</v>
      </c>
      <c r="B20" s="2579" t="s">
        <v>2905</v>
      </c>
      <c r="C20" s="2572">
        <v>44820</v>
      </c>
      <c r="D20" s="2580"/>
      <c r="E20" s="2581" t="s">
        <v>2906</v>
      </c>
      <c r="F20" s="2579" t="s">
        <v>2907</v>
      </c>
      <c r="G20" s="2582">
        <v>44377</v>
      </c>
    </row>
    <row r="21" spans="1:8" s="2578" customFormat="1" ht="24" customHeight="1">
      <c r="A21" s="2579"/>
      <c r="B21" s="2579"/>
      <c r="C21" s="2583"/>
      <c r="D21" s="2584"/>
      <c r="E21" s="2581" t="s">
        <v>2908</v>
      </c>
      <c r="F21" s="2585" t="s">
        <v>2909</v>
      </c>
      <c r="G21" s="2586">
        <v>44012</v>
      </c>
    </row>
    <row r="22" spans="1:8" ht="24" customHeight="1">
      <c r="C22" s="2587"/>
      <c r="D22" s="2587"/>
      <c r="E22" s="2588"/>
      <c r="F22" s="2589"/>
      <c r="G22" s="259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成本法（仓储）</vt:lpstr>
      <vt:lpstr>收益法（倒）</vt:lpstr>
      <vt:lpstr>收益法 (仓储)</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住宅案例</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(仓储)'!Print_Area</vt:lpstr>
      <vt:lpstr>'收益法 (元)'!Print_Area</vt:lpstr>
      <vt:lpstr>'收益法（倒）'!Print_Area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2021-03-09T01:49:32Z</dcterms:modified>
</cp:coreProperties>
</file>