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220" windowHeight="9510" tabRatio="899" firstSheet="4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净值1" sheetId="78" r:id="rId46"/>
    <sheet name="结果表-净值2" sheetId="79" r:id="rId47"/>
    <sheet name="结果表-净值3"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66" i="80" l="1"/>
  <c r="C75" i="80"/>
  <c r="C66" i="78"/>
  <c r="C66" i="79"/>
  <c r="C75" i="79"/>
  <c r="C75" i="78" l="1"/>
  <c r="A120" i="80" l="1"/>
  <c r="E111" i="80"/>
  <c r="A126" i="80" s="1"/>
  <c r="E109" i="80"/>
  <c r="A124" i="80" s="1"/>
  <c r="E107" i="80"/>
  <c r="A122" i="80" s="1"/>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E48" i="80"/>
  <c r="N52" i="80" s="1"/>
  <c r="F33" i="80"/>
  <c r="D27" i="80"/>
  <c r="C25" i="80"/>
  <c r="C24" i="80"/>
  <c r="D17" i="80"/>
  <c r="C17" i="80"/>
  <c r="C18" i="80" s="1"/>
  <c r="D18" i="80" s="1"/>
  <c r="L4" i="80"/>
  <c r="K4" i="80"/>
  <c r="H1" i="80"/>
  <c r="A120" i="79"/>
  <c r="E111" i="79"/>
  <c r="A126" i="79" s="1"/>
  <c r="E109" i="79"/>
  <c r="A124" i="79" s="1"/>
  <c r="E107" i="79"/>
  <c r="A122" i="79" s="1"/>
  <c r="H106" i="79"/>
  <c r="H105" i="79"/>
  <c r="H104" i="79"/>
  <c r="D101" i="79"/>
  <c r="C101" i="79"/>
  <c r="C91" i="79"/>
  <c r="E90" i="79"/>
  <c r="D89" i="79"/>
  <c r="C89" i="79" s="1"/>
  <c r="C87" i="79" s="1"/>
  <c r="H77" i="79"/>
  <c r="D77" i="79"/>
  <c r="C76" i="79"/>
  <c r="F59" i="79"/>
  <c r="E59" i="79"/>
  <c r="D59" i="79"/>
  <c r="M55" i="79" s="1"/>
  <c r="F56" i="79"/>
  <c r="O55" i="79"/>
  <c r="N55" i="79"/>
  <c r="K55" i="79"/>
  <c r="J55" i="79"/>
  <c r="I55" i="79"/>
  <c r="F55" i="79"/>
  <c r="O53" i="79" s="1"/>
  <c r="O54" i="79"/>
  <c r="N54" i="79"/>
  <c r="N53" i="79"/>
  <c r="K49" i="79"/>
  <c r="E48" i="79"/>
  <c r="N52" i="79" s="1"/>
  <c r="F33" i="79"/>
  <c r="D27" i="79"/>
  <c r="C25" i="79"/>
  <c r="C24" i="79"/>
  <c r="D17" i="79"/>
  <c r="C17" i="79"/>
  <c r="C18" i="79" s="1"/>
  <c r="D18" i="79" s="1"/>
  <c r="L4" i="79"/>
  <c r="K4" i="79"/>
  <c r="H1" i="79"/>
  <c r="A120" i="78"/>
  <c r="E111" i="78"/>
  <c r="A126" i="78" s="1"/>
  <c r="E109" i="78"/>
  <c r="A124" i="78" s="1"/>
  <c r="E107" i="78"/>
  <c r="A122" i="78" s="1"/>
  <c r="H106" i="78"/>
  <c r="H103" i="78" s="1"/>
  <c r="D120" i="78" s="1"/>
  <c r="H105" i="78"/>
  <c r="H104" i="78"/>
  <c r="D101" i="78"/>
  <c r="C101" i="78"/>
  <c r="C91" i="78"/>
  <c r="E90" i="78"/>
  <c r="D89" i="78"/>
  <c r="C89" i="78" s="1"/>
  <c r="C87" i="78" s="1"/>
  <c r="H77" i="78"/>
  <c r="D77" i="78"/>
  <c r="C76" i="78"/>
  <c r="F59" i="78"/>
  <c r="E59" i="78"/>
  <c r="D59" i="78"/>
  <c r="M55" i="78" s="1"/>
  <c r="F56" i="78"/>
  <c r="O55" i="78"/>
  <c r="N55" i="78"/>
  <c r="K55" i="78"/>
  <c r="J55" i="78"/>
  <c r="I55" i="78"/>
  <c r="F55" i="78" s="1"/>
  <c r="O54" i="78"/>
  <c r="N54" i="78"/>
  <c r="O53" i="78"/>
  <c r="N53" i="78"/>
  <c r="K49" i="78"/>
  <c r="E48" i="78"/>
  <c r="N52" i="78" s="1"/>
  <c r="F33" i="78"/>
  <c r="D27" i="78"/>
  <c r="C25" i="78"/>
  <c r="C24" i="78"/>
  <c r="D17" i="78"/>
  <c r="C17" i="78"/>
  <c r="L4" i="78"/>
  <c r="K4" i="78"/>
  <c r="H1" i="78"/>
  <c r="H109" i="78" l="1"/>
  <c r="D124" i="78" s="1"/>
  <c r="D125" i="78" s="1"/>
  <c r="H103" i="80"/>
  <c r="D120" i="80" s="1"/>
  <c r="D121" i="80" s="1"/>
  <c r="H103" i="79"/>
  <c r="D120" i="79" s="1"/>
  <c r="C18" i="78"/>
  <c r="D18" i="78" s="1"/>
  <c r="C92" i="80"/>
  <c r="C94" i="80"/>
  <c r="K120" i="80"/>
  <c r="H109" i="80"/>
  <c r="C92" i="79"/>
  <c r="C94" i="79"/>
  <c r="K120" i="79"/>
  <c r="D121" i="79"/>
  <c r="H109" i="79"/>
  <c r="C92" i="78"/>
  <c r="C94" i="78"/>
  <c r="K120" i="78"/>
  <c r="D121" i="78"/>
  <c r="H110" i="78"/>
  <c r="D124" i="80" l="1"/>
  <c r="D125" i="80" s="1"/>
  <c r="H110" i="80"/>
  <c r="D124" i="79"/>
  <c r="D125" i="79" s="1"/>
  <c r="H110" i="79"/>
  <c r="Y6" i="1"/>
  <c r="N6" i="1"/>
  <c r="G19" i="6"/>
  <c r="D38" i="43" s="1"/>
  <c r="F19" i="6"/>
  <c r="D29" i="43" s="1"/>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K59" i="67"/>
  <c r="P61" i="67" s="1"/>
  <c r="K59" i="15"/>
  <c r="P74" i="15" s="1"/>
  <c r="P61" i="15"/>
  <c r="D116" i="39"/>
  <c r="E116" i="39"/>
  <c r="F116" i="39"/>
  <c r="G116" i="39"/>
  <c r="H116" i="39"/>
  <c r="I116" i="39"/>
  <c r="J116" i="39"/>
  <c r="K116" i="39"/>
  <c r="L116" i="39"/>
  <c r="M116" i="39"/>
  <c r="C116" i="39"/>
  <c r="A21" i="62"/>
  <c r="A20" i="62"/>
  <c r="A22" i="51"/>
  <c r="B17" i="72" s="1"/>
  <c r="A21" i="51"/>
  <c r="A20" i="51"/>
  <c r="A14" i="62"/>
  <c r="A13" i="62"/>
  <c r="B59" i="72" s="1"/>
  <c r="A19" i="62"/>
  <c r="B65" i="72" s="1"/>
  <c r="A12" i="62"/>
  <c r="B58" i="72" s="1"/>
  <c r="A120" i="9"/>
  <c r="H2" i="52"/>
  <c r="A1" i="52"/>
  <c r="A3" i="53"/>
  <c r="Q16" i="71"/>
  <c r="P16" i="71"/>
  <c r="O16" i="71"/>
  <c r="N16" i="71"/>
  <c r="A15" i="51"/>
  <c r="B12" i="72" s="1"/>
  <c r="C76" i="9"/>
  <c r="I107" i="40"/>
  <c r="K6" i="4"/>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s="1"/>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O28" i="71"/>
  <c r="Y28" i="71"/>
  <c r="Z28" i="71" s="1"/>
  <c r="N28" i="71"/>
  <c r="Q27" i="71"/>
  <c r="F28" i="71" s="1"/>
  <c r="F29" i="71" s="1"/>
  <c r="F30" i="71" s="1"/>
  <c r="V30" i="71" s="1"/>
  <c r="P27" i="71"/>
  <c r="O27" i="71"/>
  <c r="N27" i="71"/>
  <c r="D27" i="71"/>
  <c r="Q26" i="71"/>
  <c r="P26" i="71"/>
  <c r="O26" i="71"/>
  <c r="Y26" i="71"/>
  <c r="Z26" i="71" s="1"/>
  <c r="N26" i="71"/>
  <c r="Q25" i="71"/>
  <c r="AB25" i="71" s="1"/>
  <c r="P25" i="71"/>
  <c r="O25" i="71"/>
  <c r="N25" i="71"/>
  <c r="Q24" i="71"/>
  <c r="P24" i="71"/>
  <c r="O24" i="71"/>
  <c r="Y24" i="71"/>
  <c r="Z24" i="71" s="1"/>
  <c r="N24" i="71"/>
  <c r="Q23" i="71"/>
  <c r="F24" i="71" s="1"/>
  <c r="F25" i="71" s="1"/>
  <c r="F26" i="71" s="1"/>
  <c r="V26" i="71" s="1"/>
  <c r="P23" i="71"/>
  <c r="O23" i="71"/>
  <c r="N23" i="71"/>
  <c r="D23" i="71"/>
  <c r="Q22" i="71"/>
  <c r="P22" i="71"/>
  <c r="O22" i="71"/>
  <c r="Y22" i="71"/>
  <c r="Z22" i="71" s="1"/>
  <c r="N22" i="71"/>
  <c r="Q21" i="71"/>
  <c r="AB21" i="71" s="1"/>
  <c r="P21" i="71"/>
  <c r="O21" i="71"/>
  <c r="N21" i="71"/>
  <c r="Q20" i="71"/>
  <c r="P20" i="71"/>
  <c r="O20" i="71"/>
  <c r="Y20" i="71"/>
  <c r="Z20" i="71" s="1"/>
  <c r="N20" i="71"/>
  <c r="Q19" i="71"/>
  <c r="F20" i="71" s="1"/>
  <c r="F21" i="71" s="1"/>
  <c r="F22" i="71" s="1"/>
  <c r="V22" i="71" s="1"/>
  <c r="P19" i="71"/>
  <c r="E20" i="71" s="1"/>
  <c r="O19" i="71"/>
  <c r="C20" i="71" s="1"/>
  <c r="N19" i="71"/>
  <c r="D19" i="71"/>
  <c r="O18" i="71"/>
  <c r="N18" i="71"/>
  <c r="B20" i="71"/>
  <c r="B21"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Y19" i="71"/>
  <c r="Z19" i="71" s="1"/>
  <c r="AA20" i="71"/>
  <c r="AA21" i="71"/>
  <c r="AA22" i="71"/>
  <c r="C24" i="71"/>
  <c r="C25" i="71"/>
  <c r="Y23" i="71"/>
  <c r="Z23" i="71"/>
  <c r="AB23" i="71"/>
  <c r="X24" i="71"/>
  <c r="AA24" i="71"/>
  <c r="X25" i="71"/>
  <c r="AA25" i="71"/>
  <c r="X26" i="71"/>
  <c r="AA26" i="71"/>
  <c r="C28" i="71"/>
  <c r="D28" i="71" s="1"/>
  <c r="Y27" i="71"/>
  <c r="Z27" i="71"/>
  <c r="AB27" i="71"/>
  <c r="X28" i="71"/>
  <c r="AA28" i="71"/>
  <c r="C18" i="71"/>
  <c r="Y15" i="71"/>
  <c r="Z15" i="71" s="1"/>
  <c r="Y16" i="71"/>
  <c r="Z16" i="71" s="1"/>
  <c r="Y17" i="71"/>
  <c r="Z17" i="71" s="1"/>
  <c r="Y18" i="71"/>
  <c r="Z18" i="71" s="1"/>
  <c r="B18" i="71"/>
  <c r="B17" i="71" s="1"/>
  <c r="B16" i="71" s="1"/>
  <c r="X15" i="71"/>
  <c r="X16" i="71"/>
  <c r="X17" i="71"/>
  <c r="X18" i="71"/>
  <c r="D24" i="71"/>
  <c r="C29" i="71"/>
  <c r="C30" i="71" s="1"/>
  <c r="C37" i="71"/>
  <c r="D37" i="71" s="1"/>
  <c r="D36" i="71"/>
  <c r="P18" i="71"/>
  <c r="E45" i="71"/>
  <c r="E46" i="71" s="1"/>
  <c r="U46" i="71" s="1"/>
  <c r="E49" i="71"/>
  <c r="E50" i="71" s="1"/>
  <c r="U50" i="71" s="1"/>
  <c r="U58" i="71"/>
  <c r="E57" i="71"/>
  <c r="Q18" i="71"/>
  <c r="AB15" i="71" s="1"/>
  <c r="C49" i="71"/>
  <c r="D48"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F18" i="71"/>
  <c r="F17" i="71" s="1"/>
  <c r="F16" i="71" s="1"/>
  <c r="AB16" i="71"/>
  <c r="AB18" i="71"/>
  <c r="E18" i="71"/>
  <c r="E17" i="71"/>
  <c r="E16" i="71" s="1"/>
  <c r="AA3" i="71"/>
  <c r="AA15" i="71"/>
  <c r="AA16" i="71"/>
  <c r="AA17" i="71"/>
  <c r="AA18" i="71"/>
  <c r="D18" i="71"/>
  <c r="U18" i="71" s="1"/>
  <c r="C56" i="71"/>
  <c r="O57" i="71"/>
  <c r="D57" i="71"/>
  <c r="D73" i="71"/>
  <c r="C72" i="71"/>
  <c r="D72" i="71" s="1"/>
  <c r="D65" i="71"/>
  <c r="C64" i="71"/>
  <c r="D64" i="71" s="1"/>
  <c r="N55" i="71"/>
  <c r="D77" i="71"/>
  <c r="D69" i="71"/>
  <c r="C68" i="71"/>
  <c r="D68" i="71" s="1"/>
  <c r="D61" i="71"/>
  <c r="C60" i="71"/>
  <c r="D60" i="71"/>
  <c r="C50" i="71"/>
  <c r="D49" i="71"/>
  <c r="P57" i="71"/>
  <c r="E56" i="71"/>
  <c r="P55" i="71" s="1"/>
  <c r="D29" i="71"/>
  <c r="C26" i="71"/>
  <c r="D25" i="71"/>
  <c r="V18" i="71"/>
  <c r="P56" i="71"/>
  <c r="O56" i="71"/>
  <c r="D56" i="71"/>
  <c r="O55" i="71"/>
  <c r="T26" i="71"/>
  <c r="D2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J29" i="39"/>
  <c r="AC29" i="39" s="1"/>
  <c r="J18" i="36"/>
  <c r="AC18" i="36" s="1"/>
  <c r="H18" i="35"/>
  <c r="AB18" i="35" s="1"/>
  <c r="S18" i="35"/>
  <c r="J18" i="35"/>
  <c r="W18" i="35" s="1"/>
  <c r="F77" i="37"/>
  <c r="G77" i="37" s="1"/>
  <c r="H21" i="37"/>
  <c r="AB21" i="37" s="1"/>
  <c r="F21" i="37"/>
  <c r="AA21" i="37" s="1"/>
  <c r="H21" i="34"/>
  <c r="AB21" i="34" s="1"/>
  <c r="H21" i="33"/>
  <c r="U21" i="33" s="1"/>
  <c r="F21" i="33"/>
  <c r="E83" i="21"/>
  <c r="F83" i="21" s="1"/>
  <c r="G83" i="21" s="1"/>
  <c r="S21" i="21"/>
  <c r="H1" i="69"/>
  <c r="AC25" i="40"/>
  <c r="W25" i="40"/>
  <c r="AB25" i="40"/>
  <c r="U25" i="40"/>
  <c r="AB29" i="39"/>
  <c r="U29" i="39"/>
  <c r="W29" i="39"/>
  <c r="W18" i="36"/>
  <c r="U21" i="37"/>
  <c r="S21" i="37"/>
  <c r="U21" i="34"/>
  <c r="AA21" i="33"/>
  <c r="S21" i="33"/>
  <c r="AC18" i="35"/>
  <c r="J21" i="37"/>
  <c r="AC21" i="37" s="1"/>
  <c r="J21" i="34"/>
  <c r="AC21" i="34" s="1"/>
  <c r="J21" i="33"/>
  <c r="AC21" i="33" s="1"/>
  <c r="H21" i="21"/>
  <c r="U21" i="21" s="1"/>
  <c r="F38" i="69"/>
  <c r="E37" i="69"/>
  <c r="F36" i="69"/>
  <c r="F35" i="69"/>
  <c r="F21" i="69"/>
  <c r="C21" i="69" s="1"/>
  <c r="F20" i="69"/>
  <c r="E10" i="69"/>
  <c r="E9" i="69"/>
  <c r="C7" i="69"/>
  <c r="W21" i="34"/>
  <c r="W21" i="33"/>
  <c r="AB21" i="21"/>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3" i="43"/>
  <c r="D84" i="43"/>
  <c r="D85" i="43"/>
  <c r="D86"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G41" i="43" s="1"/>
  <c r="H15" i="4"/>
  <c r="G15" i="4"/>
  <c r="E15" i="4"/>
  <c r="D15" i="4"/>
  <c r="F7" i="1"/>
  <c r="G7" i="1" s="1"/>
  <c r="L21" i="4"/>
  <c r="F19" i="4"/>
  <c r="F2" i="52"/>
  <c r="B50" i="72" s="1"/>
  <c r="D2" i="52"/>
  <c r="B46" i="72" s="1"/>
  <c r="B8" i="53"/>
  <c r="B23" i="72" s="1"/>
  <c r="L4" i="9"/>
  <c r="B15" i="72"/>
  <c r="A3" i="51"/>
  <c r="C8" i="11"/>
  <c r="B2" i="49"/>
  <c r="B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s="1"/>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AB33" i="36" s="1"/>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c r="D62" i="36"/>
  <c r="E62" i="36"/>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H22" i="35"/>
  <c r="AB22" i="35"/>
  <c r="AC27" i="35"/>
  <c r="W28" i="35"/>
  <c r="W22" i="35"/>
  <c r="S31" i="35"/>
  <c r="F36" i="34"/>
  <c r="J35" i="34"/>
  <c r="S34" i="34"/>
  <c r="H39" i="33"/>
  <c r="AB39" i="33" s="1"/>
  <c r="F26" i="33"/>
  <c r="AA26" i="33" s="1"/>
  <c r="S9" i="33"/>
  <c r="U33" i="33"/>
  <c r="U35" i="33"/>
  <c r="S40" i="33"/>
  <c r="W33" i="33"/>
  <c r="W39" i="33"/>
  <c r="H39" i="37"/>
  <c r="AB39" i="37" s="1"/>
  <c r="S27" i="35"/>
  <c r="F11" i="40"/>
  <c r="AA11" i="40" s="1"/>
  <c r="H11" i="40"/>
  <c r="AB11" i="40" s="1"/>
  <c r="AC40" i="40"/>
  <c r="AA9" i="40"/>
  <c r="AC9" i="40"/>
  <c r="S34" i="40"/>
  <c r="W31"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s="1"/>
  <c r="J19" i="39"/>
  <c r="AC19" i="39" s="1"/>
  <c r="J17" i="39"/>
  <c r="J27" i="39"/>
  <c r="AC27" i="39" s="1"/>
  <c r="F27" i="39"/>
  <c r="F11" i="21"/>
  <c r="S11" i="21" s="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AB11" i="35"/>
  <c r="J10" i="36"/>
  <c r="AC10" i="36"/>
  <c r="AB30" i="21"/>
  <c r="AA14" i="37"/>
  <c r="W31" i="34"/>
  <c r="AC13" i="36"/>
  <c r="W13" i="36"/>
  <c r="S11" i="36"/>
  <c r="W11" i="36"/>
  <c r="W11" i="35"/>
  <c r="AB46" i="34"/>
  <c r="AC30" i="34"/>
  <c r="AA14" i="34"/>
  <c r="S45" i="33"/>
  <c r="AB45" i="33"/>
  <c r="AB31" i="33"/>
  <c r="U31" i="33"/>
  <c r="W29" i="33"/>
  <c r="U13" i="33"/>
  <c r="S44" i="34"/>
  <c r="BA586" i="3"/>
  <c r="BA585" i="3"/>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A12" i="35"/>
  <c r="W14" i="37"/>
  <c r="U33" i="37"/>
  <c r="U39" i="37"/>
  <c r="W26" i="37"/>
  <c r="AC8" i="37"/>
  <c r="U26" i="37"/>
  <c r="AB13" i="34"/>
  <c r="W37" i="34"/>
  <c r="AB37" i="34"/>
  <c r="AC36" i="34"/>
  <c r="AA13"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F59" i="43"/>
  <c r="H62" i="43" s="1"/>
  <c r="AZ20" i="3"/>
  <c r="AZ32" i="3"/>
  <c r="BL549" i="3"/>
  <c r="AZ549" i="3" s="1"/>
  <c r="AZ502" i="3"/>
  <c r="AZ514"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AZ199" i="3"/>
  <c r="BL200" i="3"/>
  <c r="G201" i="3"/>
  <c r="BA203" i="3"/>
  <c r="AZ203" i="3"/>
  <c r="BL204" i="3"/>
  <c r="AZ51" i="3"/>
  <c r="AZ55" i="3"/>
  <c r="AZ63" i="3"/>
  <c r="AZ71" i="3"/>
  <c r="AZ79" i="3"/>
  <c r="AZ136" i="3"/>
  <c r="AZ144" i="3"/>
  <c r="AZ160" i="3"/>
  <c r="AZ168" i="3"/>
  <c r="AZ176" i="3"/>
  <c r="AZ192" i="3"/>
  <c r="AZ200" i="3"/>
  <c r="AZ89" i="3"/>
  <c r="AZ97" i="3"/>
  <c r="AZ105"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BL372" i="3"/>
  <c r="G373" i="3"/>
  <c r="G376" i="3"/>
  <c r="BL377" i="3"/>
  <c r="BL379" i="3"/>
  <c r="AZ379" i="3" s="1"/>
  <c r="BA381" i="3"/>
  <c r="AZ381" i="3" s="1"/>
  <c r="BA382" i="3"/>
  <c r="BL382" i="3"/>
  <c r="G383" i="3"/>
  <c r="G386" i="3"/>
  <c r="BL387" i="3"/>
  <c r="AZ387" i="3" s="1"/>
  <c r="BA389" i="3"/>
  <c r="AZ389" i="3"/>
  <c r="BA390" i="3"/>
  <c r="BL390" i="3"/>
  <c r="AZ390" i="3" s="1"/>
  <c r="G391" i="3"/>
  <c r="G394" i="3"/>
  <c r="AZ138" i="3"/>
  <c r="AZ142" i="3"/>
  <c r="AZ146" i="3"/>
  <c r="AZ150" i="3"/>
  <c r="AZ158" i="3"/>
  <c r="AZ162" i="3"/>
  <c r="AZ166" i="3"/>
  <c r="AZ174" i="3"/>
  <c r="AZ178" i="3"/>
  <c r="AZ182" i="3"/>
  <c r="AZ190" i="3"/>
  <c r="AZ194" i="3"/>
  <c r="AZ198" i="3"/>
  <c r="AZ500" i="3"/>
  <c r="BA16" i="3"/>
  <c r="AZ16" i="3" s="1"/>
  <c r="BL303" i="3"/>
  <c r="AZ303" i="3" s="1"/>
  <c r="G304" i="3"/>
  <c r="BA306" i="3"/>
  <c r="BL307" i="3"/>
  <c r="AZ307" i="3" s="1"/>
  <c r="G308" i="3"/>
  <c r="BA310" i="3"/>
  <c r="AZ310" i="3" s="1"/>
  <c r="BL311" i="3"/>
  <c r="G312" i="3"/>
  <c r="BA314" i="3"/>
  <c r="AZ314" i="3" s="1"/>
  <c r="BL315" i="3"/>
  <c r="G316" i="3"/>
  <c r="BA318" i="3"/>
  <c r="AZ318" i="3" s="1"/>
  <c r="BL319" i="3"/>
  <c r="AZ319" i="3" s="1"/>
  <c r="G320" i="3"/>
  <c r="BA322" i="3"/>
  <c r="AZ322" i="3" s="1"/>
  <c r="BL323" i="3"/>
  <c r="AZ323" i="3" s="1"/>
  <c r="G324" i="3"/>
  <c r="BA326" i="3"/>
  <c r="AZ326" i="3" s="1"/>
  <c r="BL327" i="3"/>
  <c r="G328" i="3"/>
  <c r="BA330" i="3"/>
  <c r="AZ330" i="3" s="1"/>
  <c r="BL331" i="3"/>
  <c r="G332" i="3"/>
  <c r="BA334" i="3"/>
  <c r="BL335" i="3"/>
  <c r="AZ335" i="3" s="1"/>
  <c r="G336" i="3"/>
  <c r="BA338" i="3"/>
  <c r="AZ338" i="3" s="1"/>
  <c r="BL339" i="3"/>
  <c r="AZ339" i="3" s="1"/>
  <c r="G340" i="3"/>
  <c r="BL343" i="3"/>
  <c r="G344" i="3"/>
  <c r="G348" i="3"/>
  <c r="G355" i="3"/>
  <c r="AZ218"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G375" i="3"/>
  <c r="BA377" i="3"/>
  <c r="AZ377" i="3" s="1"/>
  <c r="AZ229" i="3"/>
  <c r="AZ241" i="3"/>
  <c r="AZ245" i="3"/>
  <c r="AZ257" i="3"/>
  <c r="AZ261" i="3"/>
  <c r="AZ265" i="3"/>
  <c r="BA379" i="3"/>
  <c r="BL380" i="3"/>
  <c r="G381" i="3"/>
  <c r="BA383" i="3"/>
  <c r="AZ383" i="3"/>
  <c r="BL384" i="3"/>
  <c r="G385" i="3"/>
  <c r="BA387" i="3"/>
  <c r="BL388" i="3"/>
  <c r="G389" i="3"/>
  <c r="BA391" i="3"/>
  <c r="AZ391" i="3"/>
  <c r="BL392" i="3"/>
  <c r="G393" i="3"/>
  <c r="AZ263" i="3"/>
  <c r="AZ279" i="3"/>
  <c r="AZ283" i="3"/>
  <c r="AZ291" i="3"/>
  <c r="BO5" i="3"/>
  <c r="BM5" i="3"/>
  <c r="BJ5" i="3"/>
  <c r="BH5" i="3"/>
  <c r="BF5" i="3"/>
  <c r="BD5" i="3"/>
  <c r="AZ317" i="3"/>
  <c r="AZ333" i="3"/>
  <c r="BQ5" i="3"/>
  <c r="AC5" i="3"/>
  <c r="AZ506" i="3"/>
  <c r="AZ496" i="3"/>
  <c r="G548" i="3"/>
  <c r="G538" i="3"/>
  <c r="G520" i="3"/>
  <c r="G502" i="3"/>
  <c r="BS5" i="3"/>
  <c r="BP5" i="3"/>
  <c r="BN5" i="3"/>
  <c r="AZ343" i="3"/>
  <c r="BK5" i="3"/>
  <c r="BI5" i="3"/>
  <c r="BG5" i="3"/>
  <c r="BE5" i="3"/>
  <c r="BC5" i="3"/>
  <c r="G17" i="3"/>
  <c r="BA17" i="3"/>
  <c r="BT5" i="3"/>
  <c r="AZ352" i="3"/>
  <c r="AZ356" i="3"/>
  <c r="AZ368" i="3"/>
  <c r="BA15" i="3"/>
  <c r="BB5" i="3"/>
  <c r="E8" i="6" s="1"/>
  <c r="F27" i="6" s="1"/>
  <c r="BR5" i="3"/>
  <c r="G28" i="6" s="1"/>
  <c r="AZ384" i="3"/>
  <c r="AZ388" i="3"/>
  <c r="AZ392" i="3"/>
  <c r="AZ396" i="3"/>
  <c r="AZ394" i="3"/>
  <c r="AZ509" i="3"/>
  <c r="G509" i="3"/>
  <c r="BL493" i="3"/>
  <c r="AZ493" i="3" s="1"/>
  <c r="AZ382" i="3"/>
  <c r="U36" i="40"/>
  <c r="F36" i="43"/>
  <c r="H113" i="43"/>
  <c r="F48" i="43"/>
  <c r="F70" i="43"/>
  <c r="H73" i="43" s="1"/>
  <c r="M11" i="43"/>
  <c r="D17" i="43"/>
  <c r="F39" i="43"/>
  <c r="I17" i="43"/>
  <c r="F35" i="43"/>
  <c r="J17" i="43"/>
  <c r="F6" i="1"/>
  <c r="U17" i="39"/>
  <c r="S14" i="35"/>
  <c r="U43" i="21"/>
  <c r="U35" i="21"/>
  <c r="AC35" i="21"/>
  <c r="U10" i="21"/>
  <c r="G8" i="1"/>
  <c r="G9" i="1"/>
  <c r="G10" i="1"/>
  <c r="AC11" i="39"/>
  <c r="AZ563" i="3"/>
  <c r="W37" i="37"/>
  <c r="W44" i="34"/>
  <c r="AC44" i="34"/>
  <c r="U13" i="37"/>
  <c r="U12" i="40"/>
  <c r="AA12" i="40"/>
  <c r="J37" i="33"/>
  <c r="W37" i="33" s="1"/>
  <c r="AC17" i="34"/>
  <c r="G106" i="33"/>
  <c r="H106" i="33" s="1"/>
  <c r="I106" i="33" s="1"/>
  <c r="J106" i="33" s="1"/>
  <c r="K106" i="33" s="1"/>
  <c r="L106" i="33" s="1"/>
  <c r="M106" i="33" s="1"/>
  <c r="J34" i="33"/>
  <c r="W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15" i="3"/>
  <c r="AZ227" i="3"/>
  <c r="AZ232" i="3"/>
  <c r="AZ243" i="3"/>
  <c r="AZ248" i="3"/>
  <c r="AZ259" i="3"/>
  <c r="AZ280" i="3"/>
  <c r="AZ288" i="3"/>
  <c r="AZ114" i="3"/>
  <c r="AZ133" i="3"/>
  <c r="AZ21" i="3"/>
  <c r="AZ42" i="3"/>
  <c r="AZ53" i="3"/>
  <c r="AZ72" i="3"/>
  <c r="AZ74" i="3"/>
  <c r="AZ77" i="3"/>
  <c r="AZ102"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K6" i="1"/>
  <c r="W26" i="33"/>
  <c r="AC27" i="34"/>
  <c r="U34" i="36"/>
  <c r="U33" i="36"/>
  <c r="AC12" i="39"/>
  <c r="W12" i="39"/>
  <c r="W12" i="33"/>
  <c r="AC12" i="33"/>
  <c r="AA32" i="36"/>
  <c r="S32" i="36"/>
  <c r="AZ408" i="3"/>
  <c r="AZ437" i="3"/>
  <c r="AZ490" i="3"/>
  <c r="BL14" i="3"/>
  <c r="U30" i="33"/>
  <c r="AC13" i="34"/>
  <c r="AA47" i="34"/>
  <c r="W28" i="37"/>
  <c r="S19" i="39"/>
  <c r="F12" i="33"/>
  <c r="H12" i="39"/>
  <c r="AB12" i="39"/>
  <c r="F39" i="40"/>
  <c r="BA14" i="3"/>
  <c r="AZ213" i="3"/>
  <c r="AZ234" i="3"/>
  <c r="AZ250" i="3"/>
  <c r="AZ281" i="3"/>
  <c r="AZ286" i="3"/>
  <c r="AZ157" i="3"/>
  <c r="AZ173" i="3"/>
  <c r="AZ189" i="3"/>
  <c r="AZ19" i="3"/>
  <c r="S12" i="1"/>
  <c r="R12" i="1"/>
  <c r="B12" i="1"/>
  <c r="E12" i="1" s="1"/>
  <c r="S10" i="1"/>
  <c r="AQ10" i="1" s="1"/>
  <c r="R10" i="1"/>
  <c r="B10" i="1"/>
  <c r="E10" i="1" s="1"/>
  <c r="AZ107"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S29" i="36"/>
  <c r="AC26" i="36"/>
  <c r="AA22" i="36"/>
  <c r="W14" i="36"/>
  <c r="AB14" i="36"/>
  <c r="U22" i="36"/>
  <c r="S16" i="36"/>
  <c r="AA25" i="36"/>
  <c r="S24" i="36"/>
  <c r="U23" i="36"/>
  <c r="AB20" i="36"/>
  <c r="U16" i="36"/>
  <c r="S14" i="36"/>
  <c r="U10" i="36"/>
  <c r="W10" i="36"/>
  <c r="AA25"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1" i="6"/>
  <c r="E61" i="39" s="1"/>
  <c r="BL17" i="3"/>
  <c r="AZ17" i="3" s="1"/>
  <c r="BL13" i="3"/>
  <c r="J56" i="9"/>
  <c r="J57" i="9" s="1"/>
  <c r="J59" i="9" s="1"/>
  <c r="A24" i="51"/>
  <c r="B18" i="72" s="1"/>
  <c r="U29" i="34"/>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48" i="43"/>
  <c r="B46" i="43"/>
  <c r="E70" i="43"/>
  <c r="B68" i="43"/>
  <c r="F100" i="43"/>
  <c r="H17" i="43"/>
  <c r="H53" i="43"/>
  <c r="H78" i="43"/>
  <c r="H71" i="43"/>
  <c r="C17" i="43"/>
  <c r="F33" i="43"/>
  <c r="K17" i="43"/>
  <c r="F34" i="43"/>
  <c r="N6" i="43"/>
  <c r="N3" i="43"/>
  <c r="F38" i="43"/>
  <c r="F37" i="43"/>
  <c r="M9" i="43"/>
  <c r="N5" i="43"/>
  <c r="M12" i="43"/>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s="1"/>
  <c r="E46" i="36" s="1"/>
  <c r="F46" i="36" s="1"/>
  <c r="C59" i="34"/>
  <c r="D59" i="34" s="1"/>
  <c r="E59" i="34" s="1"/>
  <c r="F59" i="34" s="1"/>
  <c r="G59" i="34" s="1"/>
  <c r="H59" i="34" s="1"/>
  <c r="I59" i="34" s="1"/>
  <c r="J59" i="34" s="1"/>
  <c r="K59" i="34" s="1"/>
  <c r="C52" i="37"/>
  <c r="D52" i="37" s="1"/>
  <c r="E52" i="37" s="1"/>
  <c r="F52" i="37" s="1"/>
  <c r="G52" i="37" s="1"/>
  <c r="A4" i="51"/>
  <c r="B6" i="72" s="1"/>
  <c r="C4" i="12"/>
  <c r="H66" i="43"/>
  <c r="H65" i="43"/>
  <c r="H64" i="43"/>
  <c r="H63" i="43"/>
  <c r="H55" i="43"/>
  <c r="H56" i="43"/>
  <c r="H72" i="43"/>
  <c r="L20" i="6"/>
  <c r="E56" i="39"/>
  <c r="E51" i="40"/>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T11" i="1"/>
  <c r="D9" i="69"/>
  <c r="C9" i="69" s="1"/>
  <c r="AQ9" i="1"/>
  <c r="AR11" i="1"/>
  <c r="T9" i="1"/>
  <c r="T13" i="1"/>
  <c r="S7" i="1"/>
  <c r="AQ7" i="1" s="1"/>
  <c r="E7" i="70"/>
  <c r="AA39" i="40"/>
  <c r="S39" i="40"/>
  <c r="S12" i="33"/>
  <c r="AA12" i="33"/>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AB11" i="34" s="1"/>
  <c r="AB10" i="34"/>
  <c r="U10" i="34"/>
  <c r="J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C23" i="33"/>
  <c r="W23" i="33"/>
  <c r="AA19" i="33"/>
  <c r="H19" i="33"/>
  <c r="G81" i="33"/>
  <c r="H17" i="33"/>
  <c r="F17" i="33"/>
  <c r="AA17" i="33" s="1"/>
  <c r="W17" i="33"/>
  <c r="AC17" i="33"/>
  <c r="U10" i="33"/>
  <c r="AB10" i="33"/>
  <c r="AC10" i="33"/>
  <c r="W10" i="33"/>
  <c r="AC37" i="21"/>
  <c r="U33" i="21"/>
  <c r="S37" i="21"/>
  <c r="AA23" i="21"/>
  <c r="AB15" i="21"/>
  <c r="J23" i="21"/>
  <c r="AC23" i="21" s="1"/>
  <c r="F85" i="21"/>
  <c r="G85" i="21" s="1"/>
  <c r="H23" i="21"/>
  <c r="AB23" i="21" s="1"/>
  <c r="S13" i="21"/>
  <c r="D6" i="52"/>
  <c r="D121" i="9"/>
  <c r="D7" i="52"/>
  <c r="K120" i="9"/>
  <c r="J22" i="43"/>
  <c r="J61" i="9"/>
  <c r="AR8" i="1"/>
  <c r="T8" i="1"/>
  <c r="R22" i="31"/>
  <c r="B21" i="31" s="1"/>
  <c r="B5" i="62"/>
  <c r="B73" i="72" s="1"/>
  <c r="L27" i="6"/>
  <c r="AP7" i="1"/>
  <c r="AB45" i="21"/>
  <c r="AC33" i="21"/>
  <c r="W33" i="21"/>
  <c r="S33" i="21"/>
  <c r="AA33" i="21"/>
  <c r="W32" i="21"/>
  <c r="AC32" i="21"/>
  <c r="AB9" i="21"/>
  <c r="U9" i="21"/>
  <c r="AA32" i="21"/>
  <c r="S32" i="21"/>
  <c r="W9" i="21"/>
  <c r="AC9" i="21"/>
  <c r="AB32" i="21"/>
  <c r="U32" i="21"/>
  <c r="AA10" i="21"/>
  <c r="S10" i="21"/>
  <c r="A18" i="62"/>
  <c r="B64" i="72" s="1"/>
  <c r="U32" i="39"/>
  <c r="AC32" i="39"/>
  <c r="W32" i="39"/>
  <c r="W19" i="37"/>
  <c r="W23" i="37"/>
  <c r="AC23" i="37"/>
  <c r="AB11" i="37"/>
  <c r="H63" i="37"/>
  <c r="I63" i="37" s="1"/>
  <c r="J63" i="37" s="1"/>
  <c r="K63" i="37" s="1"/>
  <c r="L63" i="37" s="1"/>
  <c r="M63" i="37" s="1"/>
  <c r="J11" i="37"/>
  <c r="AC11" i="37" s="1"/>
  <c r="W10" i="37"/>
  <c r="AC10" i="37"/>
  <c r="U11" i="34"/>
  <c r="AC10" i="34"/>
  <c r="W10" i="34"/>
  <c r="H70" i="34"/>
  <c r="I70" i="34" s="1"/>
  <c r="J70" i="34" s="1"/>
  <c r="K70" i="34" s="1"/>
  <c r="L70" i="34" s="1"/>
  <c r="M70" i="34" s="1"/>
  <c r="J11" i="34"/>
  <c r="AC11" i="34" s="1"/>
  <c r="W36" i="33"/>
  <c r="U36" i="33"/>
  <c r="AB36" i="33"/>
  <c r="AC27" i="33"/>
  <c r="AC25" i="33"/>
  <c r="AA23" i="33"/>
  <c r="S23" i="33"/>
  <c r="AB19" i="33"/>
  <c r="U19" i="33"/>
  <c r="S17" i="33"/>
  <c r="U17" i="33"/>
  <c r="AB17" i="33"/>
  <c r="W23" i="21"/>
  <c r="W11" i="37"/>
  <c r="W11" i="34"/>
  <c r="R7" i="1"/>
  <c r="F34" i="11"/>
  <c r="C36" i="11" s="1"/>
  <c r="F11" i="12"/>
  <c r="C23" i="12" s="1"/>
  <c r="F34" i="68"/>
  <c r="R8" i="1"/>
  <c r="AE7" i="1"/>
  <c r="AE8" i="1"/>
  <c r="AG6" i="1"/>
  <c r="H109" i="9"/>
  <c r="H110" i="9" s="1"/>
  <c r="D18" i="53" s="1"/>
  <c r="B35" i="72" s="1"/>
  <c r="D16" i="53"/>
  <c r="B34" i="72" s="1"/>
  <c r="D59" i="9"/>
  <c r="M55" i="9"/>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E68" i="39" s="1"/>
  <c r="F48" i="35"/>
  <c r="C24" i="12"/>
  <c r="AB12" i="71"/>
  <c r="X10" i="71"/>
  <c r="X9" i="71"/>
  <c r="AA10" i="71"/>
  <c r="AA9" i="71"/>
  <c r="X13" i="71"/>
  <c r="Y9" i="71"/>
  <c r="Z9" i="71" s="1"/>
  <c r="AB10" i="71"/>
  <c r="AB9" i="71"/>
  <c r="F11" i="71"/>
  <c r="F10" i="71" s="1"/>
  <c r="F9" i="71" s="1"/>
  <c r="F8" i="71" s="1"/>
  <c r="F7" i="71" s="1"/>
  <c r="Y10" i="71"/>
  <c r="Z10" i="71" s="1"/>
  <c r="AB3" i="71"/>
  <c r="X3" i="71"/>
  <c r="F7" i="15"/>
  <c r="AO9" i="1"/>
  <c r="D2" i="33"/>
  <c r="M21" i="67"/>
  <c r="F35" i="67"/>
  <c r="F7" i="73"/>
  <c r="F16" i="67"/>
  <c r="F36" i="15"/>
  <c r="M23" i="67"/>
  <c r="F7" i="67"/>
  <c r="F9" i="67"/>
  <c r="AO8" i="1"/>
  <c r="F5" i="73"/>
  <c r="M28" i="67"/>
  <c r="M23" i="15"/>
  <c r="F6" i="67"/>
  <c r="M24" i="15"/>
  <c r="AO11" i="1"/>
  <c r="F40" i="67"/>
  <c r="B9" i="76"/>
  <c r="F13" i="15"/>
  <c r="L48" i="15"/>
  <c r="M27" i="67"/>
  <c r="F8" i="15"/>
  <c r="F13" i="67"/>
  <c r="C76" i="67"/>
  <c r="D2" i="37"/>
  <c r="AO10" i="1"/>
  <c r="F42" i="15"/>
  <c r="B11" i="76"/>
  <c r="AO12" i="1"/>
  <c r="F37" i="15"/>
  <c r="E13" i="76"/>
  <c r="B7" i="76"/>
  <c r="D2" i="36"/>
  <c r="F42" i="67"/>
  <c r="F9" i="15"/>
  <c r="M8" i="15"/>
  <c r="F3" i="73"/>
  <c r="E11" i="76"/>
  <c r="AO13" i="1"/>
  <c r="B10" i="76"/>
  <c r="F37" i="67"/>
  <c r="E10" i="76"/>
  <c r="B12" i="76"/>
  <c r="M26" i="15"/>
  <c r="J15" i="67"/>
  <c r="L47" i="15"/>
  <c r="F43" i="15"/>
  <c r="F6" i="73"/>
  <c r="F20" i="31"/>
  <c r="F41" i="67"/>
  <c r="F36" i="67"/>
  <c r="M26" i="67"/>
  <c r="L48" i="67"/>
  <c r="B8" i="76"/>
  <c r="M24" i="67"/>
  <c r="M27" i="15"/>
  <c r="M8" i="67"/>
  <c r="E2" i="69"/>
  <c r="F26" i="67"/>
  <c r="F8" i="67"/>
  <c r="E7" i="76"/>
  <c r="F40" i="15"/>
  <c r="L47" i="67"/>
  <c r="F4" i="73"/>
  <c r="F26" i="15"/>
  <c r="M22" i="15"/>
  <c r="M9" i="15"/>
  <c r="J15" i="15"/>
  <c r="E2" i="68"/>
  <c r="D2" i="21"/>
  <c r="F16" i="15"/>
  <c r="M6" i="67"/>
  <c r="M29" i="67"/>
  <c r="D2" i="35"/>
  <c r="AO7" i="1"/>
  <c r="E8" i="76"/>
  <c r="M9" i="67"/>
  <c r="D2" i="34"/>
  <c r="E9" i="76"/>
  <c r="M6" i="15"/>
  <c r="F38" i="67"/>
  <c r="M28" i="15"/>
  <c r="F6" i="15"/>
  <c r="C76" i="15"/>
  <c r="D7" i="73"/>
  <c r="B13" i="76"/>
  <c r="F38" i="15"/>
  <c r="E12" i="76"/>
  <c r="M29" i="15"/>
  <c r="D6" i="73"/>
  <c r="F43" i="67"/>
  <c r="D3" i="73"/>
  <c r="M22" i="67"/>
  <c r="D5" i="73"/>
  <c r="U23" i="21" l="1"/>
  <c r="K4" i="4"/>
  <c r="B46" i="48" s="1"/>
  <c r="B4" i="72" s="1"/>
  <c r="F53" i="9"/>
  <c r="F52" i="80"/>
  <c r="F48" i="80"/>
  <c r="O52" i="80" s="1"/>
  <c r="D68" i="79"/>
  <c r="F52" i="79"/>
  <c r="F48" i="79"/>
  <c r="O52" i="79" s="1"/>
  <c r="F53" i="78"/>
  <c r="D68" i="80"/>
  <c r="F54" i="80"/>
  <c r="F53" i="80"/>
  <c r="F54" i="79"/>
  <c r="F53" i="79"/>
  <c r="D68" i="78"/>
  <c r="F54" i="78"/>
  <c r="F52" i="78"/>
  <c r="F48" i="78"/>
  <c r="O52" i="78" s="1"/>
  <c r="F48" i="9"/>
  <c r="O52" i="9" s="1"/>
  <c r="H52" i="43"/>
  <c r="H50" i="43"/>
  <c r="AZ327" i="3"/>
  <c r="AZ311" i="3"/>
  <c r="S12" i="21"/>
  <c r="AA12" i="21"/>
  <c r="U23" i="35"/>
  <c r="AB23" i="35"/>
  <c r="C77" i="78"/>
  <c r="C74" i="78" s="1"/>
  <c r="C77" i="80"/>
  <c r="C74" i="80"/>
  <c r="C77" i="79"/>
  <c r="C74" i="79"/>
  <c r="AZ372" i="3"/>
  <c r="U12" i="35"/>
  <c r="AB12" i="35"/>
  <c r="AA31" i="39"/>
  <c r="S31" i="39"/>
  <c r="BL548" i="3"/>
  <c r="S15" i="37"/>
  <c r="E12" i="6"/>
  <c r="G29" i="6"/>
  <c r="AZ362" i="3"/>
  <c r="AZ334" i="3"/>
  <c r="AZ306" i="3"/>
  <c r="AZ351" i="3"/>
  <c r="AZ329" i="3"/>
  <c r="AZ380" i="3"/>
  <c r="AZ360" i="3"/>
  <c r="AC31" i="33"/>
  <c r="W47" i="34"/>
  <c r="AB28" i="37"/>
  <c r="U35" i="35"/>
  <c r="AC32" i="36"/>
  <c r="AZ503" i="3"/>
  <c r="AZ523" i="3"/>
  <c r="AZ531" i="3"/>
  <c r="AZ539" i="3"/>
  <c r="AZ547" i="3"/>
  <c r="AZ553" i="3"/>
  <c r="AZ583" i="3"/>
  <c r="AZ558" i="3"/>
  <c r="AZ581" i="3"/>
  <c r="AZ518" i="3"/>
  <c r="AZ568" i="3"/>
  <c r="AZ576" i="3"/>
  <c r="AC28" i="21"/>
  <c r="AB26" i="33"/>
  <c r="AB11" i="36"/>
  <c r="U31" i="34"/>
  <c r="U30" i="35"/>
  <c r="S26" i="33"/>
  <c r="F27" i="34"/>
  <c r="AA39" i="37"/>
  <c r="F23" i="35"/>
  <c r="F34" i="36"/>
  <c r="F12" i="36"/>
  <c r="AB12" i="36"/>
  <c r="AC12" i="34"/>
  <c r="C21" i="39"/>
  <c r="J31" i="39"/>
  <c r="U34" i="40"/>
  <c r="S40" i="40"/>
  <c r="U9" i="40"/>
  <c r="W8" i="40"/>
  <c r="U34" i="34"/>
  <c r="J33" i="36"/>
  <c r="U9" i="39"/>
  <c r="F45" i="39"/>
  <c r="BL586" i="3"/>
  <c r="AZ586" i="3" s="1"/>
  <c r="BL585" i="3"/>
  <c r="AZ585" i="3" s="1"/>
  <c r="H12" i="34"/>
  <c r="J23" i="35"/>
  <c r="F9" i="36"/>
  <c r="G570" i="3"/>
  <c r="G556" i="3"/>
  <c r="BA550" i="3"/>
  <c r="G526" i="3"/>
  <c r="G14" i="3"/>
  <c r="D78" i="9"/>
  <c r="D93" i="80"/>
  <c r="D78" i="79"/>
  <c r="D93" i="78"/>
  <c r="D78" i="78"/>
  <c r="D78" i="80"/>
  <c r="D93" i="79"/>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BA440" i="3"/>
  <c r="AZ440" i="3" s="1"/>
  <c r="BA441" i="3"/>
  <c r="AZ441" i="3" s="1"/>
  <c r="BA442" i="3"/>
  <c r="AZ442" i="3" s="1"/>
  <c r="BL442" i="3"/>
  <c r="G444" i="3"/>
  <c r="BL444"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AZ488" i="3"/>
  <c r="AZ436" i="3"/>
  <c r="AZ438" i="3"/>
  <c r="AZ461" i="3"/>
  <c r="AZ463" i="3"/>
  <c r="AZ468" i="3"/>
  <c r="AZ470" i="3"/>
  <c r="AZ479" i="3"/>
  <c r="AZ485"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22" i="3"/>
  <c r="BA57" i="3"/>
  <c r="AZ57" i="3" s="1"/>
  <c r="BA58" i="3"/>
  <c r="AZ58" i="3" s="1"/>
  <c r="BA59" i="3"/>
  <c r="AZ59" i="3" s="1"/>
  <c r="BL61" i="3"/>
  <c r="AZ61" i="3" s="1"/>
  <c r="G63" i="3"/>
  <c r="G64" i="3"/>
  <c r="BL64" i="3"/>
  <c r="AZ64" i="3" s="1"/>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E13" i="71"/>
  <c r="E12" i="71" s="1"/>
  <c r="E11" i="71" s="1"/>
  <c r="E10" i="71" s="1"/>
  <c r="V14" i="71"/>
  <c r="D20" i="71"/>
  <c r="C21" i="71"/>
  <c r="D32" i="71"/>
  <c r="C33" i="71"/>
  <c r="D40" i="71"/>
  <c r="C41" i="71"/>
  <c r="D52" i="71"/>
  <c r="C53" i="71"/>
  <c r="P74" i="67"/>
  <c r="BL109" i="3"/>
  <c r="AZ109" i="3" s="1"/>
  <c r="BL111" i="3"/>
  <c r="AZ111" i="3" s="1"/>
  <c r="BA112" i="3"/>
  <c r="AZ112" i="3" s="1"/>
  <c r="M47" i="80"/>
  <c r="M47" i="79"/>
  <c r="M47" i="78"/>
  <c r="K100" i="43"/>
  <c r="I10" i="66"/>
  <c r="C51" i="10"/>
  <c r="A13" i="51" s="1"/>
  <c r="B11" i="72" s="1"/>
  <c r="A118" i="79"/>
  <c r="A118" i="80"/>
  <c r="A2" i="80"/>
  <c r="A2" i="79"/>
  <c r="A118" i="78"/>
  <c r="A2" i="78"/>
  <c r="AB21" i="33"/>
  <c r="C29" i="39"/>
  <c r="B66" i="43"/>
  <c r="AB19" i="71"/>
  <c r="B22" i="71"/>
  <c r="S22" i="71" s="1"/>
  <c r="E21" i="71"/>
  <c r="E22" i="71" s="1"/>
  <c r="U22" i="71" s="1"/>
  <c r="X20" i="71"/>
  <c r="AB20" i="71"/>
  <c r="Y21" i="71"/>
  <c r="Z21" i="71" s="1"/>
  <c r="X21" i="71"/>
  <c r="AB22" i="71"/>
  <c r="AB24" i="71"/>
  <c r="Y25" i="71"/>
  <c r="Z25" i="71" s="1"/>
  <c r="AB26" i="71"/>
  <c r="AJ10" i="43"/>
  <c r="M56" i="9"/>
  <c r="M56" i="80"/>
  <c r="J56" i="80"/>
  <c r="J57" i="80" s="1"/>
  <c r="J59" i="80" s="1"/>
  <c r="J61" i="80" s="1"/>
  <c r="N56" i="79"/>
  <c r="K56" i="79"/>
  <c r="M56" i="78"/>
  <c r="J56" i="78"/>
  <c r="J57" i="78" s="1"/>
  <c r="J59" i="78" s="1"/>
  <c r="J61" i="78" s="1"/>
  <c r="N56" i="80"/>
  <c r="K56" i="80"/>
  <c r="M56" i="79"/>
  <c r="J56" i="79"/>
  <c r="J57" i="79" s="1"/>
  <c r="J59" i="79" s="1"/>
  <c r="J61" i="79" s="1"/>
  <c r="N56" i="78"/>
  <c r="K56" i="78"/>
  <c r="M19" i="43"/>
  <c r="B4" i="62"/>
  <c r="B71" i="72" s="1"/>
  <c r="E13" i="49"/>
  <c r="E6" i="49"/>
  <c r="B6" i="49"/>
  <c r="B19" i="53"/>
  <c r="B37" i="72" s="1"/>
  <c r="C40" i="68"/>
  <c r="B10" i="49"/>
  <c r="B22" i="49"/>
  <c r="E10" i="49"/>
  <c r="B4" i="49"/>
  <c r="E8" i="49"/>
  <c r="E9" i="49"/>
  <c r="B8" i="49"/>
  <c r="E14" i="49"/>
  <c r="C36" i="69"/>
  <c r="H83" i="43"/>
  <c r="G83" i="43" s="1"/>
  <c r="H82" i="43"/>
  <c r="G82" i="43" s="1"/>
  <c r="H85" i="43"/>
  <c r="G85" i="43" s="1"/>
  <c r="H84" i="43"/>
  <c r="G84" i="43" s="1"/>
  <c r="H86" i="43"/>
  <c r="G86" i="43" s="1"/>
  <c r="H87" i="43"/>
  <c r="G87" i="43" s="1"/>
  <c r="H81" i="43"/>
  <c r="G81" i="43" s="1"/>
  <c r="H88" i="43"/>
  <c r="G88" i="43" s="1"/>
  <c r="G17" i="43"/>
  <c r="C16" i="43" s="1"/>
  <c r="C5" i="43" s="1"/>
  <c r="C92" i="9"/>
  <c r="C94" i="9"/>
  <c r="F28" i="15"/>
  <c r="C28" i="15" s="1"/>
  <c r="F31" i="12"/>
  <c r="D68" i="9"/>
  <c r="M18" i="67"/>
  <c r="F30" i="68"/>
  <c r="C30" i="68" s="1"/>
  <c r="F54" i="9"/>
  <c r="M18" i="15"/>
  <c r="F32" i="15"/>
  <c r="F60" i="15" s="1"/>
  <c r="F30" i="69"/>
  <c r="F32" i="67"/>
  <c r="F60" i="67" s="1"/>
  <c r="F52" i="9"/>
  <c r="F28" i="67"/>
  <c r="C28" i="67" s="1"/>
  <c r="F30" i="11"/>
  <c r="C31" i="12"/>
  <c r="D22" i="67"/>
  <c r="Q16" i="1"/>
  <c r="F27" i="69" s="1"/>
  <c r="C47" i="69" s="1"/>
  <c r="D45" i="69" s="1"/>
  <c r="G5" i="3"/>
  <c r="B3" i="3" s="1"/>
  <c r="E57" i="40"/>
  <c r="E62" i="39"/>
  <c r="E15" i="6"/>
  <c r="E60" i="40" s="1"/>
  <c r="F28" i="6"/>
  <c r="BL15" i="3"/>
  <c r="AZ15" i="3" s="1"/>
  <c r="AR7" i="1"/>
  <c r="D19" i="12"/>
  <c r="C19" i="12" s="1"/>
  <c r="E14" i="6"/>
  <c r="E10" i="6"/>
  <c r="AZ14" i="3"/>
  <c r="E13" i="6"/>
  <c r="F27" i="11"/>
  <c r="C47" i="11" s="1"/>
  <c r="D45" i="11" s="1"/>
  <c r="T7" i="1"/>
  <c r="E28" i="6"/>
  <c r="K14" i="1" s="1"/>
  <c r="G30" i="6"/>
  <c r="G31" i="6" s="1"/>
  <c r="O8" i="1"/>
  <c r="P8" i="1" s="1"/>
  <c r="F29" i="6"/>
  <c r="F30" i="6" s="1"/>
  <c r="F31" i="6" s="1"/>
  <c r="E56" i="40"/>
  <c r="D5" i="43"/>
  <c r="D70" i="39"/>
  <c r="F68" i="39"/>
  <c r="E70" i="39"/>
  <c r="C65" i="40"/>
  <c r="D63" i="40"/>
  <c r="D58" i="33"/>
  <c r="E58" i="33" s="1"/>
  <c r="F58" i="33" s="1"/>
  <c r="G58" i="33" s="1"/>
  <c r="H58" i="33" s="1"/>
  <c r="I58" i="33" s="1"/>
  <c r="J58" i="33" s="1"/>
  <c r="K58" i="33" s="1"/>
  <c r="L58" i="33" s="1"/>
  <c r="M58" i="33" s="1"/>
  <c r="N58" i="33" s="1"/>
  <c r="O58" i="33" s="1"/>
  <c r="H7" i="33"/>
  <c r="L59" i="34"/>
  <c r="M59" i="34" s="1"/>
  <c r="N59" i="34" s="1"/>
  <c r="O59" i="34" s="1"/>
  <c r="E9" i="71"/>
  <c r="E8" i="71" s="1"/>
  <c r="E7" i="71" s="1"/>
  <c r="E6" i="71" s="1"/>
  <c r="E5" i="71" s="1"/>
  <c r="V10" i="71"/>
  <c r="H58" i="21"/>
  <c r="I58" i="21" s="1"/>
  <c r="J58" i="21" s="1"/>
  <c r="K58" i="21" s="1"/>
  <c r="L58" i="21" s="1"/>
  <c r="M58" i="21" s="1"/>
  <c r="N58" i="21" s="1"/>
  <c r="O58" i="21" s="1"/>
  <c r="G46" i="36"/>
  <c r="G48" i="35"/>
  <c r="H52" i="37"/>
  <c r="D17" i="53"/>
  <c r="B36" i="72" s="1"/>
  <c r="D124" i="9"/>
  <c r="C29" i="11"/>
  <c r="D27" i="11" s="1"/>
  <c r="E29"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69" i="3"/>
  <c r="E237" i="3"/>
  <c r="E114" i="3"/>
  <c r="E261" i="3"/>
  <c r="E278" i="3"/>
  <c r="E304" i="3"/>
  <c r="E415" i="3"/>
  <c r="E528" i="3"/>
  <c r="E563" i="3"/>
  <c r="E565" i="3"/>
  <c r="E395" i="3"/>
  <c r="E183" i="3"/>
  <c r="E172" i="3"/>
  <c r="E213" i="3"/>
  <c r="E260" i="3"/>
  <c r="E361" i="3"/>
  <c r="E445" i="3"/>
  <c r="E17" i="3"/>
  <c r="E550" i="3"/>
  <c r="E503" i="3"/>
  <c r="E535" i="3"/>
  <c r="E302" i="3"/>
  <c r="AC9" i="34"/>
  <c r="W9" i="34"/>
  <c r="AC24" i="35"/>
  <c r="W24" i="35"/>
  <c r="AC34" i="35"/>
  <c r="W34" i="35"/>
  <c r="AB36" i="35"/>
  <c r="U36" i="35"/>
  <c r="F7" i="34"/>
  <c r="O9" i="1"/>
  <c r="P9" i="1" s="1"/>
  <c r="D9" i="53"/>
  <c r="B25" i="72" s="1"/>
  <c r="B24" i="72"/>
  <c r="AZ557" i="3"/>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B113" i="43"/>
  <c r="G101" i="43"/>
  <c r="C101" i="43"/>
  <c r="J101" i="43"/>
  <c r="N104" i="46"/>
  <c r="L101" i="43"/>
  <c r="H101" i="43"/>
  <c r="G22" i="43"/>
  <c r="AB31" i="21"/>
  <c r="U31" i="21"/>
  <c r="W45" i="21"/>
  <c r="AC45" i="21"/>
  <c r="AA9" i="21"/>
  <c r="S9" i="21"/>
  <c r="S12" i="34"/>
  <c r="AA12" i="34"/>
  <c r="AA14" i="33"/>
  <c r="AA44" i="33"/>
  <c r="H9" i="34"/>
  <c r="F34" i="35"/>
  <c r="H34" i="35"/>
  <c r="J36" i="35"/>
  <c r="J24" i="36"/>
  <c r="H24" i="36"/>
  <c r="J39" i="40"/>
  <c r="H39" i="40"/>
  <c r="BA551" i="3"/>
  <c r="AZ551" i="3" s="1"/>
  <c r="AZ398" i="3"/>
  <c r="AZ405" i="3"/>
  <c r="AZ407" i="3"/>
  <c r="AZ410" i="3"/>
  <c r="AZ415" i="3"/>
  <c r="AZ420" i="3"/>
  <c r="AZ426" i="3"/>
  <c r="AZ431" i="3"/>
  <c r="AB27" i="36"/>
  <c r="AA39" i="34"/>
  <c r="AZ548" i="3"/>
  <c r="F38" i="40"/>
  <c r="J38" i="40"/>
  <c r="H38" i="40"/>
  <c r="BL550" i="3"/>
  <c r="BL5" i="3" s="1"/>
  <c r="AZ424" i="3"/>
  <c r="AZ448" i="3"/>
  <c r="AZ452" i="3"/>
  <c r="AZ12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54" i="3"/>
  <c r="AZ56" i="3"/>
  <c r="AZ73" i="3"/>
  <c r="AZ78" i="3"/>
  <c r="AZ91" i="3"/>
  <c r="AZ98" i="3"/>
  <c r="AZ104" i="3"/>
  <c r="AZ108" i="3"/>
  <c r="D30" i="71"/>
  <c r="T30" i="71"/>
  <c r="C45" i="71"/>
  <c r="D44" i="71"/>
  <c r="M100" i="43"/>
  <c r="I100" i="43"/>
  <c r="E100" i="43"/>
  <c r="D100" i="43"/>
  <c r="D23" i="67"/>
  <c r="W21" i="37"/>
  <c r="U18" i="35"/>
  <c r="V58" i="71"/>
  <c r="F57" i="71"/>
  <c r="Z12" i="43"/>
  <c r="Z10" i="43"/>
  <c r="AD12" i="43"/>
  <c r="AD10" i="43"/>
  <c r="AH12" i="43"/>
  <c r="AH10" i="43"/>
  <c r="Y12" i="71"/>
  <c r="Z12" i="71" s="1"/>
  <c r="AB13" i="71"/>
  <c r="X11" i="71"/>
  <c r="Y8" i="71"/>
  <c r="Z8" i="71" s="1"/>
  <c r="AA7" i="71"/>
  <c r="AB8" i="71"/>
  <c r="X5" i="71"/>
  <c r="AA5" i="71"/>
  <c r="X7" i="71"/>
  <c r="D17" i="71"/>
  <c r="AB17" i="71"/>
  <c r="S18" i="71"/>
  <c r="X22" i="71"/>
  <c r="AA19" i="71"/>
  <c r="X14" i="71"/>
  <c r="AF10" i="43"/>
  <c r="AC12" i="43"/>
  <c r="AC13" i="43" s="1"/>
  <c r="AC10" i="43"/>
  <c r="AG12" i="43"/>
  <c r="AG13" i="43" s="1"/>
  <c r="AG10" i="43"/>
  <c r="Y14" i="71"/>
  <c r="Z14" i="71" s="1"/>
  <c r="AA13" i="71"/>
  <c r="X12" i="71"/>
  <c r="AA11" i="71"/>
  <c r="X8" i="71"/>
  <c r="AA8" i="71"/>
  <c r="AB5" i="71"/>
  <c r="Y7" i="71"/>
  <c r="Z7" i="71" s="1"/>
  <c r="Y11" i="71"/>
  <c r="Z11" i="71" s="1"/>
  <c r="AA12" i="71"/>
  <c r="AB11" i="71"/>
  <c r="Y6" i="71"/>
  <c r="Z6" i="71" s="1"/>
  <c r="AA6" i="71"/>
  <c r="AA14" i="71"/>
  <c r="AB14" i="71"/>
  <c r="B14" i="71"/>
  <c r="C14" i="71"/>
  <c r="Y13" i="71"/>
  <c r="Z13" i="71" s="1"/>
  <c r="AB7" i="71"/>
  <c r="Y5" i="71"/>
  <c r="E22" i="49"/>
  <c r="E21" i="49"/>
  <c r="B14" i="49"/>
  <c r="B9" i="49"/>
  <c r="E11" i="49"/>
  <c r="B11" i="49"/>
  <c r="E4" i="49"/>
  <c r="B13" i="49"/>
  <c r="E7" i="49"/>
  <c r="X6" i="71"/>
  <c r="AB6" i="71"/>
  <c r="Z5" i="71"/>
  <c r="Y3" i="71"/>
  <c r="Z3" i="71" s="1"/>
  <c r="F6" i="71"/>
  <c r="F5" i="71" s="1"/>
  <c r="AF3" i="71"/>
  <c r="P22" i="43" s="1"/>
  <c r="P24" i="43"/>
  <c r="B66" i="40" s="1"/>
  <c r="C6" i="67"/>
  <c r="B10" i="70"/>
  <c r="Q71" i="15"/>
  <c r="J53" i="15"/>
  <c r="L56" i="15" s="1"/>
  <c r="J57" i="15"/>
  <c r="J55" i="15" s="1"/>
  <c r="J58" i="15" s="1"/>
  <c r="Q50" i="15" s="1"/>
  <c r="I54" i="15"/>
  <c r="K1" i="73"/>
  <c r="B20" i="31"/>
  <c r="I1" i="73"/>
  <c r="B39" i="1" s="1"/>
  <c r="F51" i="67"/>
  <c r="F65" i="67"/>
  <c r="J20" i="67"/>
  <c r="B12" i="70"/>
  <c r="J53" i="67"/>
  <c r="J57" i="67"/>
  <c r="J55" i="67" s="1"/>
  <c r="J58" i="67" s="1"/>
  <c r="Q50" i="67" s="1"/>
  <c r="L56" i="67"/>
  <c r="I54" i="67"/>
  <c r="M7" i="15"/>
  <c r="J6" i="15" s="1"/>
  <c r="F50" i="15"/>
  <c r="F51" i="15"/>
  <c r="F71" i="15"/>
  <c r="B7" i="70"/>
  <c r="C6" i="15"/>
  <c r="F69" i="67"/>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15"/>
  <c r="F59" i="15"/>
  <c r="F59" i="67"/>
  <c r="F31" i="67"/>
  <c r="M17" i="67"/>
  <c r="D4" i="73"/>
  <c r="C36" i="68"/>
  <c r="C14" i="67"/>
  <c r="G1" i="73"/>
  <c r="C17" i="67"/>
  <c r="C16" i="67"/>
  <c r="D9" i="68"/>
  <c r="C16" i="15"/>
  <c r="E20" i="43" l="1"/>
  <c r="M81" i="43"/>
  <c r="N81" i="43" s="1"/>
  <c r="K81" i="43"/>
  <c r="M86" i="43"/>
  <c r="N86" i="43" s="1"/>
  <c r="K86" i="43"/>
  <c r="J86" i="43" s="1"/>
  <c r="M85" i="43"/>
  <c r="N85" i="43" s="1"/>
  <c r="K85" i="43"/>
  <c r="J85" i="43" s="1"/>
  <c r="M83" i="43"/>
  <c r="N83" i="43" s="1"/>
  <c r="K83" i="43"/>
  <c r="J83" i="43" s="1"/>
  <c r="I21" i="66"/>
  <c r="D1" i="66"/>
  <c r="E10" i="66" s="1"/>
  <c r="AC23" i="35"/>
  <c r="W23" i="35"/>
  <c r="S45" i="39"/>
  <c r="AA45" i="39"/>
  <c r="W33" i="36"/>
  <c r="AC33" i="36"/>
  <c r="AC31" i="39"/>
  <c r="W31" i="39"/>
  <c r="S12" i="36"/>
  <c r="AA12" i="36"/>
  <c r="AA23" i="35"/>
  <c r="S23" i="35"/>
  <c r="AA27" i="34"/>
  <c r="S27" i="34"/>
  <c r="AZ550" i="3"/>
  <c r="M88" i="43"/>
  <c r="N88" i="43" s="1"/>
  <c r="K88" i="43"/>
  <c r="M87" i="43"/>
  <c r="N87" i="43" s="1"/>
  <c r="K87" i="43"/>
  <c r="M84" i="43"/>
  <c r="N84" i="43" s="1"/>
  <c r="K84" i="43"/>
  <c r="J84" i="43" s="1"/>
  <c r="M82" i="43"/>
  <c r="N82" i="43" s="1"/>
  <c r="K82" i="43"/>
  <c r="C54" i="71"/>
  <c r="D53" i="71"/>
  <c r="C42" i="71"/>
  <c r="D41" i="71"/>
  <c r="C34" i="71"/>
  <c r="D33" i="71"/>
  <c r="C22" i="71"/>
  <c r="D21" i="71"/>
  <c r="AZ487" i="3"/>
  <c r="AZ481" i="3"/>
  <c r="AZ454" i="3"/>
  <c r="AZ5" i="3" s="1"/>
  <c r="AZ422" i="3"/>
  <c r="AA9" i="36"/>
  <c r="S9" i="36"/>
  <c r="U12" i="34"/>
  <c r="AB12" i="34"/>
  <c r="S34" i="36"/>
  <c r="AA34" i="36"/>
  <c r="C9" i="68"/>
  <c r="C29" i="69"/>
  <c r="D27" i="69" s="1"/>
  <c r="C48" i="68"/>
  <c r="C48" i="11"/>
  <c r="C30" i="11"/>
  <c r="C30" i="69"/>
  <c r="C48" i="69"/>
  <c r="F28" i="12"/>
  <c r="C29" i="12" s="1"/>
  <c r="D28" i="12" s="1"/>
  <c r="E65" i="39"/>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286" i="3"/>
  <c r="E327" i="3"/>
  <c r="E312" i="3"/>
  <c r="E575" i="3"/>
  <c r="AD6" i="3"/>
  <c r="E499" i="3"/>
  <c r="E542" i="3"/>
  <c r="R6" i="3"/>
  <c r="E552" i="3"/>
  <c r="E502" i="3"/>
  <c r="E421" i="3"/>
  <c r="E442" i="3"/>
  <c r="E464" i="3"/>
  <c r="E466" i="3"/>
  <c r="E487" i="3"/>
  <c r="E541" i="3"/>
  <c r="E398" i="3"/>
  <c r="E430" i="3"/>
  <c r="E416"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79" i="3"/>
  <c r="E576" i="3"/>
  <c r="E585" i="3"/>
  <c r="Z6" i="3"/>
  <c r="U6" i="3"/>
  <c r="AG6" i="3"/>
  <c r="E515" i="3"/>
  <c r="AO6" i="3"/>
  <c r="E411" i="3"/>
  <c r="E448" i="3"/>
  <c r="E478" i="3"/>
  <c r="E485" i="3"/>
  <c r="E548" i="3"/>
  <c r="P6" i="3"/>
  <c r="E414" i="3"/>
  <c r="E400"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E64" i="39"/>
  <c r="E59" i="40"/>
  <c r="AH13" i="43"/>
  <c r="AD13" i="43"/>
  <c r="Z13" i="43"/>
  <c r="M14" i="1"/>
  <c r="C34" i="69"/>
  <c r="J7" i="34"/>
  <c r="H7" i="34"/>
  <c r="F7" i="33"/>
  <c r="S7" i="33" s="1"/>
  <c r="J7" i="33"/>
  <c r="AC7" i="33" s="1"/>
  <c r="V48" i="33" s="1"/>
  <c r="I48" i="33" s="1"/>
  <c r="I52" i="33" s="1"/>
  <c r="J52" i="33" s="1"/>
  <c r="J7" i="21"/>
  <c r="G68" i="39"/>
  <c r="F70" i="39"/>
  <c r="AB7" i="33"/>
  <c r="T48" i="33" s="1"/>
  <c r="G48" i="33" s="1"/>
  <c r="U7" i="33"/>
  <c r="W7" i="33"/>
  <c r="D65" i="40"/>
  <c r="E63" i="40"/>
  <c r="B13" i="71"/>
  <c r="B12" i="71" s="1"/>
  <c r="B11" i="71" s="1"/>
  <c r="B10" i="71" s="1"/>
  <c r="S14" i="71"/>
  <c r="F56" i="71"/>
  <c r="Q57" i="71"/>
  <c r="C46" i="71"/>
  <c r="D45" i="71"/>
  <c r="AB38" i="40"/>
  <c r="U38" i="40"/>
  <c r="S38" i="40"/>
  <c r="AA38" i="40"/>
  <c r="W39" i="40"/>
  <c r="AC39" i="40"/>
  <c r="AC24" i="36"/>
  <c r="W24" i="36"/>
  <c r="AB34" i="35"/>
  <c r="U34" i="35"/>
  <c r="U9" i="34"/>
  <c r="AB9" i="34"/>
  <c r="H107" i="43"/>
  <c r="H106" i="43"/>
  <c r="H105" i="43"/>
  <c r="H102" i="43"/>
  <c r="H103" i="43"/>
  <c r="H104" i="43"/>
  <c r="H109" i="43"/>
  <c r="C104" i="43"/>
  <c r="C106" i="43"/>
  <c r="C105" i="43"/>
  <c r="C102" i="43"/>
  <c r="C109" i="43"/>
  <c r="C107" i="43"/>
  <c r="C103"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AA7" i="34"/>
  <c r="R49" i="34" s="1"/>
  <c r="S7" i="34"/>
  <c r="H14" i="74"/>
  <c r="B7" i="74" s="1"/>
  <c r="D10" i="52"/>
  <c r="D125" i="9"/>
  <c r="D11" i="52" s="1"/>
  <c r="I52" i="37"/>
  <c r="J52" i="37" s="1"/>
  <c r="K52" i="37" s="1"/>
  <c r="L52" i="37" s="1"/>
  <c r="M52" i="37" s="1"/>
  <c r="N52" i="37" s="1"/>
  <c r="O52" i="37" s="1"/>
  <c r="H7" i="37"/>
  <c r="H46" i="36"/>
  <c r="F7" i="37"/>
  <c r="F7" i="21"/>
  <c r="H7" i="21"/>
  <c r="P21" i="43"/>
  <c r="C13" i="71"/>
  <c r="D14" i="71"/>
  <c r="U14" i="71" s="1"/>
  <c r="T14" i="71"/>
  <c r="W38" i="40"/>
  <c r="AC38" i="40"/>
  <c r="U39" i="40"/>
  <c r="AB39" i="40"/>
  <c r="AB24" i="36"/>
  <c r="U24" i="36"/>
  <c r="AC36" i="35"/>
  <c r="W36" i="35"/>
  <c r="AA34" i="35"/>
  <c r="S34" i="35"/>
  <c r="BA5" i="3"/>
  <c r="E27" i="6" s="1"/>
  <c r="L109" i="43"/>
  <c r="L102" i="43"/>
  <c r="L105" i="43"/>
  <c r="L104" i="43"/>
  <c r="L106" i="43"/>
  <c r="L107" i="43"/>
  <c r="L103" i="43"/>
  <c r="J104" i="43"/>
  <c r="J105" i="43"/>
  <c r="J103" i="43"/>
  <c r="J106" i="43"/>
  <c r="J107" i="43"/>
  <c r="J102" i="43"/>
  <c r="J109" i="43"/>
  <c r="G105" i="43"/>
  <c r="G102" i="43"/>
  <c r="G103" i="43"/>
  <c r="G109" i="43"/>
  <c r="G107" i="43"/>
  <c r="G104" i="43"/>
  <c r="G106" i="43"/>
  <c r="E104" i="43"/>
  <c r="E107" i="43"/>
  <c r="E105" i="43"/>
  <c r="E109" i="43"/>
  <c r="E102" i="43"/>
  <c r="E106" i="43"/>
  <c r="E103" i="43"/>
  <c r="M109" i="43"/>
  <c r="M104" i="43"/>
  <c r="M107" i="43"/>
  <c r="M105" i="43"/>
  <c r="M102" i="43"/>
  <c r="M106" i="43"/>
  <c r="M103" i="43"/>
  <c r="N103" i="43"/>
  <c r="N106" i="43"/>
  <c r="N107" i="43"/>
  <c r="N102" i="43"/>
  <c r="N105" i="43"/>
  <c r="N104" i="43"/>
  <c r="N109" i="43"/>
  <c r="K107" i="43"/>
  <c r="K104" i="43"/>
  <c r="K106" i="43"/>
  <c r="K103" i="43"/>
  <c r="K102" i="43"/>
  <c r="K105" i="43"/>
  <c r="K109" i="43"/>
  <c r="E30" i="6"/>
  <c r="K15" i="1"/>
  <c r="K16" i="1" s="1"/>
  <c r="H48" i="35"/>
  <c r="I48" i="35" s="1"/>
  <c r="J48" i="35" s="1"/>
  <c r="K48" i="35" s="1"/>
  <c r="L48" i="35" s="1"/>
  <c r="M48" i="35" s="1"/>
  <c r="N48" i="35" s="1"/>
  <c r="O48" i="35" s="1"/>
  <c r="H7" i="35"/>
  <c r="F7" i="35"/>
  <c r="AC7" i="21"/>
  <c r="V48" i="21" s="1"/>
  <c r="I48" i="21" s="1"/>
  <c r="W7" i="21"/>
  <c r="J7" i="35"/>
  <c r="AC7" i="34"/>
  <c r="V49" i="34" s="1"/>
  <c r="I49" i="34" s="1"/>
  <c r="W7" i="34"/>
  <c r="U7" i="34"/>
  <c r="AB7" i="34"/>
  <c r="T49" i="34" s="1"/>
  <c r="G49" i="34" s="1"/>
  <c r="C49" i="67"/>
  <c r="P25" i="43"/>
  <c r="P23" i="43"/>
  <c r="B71" i="39" s="1"/>
  <c r="C49" i="15"/>
  <c r="C15" i="67"/>
  <c r="C18" i="67"/>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AE6" i="1"/>
  <c r="F27" i="68"/>
  <c r="AY6" i="3" l="1"/>
  <c r="E3" i="6"/>
  <c r="D22" i="71"/>
  <c r="T22" i="71"/>
  <c r="T34" i="71"/>
  <c r="D34" i="71"/>
  <c r="D42" i="71"/>
  <c r="T42" i="71"/>
  <c r="D54" i="71"/>
  <c r="T54" i="71"/>
  <c r="AA7" i="33"/>
  <c r="R48" i="33" s="1"/>
  <c r="D82" i="43"/>
  <c r="J82" i="43"/>
  <c r="D87" i="43"/>
  <c r="J87" i="43"/>
  <c r="D88" i="43"/>
  <c r="J88" i="43"/>
  <c r="J81" i="43"/>
  <c r="D81" i="43"/>
  <c r="C29" i="68"/>
  <c r="D27" i="68" s="1"/>
  <c r="C47" i="68"/>
  <c r="D45" i="68" s="1"/>
  <c r="G6" i="1"/>
  <c r="G16" i="1" s="1"/>
  <c r="H16" i="1"/>
  <c r="E41" i="43"/>
  <c r="C41" i="43" s="1"/>
  <c r="C20" i="43"/>
  <c r="H6" i="3"/>
  <c r="AC6" i="3"/>
  <c r="E66" i="39"/>
  <c r="O14" i="1"/>
  <c r="O16" i="1" s="1"/>
  <c r="M16" i="1"/>
  <c r="C35" i="69"/>
  <c r="C38" i="69"/>
  <c r="S3" i="43"/>
  <c r="S6" i="43"/>
  <c r="C23" i="43"/>
  <c r="C21" i="43" s="1"/>
  <c r="S7" i="43"/>
  <c r="S5" i="43"/>
  <c r="S4" i="43"/>
  <c r="S2" i="43"/>
  <c r="J7" i="37"/>
  <c r="AC7" i="37" s="1"/>
  <c r="V42" i="37" s="1"/>
  <c r="I42" i="37" s="1"/>
  <c r="G52" i="33"/>
  <c r="H52" i="33" s="1"/>
  <c r="G53" i="33"/>
  <c r="H53" i="33" s="1"/>
  <c r="G70" i="39"/>
  <c r="H68" i="39"/>
  <c r="E65" i="40"/>
  <c r="F63" i="40"/>
  <c r="E48" i="33"/>
  <c r="R49" i="33"/>
  <c r="I53" i="34"/>
  <c r="J53" i="34" s="1"/>
  <c r="I52" i="21"/>
  <c r="J52" i="21" s="1"/>
  <c r="U7" i="35"/>
  <c r="AB7" i="35"/>
  <c r="T38" i="35" s="1"/>
  <c r="G38" i="35" s="1"/>
  <c r="K20" i="6"/>
  <c r="M20" i="6" s="1"/>
  <c r="I20" i="6" s="1"/>
  <c r="S20" i="6" s="1"/>
  <c r="E31" i="6"/>
  <c r="K21" i="6"/>
  <c r="M21" i="6" s="1"/>
  <c r="I21" i="6" s="1"/>
  <c r="S21" i="6" s="1"/>
  <c r="K22" i="6"/>
  <c r="M22" i="6" s="1"/>
  <c r="I22" i="6" s="1"/>
  <c r="S22" i="6" s="1"/>
  <c r="K24" i="6"/>
  <c r="M24" i="6" s="1"/>
  <c r="I24" i="6" s="1"/>
  <c r="S24" i="6" s="1"/>
  <c r="K26" i="6"/>
  <c r="M26" i="6" s="1"/>
  <c r="I26" i="6" s="1"/>
  <c r="S26" i="6" s="1"/>
  <c r="K25" i="6"/>
  <c r="M25" i="6" s="1"/>
  <c r="I25" i="6" s="1"/>
  <c r="S25" i="6" s="1"/>
  <c r="K23" i="6"/>
  <c r="M23" i="6" s="1"/>
  <c r="I23" i="6" s="1"/>
  <c r="S23" i="6" s="1"/>
  <c r="K19" i="6"/>
  <c r="S6" i="1" s="1"/>
  <c r="U7" i="21"/>
  <c r="AB7" i="21"/>
  <c r="T48" i="21" s="1"/>
  <c r="G48" i="21" s="1"/>
  <c r="AA7" i="37"/>
  <c r="R42" i="37" s="1"/>
  <c r="S7" i="37"/>
  <c r="I46" i="36"/>
  <c r="W7" i="37"/>
  <c r="C115" i="43"/>
  <c r="D113" i="43" s="1"/>
  <c r="D46" i="71"/>
  <c r="T46" i="71"/>
  <c r="Q56" i="71"/>
  <c r="Q55" i="71"/>
  <c r="B9" i="71"/>
  <c r="B8" i="71" s="1"/>
  <c r="B7" i="71" s="1"/>
  <c r="B6" i="71" s="1"/>
  <c r="B5" i="71" s="1"/>
  <c r="S1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53" i="34"/>
  <c r="H53" i="34" s="1"/>
  <c r="G54" i="34"/>
  <c r="H54" i="34" s="1"/>
  <c r="W7" i="35"/>
  <c r="AC7" i="35"/>
  <c r="V38" i="35" s="1"/>
  <c r="I38" i="35" s="1"/>
  <c r="AA7" i="35"/>
  <c r="R38" i="35" s="1"/>
  <c r="S7" i="35"/>
  <c r="C12" i="71"/>
  <c r="D13" i="71"/>
  <c r="AA7" i="21"/>
  <c r="R48" i="21" s="1"/>
  <c r="S7" i="21"/>
  <c r="AB7" i="37"/>
  <c r="T42" i="37" s="1"/>
  <c r="G42" i="37" s="1"/>
  <c r="U7" i="37"/>
  <c r="R50" i="34"/>
  <c r="E49" i="34"/>
  <c r="D3" i="21"/>
  <c r="D19" i="11"/>
  <c r="C19" i="11" s="1"/>
  <c r="C17" i="4"/>
  <c r="B4" i="52" s="1"/>
  <c r="B43" i="72" s="1"/>
  <c r="L18" i="9"/>
  <c r="D3" i="37"/>
  <c r="D3" i="34"/>
  <c r="D3" i="33"/>
  <c r="E6" i="6"/>
  <c r="D37" i="11"/>
  <c r="C37" i="11" s="1"/>
  <c r="D14" i="12"/>
  <c r="M18" i="9"/>
  <c r="B118" i="9" s="1"/>
  <c r="B14" i="74" s="1"/>
  <c r="B1" i="74" s="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C17" i="15"/>
  <c r="E6" i="70" l="1"/>
  <c r="E2" i="70" s="1"/>
  <c r="L18" i="80"/>
  <c r="L18" i="79"/>
  <c r="M18" i="78"/>
  <c r="B118" i="78" s="1"/>
  <c r="M18" i="80"/>
  <c r="B118" i="80" s="1"/>
  <c r="M18" i="79"/>
  <c r="B118" i="79" s="1"/>
  <c r="L18" i="78"/>
  <c r="L19" i="80"/>
  <c r="L19" i="79"/>
  <c r="M19" i="78"/>
  <c r="C118" i="78" s="1"/>
  <c r="M19" i="80"/>
  <c r="C118" i="80" s="1"/>
  <c r="M19" i="79"/>
  <c r="C118" i="79" s="1"/>
  <c r="L19" i="78"/>
  <c r="E81" i="43"/>
  <c r="B79" i="43" s="1"/>
  <c r="C24" i="43" s="1"/>
  <c r="F69" i="15"/>
  <c r="J29" i="15"/>
  <c r="F10" i="39"/>
  <c r="H10" i="39"/>
  <c r="J10" i="39"/>
  <c r="J10" i="40"/>
  <c r="F10" i="40"/>
  <c r="H10" i="40"/>
  <c r="AQ6" i="1"/>
  <c r="T6" i="1"/>
  <c r="AR6" i="1"/>
  <c r="S16" i="1"/>
  <c r="E6" i="3"/>
  <c r="P14" i="1"/>
  <c r="P16" i="1" s="1"/>
  <c r="C11" i="12" s="1"/>
  <c r="C12" i="12" s="1"/>
  <c r="N16" i="1"/>
  <c r="C34" i="11"/>
  <c r="L16" i="1"/>
  <c r="E52" i="33"/>
  <c r="F52" i="33" s="1"/>
  <c r="E53" i="33"/>
  <c r="F53" i="33" s="1"/>
  <c r="I53" i="33"/>
  <c r="J53" i="33" s="1"/>
  <c r="C49" i="33"/>
  <c r="B2" i="33" s="1"/>
  <c r="B3" i="33" s="1"/>
  <c r="C48" i="33"/>
  <c r="F65" i="40"/>
  <c r="G63" i="40"/>
  <c r="I68" i="39"/>
  <c r="H70" i="39"/>
  <c r="D17" i="12"/>
  <c r="C17" i="12" s="1"/>
  <c r="C14" i="12"/>
  <c r="D10" i="11"/>
  <c r="C10" i="11" s="1"/>
  <c r="D20" i="12"/>
  <c r="C20" i="12" s="1"/>
  <c r="D10" i="69"/>
  <c r="C50" i="34"/>
  <c r="B2" i="34" s="1"/>
  <c r="B3" i="34" s="1"/>
  <c r="C49" i="34"/>
  <c r="G46" i="37"/>
  <c r="H46" i="37" s="1"/>
  <c r="G47" i="37"/>
  <c r="H47" i="37" s="1"/>
  <c r="I42" i="35"/>
  <c r="J42" i="35" s="1"/>
  <c r="M19" i="9"/>
  <c r="C118" i="9" s="1"/>
  <c r="C14" i="74" s="1"/>
  <c r="B2" i="74" s="1"/>
  <c r="D19" i="6"/>
  <c r="D26" i="6"/>
  <c r="C18" i="4"/>
  <c r="D8" i="6"/>
  <c r="D23" i="6"/>
  <c r="D14" i="6"/>
  <c r="D5" i="6"/>
  <c r="D12" i="6"/>
  <c r="D11" i="6"/>
  <c r="D13" i="6"/>
  <c r="D28" i="6"/>
  <c r="D30" i="6" s="1"/>
  <c r="E61" i="40"/>
  <c r="H23" i="6"/>
  <c r="H26" i="6"/>
  <c r="H20" i="6"/>
  <c r="D25" i="6"/>
  <c r="D15" i="6"/>
  <c r="D22" i="6"/>
  <c r="D21" i="6"/>
  <c r="D24" i="6"/>
  <c r="D20" i="6"/>
  <c r="D6" i="6"/>
  <c r="D9" i="6"/>
  <c r="D10" i="6"/>
  <c r="L19" i="9"/>
  <c r="D29" i="6"/>
  <c r="H25" i="6"/>
  <c r="H22" i="6"/>
  <c r="H21" i="6"/>
  <c r="H24" i="6"/>
  <c r="G52" i="21"/>
  <c r="H52" i="21" s="1"/>
  <c r="G53" i="21"/>
  <c r="H53" i="21" s="1"/>
  <c r="M19" i="6"/>
  <c r="K27" i="6"/>
  <c r="C20" i="11"/>
  <c r="C28" i="11" s="1"/>
  <c r="C27" i="11" s="1"/>
  <c r="E54" i="34"/>
  <c r="F54" i="34" s="1"/>
  <c r="E53" i="34"/>
  <c r="F53" i="34" s="1"/>
  <c r="R49" i="21"/>
  <c r="E48" i="21"/>
  <c r="D12" i="71"/>
  <c r="C11" i="71"/>
  <c r="R39" i="35"/>
  <c r="E38" i="35"/>
  <c r="C7" i="74"/>
  <c r="I46" i="37"/>
  <c r="J46" i="37" s="1"/>
  <c r="J46" i="36"/>
  <c r="E42" i="37"/>
  <c r="I47" i="37" s="1"/>
  <c r="J47" i="37" s="1"/>
  <c r="R43" i="37"/>
  <c r="G42" i="35"/>
  <c r="H42" i="35" s="1"/>
  <c r="G43" i="35"/>
  <c r="H43" i="35" s="1"/>
  <c r="I54" i="34"/>
  <c r="J54" i="34"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C14" i="15"/>
  <c r="D10" i="68"/>
  <c r="C18" i="15" l="1"/>
  <c r="C15" i="15"/>
  <c r="C19" i="15"/>
  <c r="T16" i="1"/>
  <c r="U10" i="40"/>
  <c r="AB10" i="40"/>
  <c r="W10" i="40"/>
  <c r="AC10" i="40"/>
  <c r="U10" i="39"/>
  <c r="AB10" i="39"/>
  <c r="S10" i="40"/>
  <c r="AA10" i="40"/>
  <c r="AC10" i="39"/>
  <c r="W10" i="39"/>
  <c r="S10" i="39"/>
  <c r="AA10" i="39"/>
  <c r="R20" i="6"/>
  <c r="D16" i="6"/>
  <c r="C15" i="12"/>
  <c r="C16" i="12" s="1"/>
  <c r="C38" i="68"/>
  <c r="C35" i="68"/>
  <c r="C38" i="11"/>
  <c r="C35" i="11"/>
  <c r="R25" i="6"/>
  <c r="F50" i="68"/>
  <c r="F50" i="11"/>
  <c r="F50" i="69"/>
  <c r="J68" i="39"/>
  <c r="I70" i="39"/>
  <c r="H63" i="40"/>
  <c r="G65" i="40"/>
  <c r="K46" i="36"/>
  <c r="E47" i="37"/>
  <c r="F47" i="37" s="1"/>
  <c r="E46" i="37"/>
  <c r="F46" i="37" s="1"/>
  <c r="E43" i="35"/>
  <c r="F43" i="35" s="1"/>
  <c r="E42" i="35"/>
  <c r="F42" i="35" s="1"/>
  <c r="D11" i="71"/>
  <c r="C10" i="71"/>
  <c r="E52" i="21"/>
  <c r="F52" i="21" s="1"/>
  <c r="E53" i="21"/>
  <c r="F53" i="21" s="1"/>
  <c r="I53" i="21"/>
  <c r="J53" i="21" s="1"/>
  <c r="I19" i="6"/>
  <c r="M27" i="6"/>
  <c r="R21" i="6"/>
  <c r="R23" i="6"/>
  <c r="A7" i="51"/>
  <c r="B7" i="72" s="1"/>
  <c r="C4" i="52"/>
  <c r="B45" i="72" s="1"/>
  <c r="A10" i="51"/>
  <c r="B9" i="72" s="1"/>
  <c r="D27" i="6"/>
  <c r="D31" i="6" s="1"/>
  <c r="I43" i="35"/>
  <c r="J43" i="35" s="1"/>
  <c r="C10" i="69"/>
  <c r="C8" i="69" s="1"/>
  <c r="C5" i="69" s="1"/>
  <c r="D19" i="69"/>
  <c r="C42" i="37"/>
  <c r="C43" i="37"/>
  <c r="B2" i="37" s="1"/>
  <c r="B3" i="37" s="1"/>
  <c r="C39" i="35"/>
  <c r="B2" i="35" s="1"/>
  <c r="B3" i="35" s="1"/>
  <c r="C38" i="35"/>
  <c r="C48" i="21"/>
  <c r="C49" i="21"/>
  <c r="B2" i="21" s="1"/>
  <c r="B3" i="21" s="1"/>
  <c r="R24" i="6"/>
  <c r="R22" i="6"/>
  <c r="R26" i="6"/>
  <c r="D7" i="74"/>
  <c r="C10" i="68"/>
  <c r="B29" i="1" s="1"/>
  <c r="C8" i="68" s="1"/>
  <c r="D19" i="68"/>
  <c r="C33" i="15"/>
  <c r="C22" i="11"/>
  <c r="C31" i="11" s="1"/>
  <c r="C36" i="67"/>
  <c r="C33" i="67"/>
  <c r="C31" i="67" s="1"/>
  <c r="J14" i="67"/>
  <c r="C13" i="67"/>
  <c r="J19" i="67"/>
  <c r="J17" i="67" s="1"/>
  <c r="C57" i="67"/>
  <c r="Q49" i="67"/>
  <c r="J59" i="67"/>
  <c r="J60" i="67" s="1"/>
  <c r="C20" i="15" l="1"/>
  <c r="C26" i="15" s="1"/>
  <c r="C23" i="15"/>
  <c r="C29" i="15" s="1"/>
  <c r="C18" i="12"/>
  <c r="C21" i="12" s="1"/>
  <c r="C22" i="12" s="1"/>
  <c r="C30" i="12" s="1"/>
  <c r="C28" i="12" s="1"/>
  <c r="C33" i="11"/>
  <c r="C39" i="11" s="1"/>
  <c r="H65" i="40"/>
  <c r="I63" i="40"/>
  <c r="K68" i="39"/>
  <c r="J70" i="39"/>
  <c r="C23" i="69"/>
  <c r="C19" i="68"/>
  <c r="D37" i="68"/>
  <c r="C37" i="68" s="1"/>
  <c r="C33" i="68" s="1"/>
  <c r="C19" i="69"/>
  <c r="C24" i="69" s="1"/>
  <c r="D37" i="69"/>
  <c r="C37" i="69" s="1"/>
  <c r="C33" i="69" s="1"/>
  <c r="I6" i="6"/>
  <c r="I5" i="6"/>
  <c r="S19" i="6"/>
  <c r="S27" i="6" s="1"/>
  <c r="I27" i="6"/>
  <c r="H19" i="6"/>
  <c r="C9" i="71"/>
  <c r="T10" i="71"/>
  <c r="D10" i="71"/>
  <c r="U10" i="71" s="1"/>
  <c r="L46" i="36"/>
  <c r="J13" i="67"/>
  <c r="J23" i="67" s="1"/>
  <c r="J22" i="67"/>
  <c r="C61" i="67"/>
  <c r="C59" i="67" s="1"/>
  <c r="C64" i="67"/>
  <c r="Q48" i="67"/>
  <c r="L46" i="67"/>
  <c r="C56" i="67"/>
  <c r="C65" i="67" s="1"/>
  <c r="C75" i="67"/>
  <c r="Q70" i="67"/>
  <c r="C37" i="67"/>
  <c r="C30" i="67" s="1"/>
  <c r="C39" i="67" s="1"/>
  <c r="J14" i="15" l="1"/>
  <c r="C36" i="15"/>
  <c r="C13" i="15"/>
  <c r="J19" i="15"/>
  <c r="C57" i="15"/>
  <c r="Q49" i="15"/>
  <c r="J59" i="15"/>
  <c r="J60" i="15" s="1"/>
  <c r="Q48" i="15" s="1"/>
  <c r="C42" i="11"/>
  <c r="C46" i="11"/>
  <c r="C45" i="11" s="1"/>
  <c r="C43" i="11"/>
  <c r="L68" i="39"/>
  <c r="K70" i="39"/>
  <c r="I65" i="40"/>
  <c r="J63" i="40"/>
  <c r="C27" i="12"/>
  <c r="C25" i="12" s="1"/>
  <c r="C32" i="12" s="1"/>
  <c r="B2" i="12" s="1"/>
  <c r="B3" i="12" s="1"/>
  <c r="C8" i="71"/>
  <c r="D9" i="71"/>
  <c r="C39" i="69"/>
  <c r="C43" i="69" s="1"/>
  <c r="C42" i="69"/>
  <c r="C39" i="68"/>
  <c r="C42" i="68"/>
  <c r="C20" i="69"/>
  <c r="C25" i="69" s="1"/>
  <c r="C22" i="69" s="1"/>
  <c r="M46" i="36"/>
  <c r="N46" i="36" s="1"/>
  <c r="O46" i="36" s="1"/>
  <c r="J7" i="36" s="1"/>
  <c r="F7" i="36"/>
  <c r="H7" i="36"/>
  <c r="H27" i="6"/>
  <c r="R19" i="6"/>
  <c r="C24" i="68"/>
  <c r="J16" i="67"/>
  <c r="J25" i="67" s="1"/>
  <c r="C80" i="67"/>
  <c r="C79" i="67" s="1"/>
  <c r="C58" i="67"/>
  <c r="C67" i="67" s="1"/>
  <c r="C68" i="67" s="1"/>
  <c r="Q69" i="67"/>
  <c r="Q68" i="67" s="1"/>
  <c r="C40" i="67"/>
  <c r="L51" i="67"/>
  <c r="C61" i="15" l="1"/>
  <c r="C64" i="15"/>
  <c r="Q70" i="15"/>
  <c r="C75" i="15"/>
  <c r="C56" i="15"/>
  <c r="C65" i="15" s="1"/>
  <c r="C37" i="15"/>
  <c r="J13" i="15"/>
  <c r="J23" i="15" s="1"/>
  <c r="J22" i="15"/>
  <c r="C28" i="69"/>
  <c r="C27" i="69" s="1"/>
  <c r="C31" i="69" s="1"/>
  <c r="C41" i="69"/>
  <c r="C41" i="11"/>
  <c r="C49" i="11" s="1"/>
  <c r="C51" i="11" s="1"/>
  <c r="C52" i="11" s="1"/>
  <c r="B2" i="11" s="1"/>
  <c r="B3" i="11" s="1"/>
  <c r="R27" i="6"/>
  <c r="R6" i="1"/>
  <c r="K63" i="40"/>
  <c r="J65" i="40"/>
  <c r="M68" i="39"/>
  <c r="L70" i="39"/>
  <c r="AB7" i="36"/>
  <c r="T36" i="36" s="1"/>
  <c r="G36" i="36" s="1"/>
  <c r="U7" i="36"/>
  <c r="AC7" i="36"/>
  <c r="V36" i="36" s="1"/>
  <c r="I36" i="36" s="1"/>
  <c r="W7" i="36"/>
  <c r="C46" i="68"/>
  <c r="C45" i="68" s="1"/>
  <c r="C43" i="68"/>
  <c r="C41" i="68" s="1"/>
  <c r="C46" i="69"/>
  <c r="C45" i="69" s="1"/>
  <c r="S7" i="36"/>
  <c r="AA7" i="36"/>
  <c r="R36" i="36" s="1"/>
  <c r="C7" i="71"/>
  <c r="D8" i="71"/>
  <c r="Q67" i="67"/>
  <c r="L57" i="67"/>
  <c r="L60" i="67" s="1"/>
  <c r="C45" i="67"/>
  <c r="C46" i="67" s="1"/>
  <c r="C71" i="67"/>
  <c r="C43" i="67"/>
  <c r="D2" i="67"/>
  <c r="Q47" i="67"/>
  <c r="Q53" i="67" s="1"/>
  <c r="Q56" i="67"/>
  <c r="Q65" i="67"/>
  <c r="C83" i="67"/>
  <c r="C82" i="67" s="1"/>
  <c r="M21" i="15"/>
  <c r="F35" i="15"/>
  <c r="F63" i="15" l="1"/>
  <c r="C62" i="15" s="1"/>
  <c r="C59" i="15" s="1"/>
  <c r="C58" i="15" s="1"/>
  <c r="C67" i="15" s="1"/>
  <c r="C68" i="15" s="1"/>
  <c r="C34" i="15"/>
  <c r="C31" i="15" s="1"/>
  <c r="C30" i="15" s="1"/>
  <c r="C39" i="15" s="1"/>
  <c r="J20" i="15"/>
  <c r="J17" i="15" s="1"/>
  <c r="J16" i="15" s="1"/>
  <c r="J25" i="15" s="1"/>
  <c r="R16" i="1"/>
  <c r="C49" i="69"/>
  <c r="C51" i="69" s="1"/>
  <c r="C52" i="69" s="1"/>
  <c r="B2" i="69" s="1"/>
  <c r="B3" i="69" s="1"/>
  <c r="C56" i="11"/>
  <c r="C57" i="11" s="1"/>
  <c r="N68" i="39"/>
  <c r="M70" i="39"/>
  <c r="L63" i="40"/>
  <c r="K65" i="40"/>
  <c r="E36" i="36"/>
  <c r="R37" i="36"/>
  <c r="C6" i="71"/>
  <c r="D7" i="71"/>
  <c r="C49" i="68"/>
  <c r="C51" i="68" s="1"/>
  <c r="I40" i="36"/>
  <c r="J40" i="36" s="1"/>
  <c r="I41" i="36"/>
  <c r="J41" i="36" s="1"/>
  <c r="G40" i="36"/>
  <c r="H40" i="36" s="1"/>
  <c r="G41" i="36"/>
  <c r="H41" i="36" s="1"/>
  <c r="Q66" i="67"/>
  <c r="Q75" i="67" s="1"/>
  <c r="Q57" i="67"/>
  <c r="Q62" i="67" s="1"/>
  <c r="B2" i="67"/>
  <c r="B3" i="67"/>
  <c r="L51" i="15"/>
  <c r="L57" i="15" l="1"/>
  <c r="L60" i="15" s="1"/>
  <c r="Q67" i="15"/>
  <c r="Q69" i="15"/>
  <c r="Q68" i="15" s="1"/>
  <c r="C80" i="15"/>
  <c r="C79" i="15" s="1"/>
  <c r="C40" i="15"/>
  <c r="C46" i="15" s="1"/>
  <c r="C71" i="15"/>
  <c r="M63" i="40"/>
  <c r="L65" i="40"/>
  <c r="O68" i="39"/>
  <c r="O70" i="39" s="1"/>
  <c r="N70" i="39"/>
  <c r="C57" i="69"/>
  <c r="C56" i="69" s="1"/>
  <c r="C36" i="36"/>
  <c r="C37" i="36"/>
  <c r="B2" i="36" s="1"/>
  <c r="B3" i="36" s="1"/>
  <c r="C5" i="71"/>
  <c r="D6" i="71"/>
  <c r="E40" i="36"/>
  <c r="F40" i="36" s="1"/>
  <c r="E41" i="36"/>
  <c r="F41" i="36" s="1"/>
  <c r="Q65" i="15" l="1"/>
  <c r="Q47" i="15"/>
  <c r="Q53" i="15" s="1"/>
  <c r="Q56" i="15"/>
  <c r="C43" i="15"/>
  <c r="C83" i="15"/>
  <c r="C82" i="15" s="1"/>
  <c r="L46" i="15"/>
  <c r="B2" i="15" s="1"/>
  <c r="Q57" i="15"/>
  <c r="Q66" i="15"/>
  <c r="F7" i="39"/>
  <c r="H7" i="39"/>
  <c r="J7" i="39"/>
  <c r="N63" i="40"/>
  <c r="M65" i="40"/>
  <c r="D5" i="71"/>
  <c r="M20" i="43"/>
  <c r="C19" i="43" s="1"/>
  <c r="D19" i="79"/>
  <c r="D19" i="80"/>
  <c r="D19" i="9"/>
  <c r="AO6" i="1"/>
  <c r="D19" i="78"/>
  <c r="D21" i="80" l="1"/>
  <c r="D102" i="80"/>
  <c r="D21" i="79"/>
  <c r="D102" i="79"/>
  <c r="D21" i="78"/>
  <c r="D102" i="78"/>
  <c r="Q62" i="15"/>
  <c r="D102" i="9"/>
  <c r="D21" i="9"/>
  <c r="B6" i="70"/>
  <c r="B2" i="70" s="1"/>
  <c r="B3" i="70" s="1"/>
  <c r="B3" i="15"/>
  <c r="Q75" i="15"/>
  <c r="W7" i="39"/>
  <c r="AC7" i="39"/>
  <c r="V47" i="39" s="1"/>
  <c r="I47" i="39" s="1"/>
  <c r="N65" i="40"/>
  <c r="O63" i="40"/>
  <c r="O65" i="40" s="1"/>
  <c r="U7" i="39"/>
  <c r="AB7" i="39"/>
  <c r="T47" i="39" s="1"/>
  <c r="G47" i="39" s="1"/>
  <c r="T14" i="43"/>
  <c r="V14" i="43" s="1"/>
  <c r="T11" i="43"/>
  <c r="V11" i="43" s="1"/>
  <c r="C36" i="43"/>
  <c r="T10" i="43"/>
  <c r="V10" i="43" s="1"/>
  <c r="C33" i="43"/>
  <c r="T13" i="43"/>
  <c r="V13" i="43" s="1"/>
  <c r="T2" i="43"/>
  <c r="V2" i="43" s="1"/>
  <c r="T3" i="43"/>
  <c r="V3" i="43" s="1"/>
  <c r="T12" i="43"/>
  <c r="V12" i="43" s="1"/>
  <c r="C35" i="43"/>
  <c r="T9" i="43"/>
  <c r="V9" i="43" s="1"/>
  <c r="T4" i="43"/>
  <c r="V4" i="43" s="1"/>
  <c r="T6" i="43"/>
  <c r="V6" i="43" s="1"/>
  <c r="C29" i="43"/>
  <c r="C34" i="43"/>
  <c r="T7" i="43"/>
  <c r="V7" i="43" s="1"/>
  <c r="T16" i="43"/>
  <c r="V16" i="43" s="1"/>
  <c r="T8" i="43"/>
  <c r="V8" i="43" s="1"/>
  <c r="C38" i="43"/>
  <c r="T5" i="43"/>
  <c r="V5" i="43" s="1"/>
  <c r="C39" i="43"/>
  <c r="C37" i="43"/>
  <c r="T15" i="43"/>
  <c r="V15" i="43" s="1"/>
  <c r="S7" i="39"/>
  <c r="AA7" i="39"/>
  <c r="R47" i="39" s="1"/>
  <c r="D20" i="9"/>
  <c r="D20" i="78"/>
  <c r="D20" i="79"/>
  <c r="D20" i="80"/>
  <c r="D103" i="80" l="1"/>
  <c r="D103" i="79"/>
  <c r="D103" i="78"/>
  <c r="D103" i="9"/>
  <c r="E47" i="39"/>
  <c r="R48" i="39"/>
  <c r="G39" i="43"/>
  <c r="I39" i="43" s="1"/>
  <c r="E39" i="43"/>
  <c r="E38" i="43"/>
  <c r="G38" i="43"/>
  <c r="I38" i="43" s="1"/>
  <c r="G34" i="43"/>
  <c r="I34" i="43" s="1"/>
  <c r="E34" i="43"/>
  <c r="E37" i="43"/>
  <c r="G37" i="43"/>
  <c r="I37" i="43" s="1"/>
  <c r="C30" i="43"/>
  <c r="E30" i="43" s="1"/>
  <c r="E29" i="43"/>
  <c r="E35" i="43"/>
  <c r="G35" i="43"/>
  <c r="I35" i="43" s="1"/>
  <c r="G51" i="39"/>
  <c r="H51" i="39" s="1"/>
  <c r="G52" i="39"/>
  <c r="H52" i="39" s="1"/>
  <c r="J7" i="40"/>
  <c r="F7" i="40"/>
  <c r="H7" i="40"/>
  <c r="I51" i="39"/>
  <c r="J51" i="39" s="1"/>
  <c r="I52" i="39"/>
  <c r="J52" i="39" s="1"/>
  <c r="E33" i="43"/>
  <c r="G33" i="43"/>
  <c r="I33" i="43" s="1"/>
  <c r="E36" i="43"/>
  <c r="G36" i="43"/>
  <c r="I36" i="43" s="1"/>
  <c r="U7" i="40" l="1"/>
  <c r="AB7" i="40"/>
  <c r="T42" i="40" s="1"/>
  <c r="G42" i="40" s="1"/>
  <c r="AA7" i="40"/>
  <c r="R42" i="40" s="1"/>
  <c r="S7" i="40"/>
  <c r="C26" i="43"/>
  <c r="C48" i="39"/>
  <c r="C47" i="39"/>
  <c r="AC7" i="40"/>
  <c r="V42" i="40" s="1"/>
  <c r="I42" i="40" s="1"/>
  <c r="W7" i="40"/>
  <c r="C27" i="43"/>
  <c r="E52" i="39"/>
  <c r="F52" i="39" s="1"/>
  <c r="E51" i="39"/>
  <c r="F51" i="39" s="1"/>
  <c r="E6" i="76"/>
  <c r="E2" i="76" l="1"/>
  <c r="B2" i="43"/>
  <c r="C6" i="68" s="1"/>
  <c r="R43" i="40"/>
  <c r="E42" i="40"/>
  <c r="I46" i="40"/>
  <c r="J46" i="40" s="1"/>
  <c r="I47" i="40"/>
  <c r="J47" i="40" s="1"/>
  <c r="B59" i="39"/>
  <c r="F59" i="39" s="1"/>
  <c r="B58" i="39"/>
  <c r="F58" i="39" s="1"/>
  <c r="B60" i="39"/>
  <c r="F60" i="39" s="1"/>
  <c r="B62" i="39"/>
  <c r="F62" i="39" s="1"/>
  <c r="B56" i="39"/>
  <c r="F56" i="39" s="1"/>
  <c r="F66" i="39" s="1"/>
  <c r="B2" i="39" s="1"/>
  <c r="B3" i="39" s="1"/>
  <c r="B63" i="39"/>
  <c r="F63" i="39" s="1"/>
  <c r="B57" i="39"/>
  <c r="F57" i="39" s="1"/>
  <c r="B61" i="39"/>
  <c r="F61" i="39" s="1"/>
  <c r="B64" i="39"/>
  <c r="F64" i="39" s="1"/>
  <c r="B65" i="39"/>
  <c r="F65" i="39" s="1"/>
  <c r="G47" i="40"/>
  <c r="H47" i="40" s="1"/>
  <c r="G46" i="40"/>
  <c r="H46" i="40" s="1"/>
  <c r="B6" i="76"/>
  <c r="C7" i="68" l="1"/>
  <c r="C5" i="68" s="1"/>
  <c r="B2" i="76"/>
  <c r="B3" i="76" s="1"/>
  <c r="C43" i="40"/>
  <c r="C42" i="40"/>
  <c r="E46" i="40"/>
  <c r="F46" i="40" s="1"/>
  <c r="E47" i="40"/>
  <c r="F47" i="40" s="1"/>
  <c r="B3" i="43"/>
  <c r="C23" i="68" l="1"/>
  <c r="C20" i="68"/>
  <c r="C25" i="68" s="1"/>
  <c r="B56" i="40"/>
  <c r="F56" i="40" s="1"/>
  <c r="B60" i="40"/>
  <c r="F60" i="40" s="1"/>
  <c r="B57" i="40"/>
  <c r="F57" i="40" s="1"/>
  <c r="B51" i="40"/>
  <c r="F51" i="40" s="1"/>
  <c r="B52" i="40"/>
  <c r="F52" i="40" s="1"/>
  <c r="B55" i="40"/>
  <c r="F55" i="40" s="1"/>
  <c r="B58" i="40"/>
  <c r="F58" i="40" s="1"/>
  <c r="B54" i="40"/>
  <c r="F54" i="40" s="1"/>
  <c r="B53" i="40"/>
  <c r="F53" i="40" s="1"/>
  <c r="B59" i="40"/>
  <c r="F59" i="40" s="1"/>
  <c r="F61" i="40"/>
  <c r="B2" i="40" s="1"/>
  <c r="B3" i="40" s="1"/>
  <c r="C28" i="68" l="1"/>
  <c r="C27" i="68" s="1"/>
  <c r="C22" i="68"/>
  <c r="C31" i="68" l="1"/>
  <c r="C52" i="68" s="1"/>
  <c r="C57" i="68" s="1"/>
  <c r="C56" i="68" s="1"/>
  <c r="B2" i="68" l="1"/>
  <c r="C19" i="9"/>
  <c r="C19" i="78"/>
  <c r="C19" i="79"/>
  <c r="C19" i="80"/>
  <c r="B3" i="68"/>
  <c r="D34" i="78"/>
  <c r="C20" i="79"/>
  <c r="C20" i="80"/>
  <c r="D34" i="79"/>
  <c r="D35" i="78"/>
  <c r="D35" i="9"/>
  <c r="C20" i="78"/>
  <c r="D35" i="80"/>
  <c r="D34" i="80"/>
  <c r="D35" i="79"/>
  <c r="D34" i="9"/>
  <c r="C103" i="80" l="1"/>
  <c r="G20" i="80"/>
  <c r="C102" i="80"/>
  <c r="D22" i="80"/>
  <c r="C21" i="80"/>
  <c r="G19" i="80"/>
  <c r="C103" i="79"/>
  <c r="G20" i="79"/>
  <c r="C102" i="79"/>
  <c r="D22" i="79"/>
  <c r="C21" i="79"/>
  <c r="G19" i="79"/>
  <c r="G20" i="78"/>
  <c r="C103" i="78"/>
  <c r="C102" i="78"/>
  <c r="D22" i="78"/>
  <c r="C21" i="78"/>
  <c r="G19" i="78"/>
  <c r="D22" i="9"/>
  <c r="C102" i="9"/>
  <c r="G19" i="9"/>
  <c r="C21" i="9"/>
  <c r="C20" i="9"/>
  <c r="C32" i="80" l="1"/>
  <c r="G21" i="80"/>
  <c r="C32" i="79"/>
  <c r="G21" i="79"/>
  <c r="C32" i="78"/>
  <c r="G21" i="78"/>
  <c r="C103" i="9"/>
  <c r="G20" i="9"/>
  <c r="C32" i="9"/>
  <c r="G21" i="9"/>
  <c r="C35" i="80" l="1"/>
  <c r="F118" i="80" s="1"/>
  <c r="H118" i="80"/>
  <c r="C35" i="79"/>
  <c r="F118" i="79" s="1"/>
  <c r="H118" i="79"/>
  <c r="C35" i="78"/>
  <c r="F118" i="78" s="1"/>
  <c r="H118" i="78"/>
  <c r="C35" i="9"/>
  <c r="F118" i="9" s="1"/>
  <c r="H118" i="9"/>
  <c r="I118" i="80" l="1"/>
  <c r="C104" i="80"/>
  <c r="H119" i="80"/>
  <c r="H101" i="80"/>
  <c r="F119" i="80"/>
  <c r="G118" i="80"/>
  <c r="C34" i="80"/>
  <c r="D118" i="80" s="1"/>
  <c r="D119" i="80" s="1"/>
  <c r="I118" i="79"/>
  <c r="C104" i="79"/>
  <c r="H119" i="79"/>
  <c r="H101" i="79"/>
  <c r="F119" i="79"/>
  <c r="G118" i="79"/>
  <c r="C34" i="79"/>
  <c r="D118" i="79" s="1"/>
  <c r="D119" i="79" s="1"/>
  <c r="I118" i="78"/>
  <c r="C104" i="78"/>
  <c r="H119" i="78"/>
  <c r="H101" i="78"/>
  <c r="F119" i="78"/>
  <c r="G118" i="78"/>
  <c r="C34" i="78"/>
  <c r="D118" i="78" s="1"/>
  <c r="D119" i="78" s="1"/>
  <c r="C34" i="9"/>
  <c r="D118" i="9" s="1"/>
  <c r="D119" i="9" s="1"/>
  <c r="D5" i="52" s="1"/>
  <c r="B49" i="72" s="1"/>
  <c r="D14" i="74"/>
  <c r="I118" i="9"/>
  <c r="J5" i="77" s="1"/>
  <c r="H119" i="9"/>
  <c r="H5" i="52" s="1"/>
  <c r="H4" i="52"/>
  <c r="H101" i="9"/>
  <c r="C104" i="9"/>
  <c r="F4" i="52"/>
  <c r="B51" i="72" s="1"/>
  <c r="F119" i="9"/>
  <c r="F5" i="52" s="1"/>
  <c r="B53" i="72" s="1"/>
  <c r="G118" i="9"/>
  <c r="H107" i="80" l="1"/>
  <c r="E118" i="80"/>
  <c r="C105" i="80"/>
  <c r="H102" i="80"/>
  <c r="H107" i="79"/>
  <c r="E118" i="79"/>
  <c r="C105" i="79"/>
  <c r="H102" i="79"/>
  <c r="H107" i="78"/>
  <c r="E118" i="78"/>
  <c r="C105" i="78"/>
  <c r="H102" i="78"/>
  <c r="J7" i="77"/>
  <c r="I5" i="77"/>
  <c r="J6" i="77"/>
  <c r="D4" i="52"/>
  <c r="B47" i="72" s="1"/>
  <c r="G4" i="52"/>
  <c r="B52" i="72" s="1"/>
  <c r="H5" i="77"/>
  <c r="G5" i="77" s="1"/>
  <c r="E118" i="9"/>
  <c r="E4" i="52" s="1"/>
  <c r="B48" i="72" s="1"/>
  <c r="H102" i="9"/>
  <c r="D7" i="53" s="1"/>
  <c r="B21" i="72" s="1"/>
  <c r="I4" i="52"/>
  <c r="C105" i="9"/>
  <c r="D5" i="53"/>
  <c r="H107" i="9"/>
  <c r="M48" i="9"/>
  <c r="D45" i="9"/>
  <c r="F14" i="74"/>
  <c r="E14" i="74"/>
  <c r="B5" i="74"/>
  <c r="D45" i="78" l="1"/>
  <c r="C78" i="78" s="1"/>
  <c r="C73" i="78" s="1"/>
  <c r="M48" i="78"/>
  <c r="M49" i="78" s="1"/>
  <c r="D122" i="80"/>
  <c r="D123" i="80" s="1"/>
  <c r="H108" i="80"/>
  <c r="D122" i="79"/>
  <c r="D123" i="79" s="1"/>
  <c r="H108" i="79"/>
  <c r="D122" i="78"/>
  <c r="D123" i="78" s="1"/>
  <c r="H108" i="78"/>
  <c r="D52" i="78"/>
  <c r="I6" i="77"/>
  <c r="I7" i="77"/>
  <c r="F5" i="77"/>
  <c r="E5" i="77"/>
  <c r="H6" i="77"/>
  <c r="G6" i="77" s="1"/>
  <c r="H7" i="77"/>
  <c r="G7" i="77" s="1"/>
  <c r="M49" i="9"/>
  <c r="D13" i="53"/>
  <c r="H108" i="9"/>
  <c r="D15" i="53" s="1"/>
  <c r="B31" i="72" s="1"/>
  <c r="D122" i="9"/>
  <c r="C64" i="9"/>
  <c r="C63" i="9" s="1"/>
  <c r="C67" i="9" s="1"/>
  <c r="C68" i="9" s="1"/>
  <c r="D54" i="9" s="1"/>
  <c r="D48" i="9" s="1"/>
  <c r="M52" i="9" s="1"/>
  <c r="D53" i="9"/>
  <c r="C85" i="9"/>
  <c r="D55" i="9"/>
  <c r="M53" i="9" s="1"/>
  <c r="C93" i="9"/>
  <c r="C86" i="9" s="1"/>
  <c r="C78" i="9"/>
  <c r="C73" i="9" s="1"/>
  <c r="D52" i="9"/>
  <c r="C72" i="9"/>
  <c r="C5" i="74"/>
  <c r="D5" i="74"/>
  <c r="D6" i="53"/>
  <c r="B22" i="72" s="1"/>
  <c r="B20" i="72"/>
  <c r="D45" i="79" l="1"/>
  <c r="M48" i="79"/>
  <c r="M49" i="79" s="1"/>
  <c r="C64" i="78"/>
  <c r="C63" i="78" s="1"/>
  <c r="C67" i="78" s="1"/>
  <c r="C68" i="78" s="1"/>
  <c r="D54" i="78" s="1"/>
  <c r="D48" i="78" s="1"/>
  <c r="M52" i="78" s="1"/>
  <c r="D53" i="78"/>
  <c r="C85" i="78"/>
  <c r="D45" i="80"/>
  <c r="C78" i="80" s="1"/>
  <c r="C73" i="80" s="1"/>
  <c r="M48" i="80"/>
  <c r="M49" i="80" s="1"/>
  <c r="L65" i="80" s="1"/>
  <c r="M65" i="80" s="1"/>
  <c r="D53" i="80"/>
  <c r="D55" i="78"/>
  <c r="M53" i="78" s="1"/>
  <c r="C72" i="78"/>
  <c r="C79" i="78" s="1"/>
  <c r="C80" i="78" s="1"/>
  <c r="E80" i="78" s="1"/>
  <c r="E81" i="78" s="1"/>
  <c r="C93" i="78"/>
  <c r="C86" i="78" s="1"/>
  <c r="L66" i="78"/>
  <c r="M66" i="78" s="1"/>
  <c r="L65" i="78"/>
  <c r="M65" i="78" s="1"/>
  <c r="L64" i="78"/>
  <c r="M64" i="78" s="1"/>
  <c r="L68" i="78"/>
  <c r="M68" i="78" s="1"/>
  <c r="L67" i="78"/>
  <c r="M67" i="78" s="1"/>
  <c r="L63" i="78"/>
  <c r="M63" i="78" s="1"/>
  <c r="I8" i="77"/>
  <c r="F7" i="77"/>
  <c r="E7" i="77"/>
  <c r="E6" i="77"/>
  <c r="F6" i="77"/>
  <c r="G8" i="77"/>
  <c r="C79" i="9"/>
  <c r="C80" i="9" s="1"/>
  <c r="E80" i="9" s="1"/>
  <c r="E81" i="9" s="1"/>
  <c r="D8" i="52"/>
  <c r="G14" i="74"/>
  <c r="B6" i="74" s="1"/>
  <c r="D123" i="9"/>
  <c r="D9" i="52" s="1"/>
  <c r="B30" i="72"/>
  <c r="D14" i="53"/>
  <c r="B32" i="72" s="1"/>
  <c r="C95" i="9"/>
  <c r="L68" i="9"/>
  <c r="M68" i="9" s="1"/>
  <c r="L63" i="9"/>
  <c r="M63" i="9" s="1"/>
  <c r="L64" i="9"/>
  <c r="M64" i="9" s="1"/>
  <c r="L66" i="9"/>
  <c r="M66" i="9" s="1"/>
  <c r="L65" i="9"/>
  <c r="M65" i="9" s="1"/>
  <c r="L67" i="9"/>
  <c r="M67" i="9" s="1"/>
  <c r="D55" i="80" l="1"/>
  <c r="M53" i="80" s="1"/>
  <c r="L65" i="79"/>
  <c r="M65" i="79" s="1"/>
  <c r="C78" i="79"/>
  <c r="C73" i="79" s="1"/>
  <c r="L66" i="80"/>
  <c r="M66" i="80" s="1"/>
  <c r="L64" i="79"/>
  <c r="M64" i="79" s="1"/>
  <c r="D52" i="79"/>
  <c r="L67" i="79"/>
  <c r="M67" i="79" s="1"/>
  <c r="L66" i="79"/>
  <c r="M66" i="79" s="1"/>
  <c r="C72" i="79"/>
  <c r="C64" i="79"/>
  <c r="C63" i="79" s="1"/>
  <c r="C67" i="79" s="1"/>
  <c r="C68" i="79" s="1"/>
  <c r="D54" i="79" s="1"/>
  <c r="D48" i="79" s="1"/>
  <c r="M52" i="79" s="1"/>
  <c r="L63" i="79"/>
  <c r="M63" i="79" s="1"/>
  <c r="L68" i="79"/>
  <c r="M68" i="79" s="1"/>
  <c r="C93" i="79"/>
  <c r="C86" i="79" s="1"/>
  <c r="D55" i="79"/>
  <c r="M53" i="79" s="1"/>
  <c r="C85" i="79"/>
  <c r="C95" i="79" s="1"/>
  <c r="C96" i="79" s="1"/>
  <c r="E96" i="79" s="1"/>
  <c r="E97" i="79" s="1"/>
  <c r="D53" i="79"/>
  <c r="C95" i="78"/>
  <c r="C96" i="78" s="1"/>
  <c r="E96" i="78" s="1"/>
  <c r="E97" i="78" s="1"/>
  <c r="L67" i="80"/>
  <c r="M67" i="80" s="1"/>
  <c r="L64" i="80"/>
  <c r="M64" i="80" s="1"/>
  <c r="L63" i="80"/>
  <c r="M63" i="80" s="1"/>
  <c r="L68" i="80"/>
  <c r="M68" i="80" s="1"/>
  <c r="C93" i="80"/>
  <c r="C86" i="80" s="1"/>
  <c r="C85" i="80"/>
  <c r="C72" i="80"/>
  <c r="C79" i="80" s="1"/>
  <c r="C80" i="80" s="1"/>
  <c r="E80" i="80" s="1"/>
  <c r="E81" i="80" s="1"/>
  <c r="D52" i="80"/>
  <c r="C64" i="80"/>
  <c r="C63" i="80" s="1"/>
  <c r="C67" i="80" s="1"/>
  <c r="C68" i="80" s="1"/>
  <c r="D54" i="80" s="1"/>
  <c r="D48" i="80" s="1"/>
  <c r="M52" i="80" s="1"/>
  <c r="C79" i="79"/>
  <c r="C80" i="79" s="1"/>
  <c r="E80" i="79" s="1"/>
  <c r="E81" i="79" s="1"/>
  <c r="M69" i="78"/>
  <c r="N69" i="78" s="1"/>
  <c r="C81" i="78"/>
  <c r="D58" i="78" s="1"/>
  <c r="D56" i="78" s="1"/>
  <c r="M54" i="78" s="1"/>
  <c r="N57" i="78" s="1"/>
  <c r="E8" i="77"/>
  <c r="M69" i="9"/>
  <c r="N69" i="9" s="1"/>
  <c r="C81" i="9"/>
  <c r="C96" i="9"/>
  <c r="E96" i="9" s="1"/>
  <c r="E97" i="9" s="1"/>
  <c r="D6" i="74"/>
  <c r="C6" i="74"/>
  <c r="C97" i="78" l="1"/>
  <c r="M69" i="79"/>
  <c r="N69" i="79" s="1"/>
  <c r="M69" i="80"/>
  <c r="N69" i="80" s="1"/>
  <c r="C81" i="80"/>
  <c r="D58" i="80" s="1"/>
  <c r="D56" i="80" s="1"/>
  <c r="M54" i="80" s="1"/>
  <c r="C95" i="80"/>
  <c r="C96" i="80" s="1"/>
  <c r="E96" i="80" s="1"/>
  <c r="E97" i="80" s="1"/>
  <c r="N57" i="80"/>
  <c r="N58" i="80" s="1"/>
  <c r="C81" i="79"/>
  <c r="D58" i="79" s="1"/>
  <c r="D56" i="79" s="1"/>
  <c r="M54" i="79" s="1"/>
  <c r="N57" i="79" s="1"/>
  <c r="P57" i="79" s="1"/>
  <c r="C97" i="80"/>
  <c r="C97" i="79"/>
  <c r="N58" i="78"/>
  <c r="P57" i="78"/>
  <c r="N59" i="78"/>
  <c r="O5" i="77" s="1"/>
  <c r="C97" i="9"/>
  <c r="D58" i="9" s="1"/>
  <c r="D56" i="9" s="1"/>
  <c r="M54" i="9" s="1"/>
  <c r="N57" i="9" s="1"/>
  <c r="N58" i="9" s="1"/>
  <c r="N58" i="79" l="1"/>
  <c r="N59" i="80"/>
  <c r="P57" i="80"/>
  <c r="N59" i="79"/>
  <c r="N61" i="78"/>
  <c r="H112" i="78" s="1"/>
  <c r="N60" i="78"/>
  <c r="H111" i="78"/>
  <c r="D126" i="78" s="1"/>
  <c r="D127" i="78" s="1"/>
  <c r="P57" i="9"/>
  <c r="N59" i="9"/>
  <c r="H111" i="80" l="1"/>
  <c r="D126" i="80" s="1"/>
  <c r="D127" i="80" s="1"/>
  <c r="O7" i="77"/>
  <c r="N61" i="79"/>
  <c r="H112" i="79" s="1"/>
  <c r="O6" i="77"/>
  <c r="O8" i="77" s="1"/>
  <c r="J14" i="74" s="1"/>
  <c r="H111" i="79"/>
  <c r="D126" i="79" s="1"/>
  <c r="D127" i="79" s="1"/>
  <c r="N60" i="79"/>
  <c r="N61" i="80"/>
  <c r="H112" i="80" s="1"/>
  <c r="N60" i="80"/>
  <c r="N60" i="9"/>
  <c r="H111" i="9"/>
  <c r="N61" i="9"/>
  <c r="H112" i="9" s="1"/>
  <c r="D21" i="53" s="1"/>
  <c r="B39" i="72" s="1"/>
  <c r="D126" i="9" l="1"/>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<sst xmlns="http://schemas.openxmlformats.org/spreadsheetml/2006/main" count="8258" uniqueCount="3107">
  <si>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</si>
  <si>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</si>
  <si>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</si>
  <si>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</si>
  <si>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</si>
  <si>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</si>
  <si>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</si>
  <si>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</si>
  <si>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</si>
  <si>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</si>
  <si>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</si>
  <si>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</si>
  <si>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</si>
  <si>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</si>
  <si>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</si>
  <si>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</si>
  <si>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</si>
  <si>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</si>
  <si>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</si>
  <si>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</si>
  <si>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</si>
  <si>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</si>
  <si>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</si>
  <si>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</si>
  <si>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</si>
  <si>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</si>
  <si>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</si>
  <si>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</si>
  <si>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</si>
  <si>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</si>
  <si>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</si>
  <si>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</si>
  <si>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</si>
  <si>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</si>
  <si>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</si>
  <si>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</si>
  <si>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</si>
  <si>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</si>
  <si>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</si>
  <si>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</si>
  <si>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</si>
  <si>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</si>
  <si>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</si>
  <si>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</si>
  <si>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</si>
  <si>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</si>
  <si>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</si>
  <si>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</si>
  <si>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</si>
  <si>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</si>
  <si>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</si>
  <si>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</si>
  <si>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</si>
  <si>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</si>
  <si>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</si>
  <si>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</si>
  <si>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</si>
  <si>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</si>
  <si>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</si>
  <si>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</si>
  <si>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</si>
  <si>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</si>
  <si>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</si>
  <si>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</si>
  <si>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</si>
  <si>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</si>
  <si>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</si>
  <si>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</si>
  <si>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</si>
  <si>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</si>
  <si>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</si>
  <si>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</si>
  <si>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</si>
  <si>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</si>
  <si>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</si>
  <si>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</si>
  <si>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</si>
  <si>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</si>
  <si>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</si>
  <si>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</si>
  <si>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</si>
  <si>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</si>
  <si>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</si>
  <si>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</si>
  <si>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</si>
  <si>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</si>
  <si>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</si>
  <si>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</si>
  <si>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</si>
  <si>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</si>
  <si>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</si>
  <si>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</si>
  <si>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</si>
  <si>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</si>
  <si>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</si>
  <si>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</si>
  <si>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</si>
  <si>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</si>
  <si>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</si>
  <si>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</si>
  <si>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</si>
  <si>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</si>
  <si>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</si>
  <si>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</si>
  <si>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</si>
  <si>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</si>
  <si>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</si>
  <si>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</si>
  <si>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</si>
  <si>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</si>
  <si>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</si>
  <si>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</si>
  <si>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</si>
  <si>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</si>
  <si>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</si>
  <si>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</si>
  <si>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</si>
  <si>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</si>
  <si>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</si>
  <si>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</si>
  <si>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</si>
  <si>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</si>
  <si>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</si>
  <si>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</si>
  <si>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</si>
  <si>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</si>
  <si>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</si>
  <si>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</si>
  <si>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</si>
  <si>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</si>
  <si>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</si>
  <si>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</si>
  <si>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</si>
  <si>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</si>
  <si>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</si>
  <si>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</si>
  <si>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</si>
  <si>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</si>
  <si>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</si>
  <si>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</si>
  <si>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</si>
  <si>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</si>
  <si>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</si>
  <si>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</si>
  <si>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</si>
  <si>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</si>
  <si>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</si>
  <si>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</si>
  <si>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</si>
  <si>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</si>
  <si>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</si>
  <si>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</si>
  <si>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</si>
  <si>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</si>
  <si>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</si>
  <si>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</si>
  <si>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</si>
  <si>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</si>
  <si>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</si>
  <si>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</si>
  <si>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</si>
  <si>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</si>
  <si>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</si>
  <si>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</si>
  <si>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</si>
  <si>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</si>
  <si>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</si>
  <si>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</si>
  <si>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</si>
  <si>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</si>
  <si>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</si>
  <si>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</si>
  <si>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</si>
  <si>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</si>
  <si>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</si>
  <si>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</si>
  <si>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</si>
  <si>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</si>
  <si>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</si>
  <si>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</si>
  <si>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</si>
  <si>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</si>
  <si>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</si>
  <si>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</si>
  <si>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</si>
  <si>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</si>
  <si>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</si>
  <si>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</si>
  <si>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</si>
  <si>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</si>
  <si>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</si>
  <si>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</si>
  <si>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</si>
  <si>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</si>
  <si>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</si>
  <si>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</si>
  <si>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</si>
  <si>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</si>
  <si>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</si>
  <si>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</si>
  <si>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</si>
  <si>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</si>
  <si>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</si>
  <si>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</si>
  <si>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</si>
  <si>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</si>
  <si>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</si>
  <si>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</si>
  <si>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</si>
  <si>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</si>
  <si>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</si>
  <si>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</si>
  <si>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</si>
  <si>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</si>
  <si>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</si>
  <si>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</si>
  <si>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</si>
  <si>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</si>
  <si>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</si>
  <si>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</si>
  <si>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</si>
  <si>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</si>
  <si>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</si>
  <si>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</si>
  <si>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</si>
  <si>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</si>
  <si>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</si>
  <si>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</si>
  <si>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</si>
  <si>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</si>
  <si>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</si>
  <si>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</si>
  <si>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</si>
  <si>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</si>
  <si>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</si>
  <si>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</si>
  <si>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</si>
  <si>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</si>
  <si>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</si>
  <si>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</si>
  <si>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</si>
  <si>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</si>
  <si>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</si>
  <si>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</si>
  <si>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</si>
  <si>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</si>
  <si>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</si>
  <si>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</si>
  <si>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</si>
  <si>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</si>
  <si>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</si>
  <si>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</si>
  <si>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</si>
  <si>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</si>
  <si>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</si>
  <si>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</si>
  <si>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</si>
  <si>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</si>
  <si>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</si>
  <si>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</si>
  <si>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</si>
  <si>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</si>
  <si>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</si>
  <si>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</si>
  <si>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</si>
  <si>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</si>
  <si>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</si>
  <si>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</si>
  <si>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</si>
  <si>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</si>
  <si>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</si>
  <si>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</si>
  <si>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</si>
  <si>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</si>
  <si>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</si>
  <si>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</si>
  <si>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</si>
  <si>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</si>
  <si>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</si>
  <si>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</si>
  <si>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</si>
  <si>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</si>
  <si>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</si>
  <si>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</si>
  <si>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</si>
  <si>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</si>
  <si>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</si>
  <si>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</si>
  <si>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</si>
  <si>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</si>
  <si>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</si>
  <si>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</si>
  <si>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</si>
  <si>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</si>
  <si>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</si>
  <si>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</si>
  <si>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</si>
  <si>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</si>
  <si>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</si>
  <si>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</si>
  <si>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</si>
  <si>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</si>
  <si>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</si>
  <si>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</si>
  <si>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</si>
  <si>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</si>
  <si>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</si>
  <si>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</si>
  <si>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</si>
  <si>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</si>
  <si>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</si>
  <si>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</si>
  <si>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</si>
  <si>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</si>
  <si>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</si>
  <si>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</si>
  <si>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</si>
  <si>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</si>
  <si>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</si>
  <si>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</si>
  <si>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</si>
  <si>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</si>
  <si>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</si>
  <si>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</si>
  <si>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</si>
  <si>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</si>
  <si>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</si>
  <si>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</si>
  <si>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</si>
  <si>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</si>
  <si>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</si>
  <si>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</si>
  <si>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</si>
  <si>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</si>
  <si>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</si>
  <si>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</si>
  <si>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</si>
  <si>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</si>
  <si>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</si>
  <si>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</si>
  <si>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</si>
  <si>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</si>
  <si>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</si>
  <si>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</si>
  <si>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</si>
  <si>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</si>
  <si>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</si>
  <si>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</si>
  <si>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</si>
  <si>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</si>
  <si>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</si>
  <si>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</si>
  <si>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</si>
  <si>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</si>
  <si>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</si>
  <si>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</si>
  <si>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</si>
  <si>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</si>
  <si>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</si>
  <si>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</si>
  <si>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</si>
  <si>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</si>
  <si>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</si>
  <si>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</si>
  <si>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</si>
  <si>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</si>
  <si>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</si>
  <si>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</si>
  <si>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</si>
  <si>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</si>
  <si>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</si>
  <si>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</si>
  <si>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</si>
  <si>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</si>
  <si>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</si>
  <si>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</si>
  <si>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</si>
  <si>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</si>
  <si>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</si>
  <si>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</si>
  <si>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</si>
  <si>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</si>
  <si>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</si>
  <si>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</si>
  <si>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</si>
  <si>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</si>
  <si>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</si>
  <si>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</si>
  <si>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</si>
  <si>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</si>
  <si>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</si>
  <si>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</si>
  <si>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</si>
  <si>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</si>
  <si>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</si>
  <si>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</si>
  <si>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</si>
  <si>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</si>
  <si>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</si>
  <si>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</si>
  <si>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</si>
  <si>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</si>
  <si>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</si>
  <si>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</si>
  <si>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</si>
  <si>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</si>
  <si>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</si>
  <si>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</si>
  <si>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</si>
  <si>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</si>
  <si>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</si>
  <si>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</si>
  <si>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</si>
  <si>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</si>
  <si>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</si>
  <si>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</si>
  <si>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</si>
  <si>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</si>
  <si>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</si>
  <si>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</si>
  <si>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</si>
  <si>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</si>
  <si>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</si>
  <si>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</si>
  <si>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</si>
  <si>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</si>
  <si>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</si>
  <si>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</si>
  <si>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</si>
  <si>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</si>
  <si>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</si>
  <si>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</si>
  <si>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</si>
  <si>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</si>
  <si>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</si>
  <si>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</si>
  <si>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</si>
  <si>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</si>
  <si>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</si>
  <si>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</si>
  <si>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</si>
  <si>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</si>
  <si>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</si>
  <si>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</si>
  <si>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</si>
  <si>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</si>
  <si>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</si>
  <si>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</si>
  <si>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</si>
  <si>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</si>
  <si>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</si>
  <si>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</si>
  <si>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</si>
  <si>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</si>
  <si>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</si>
  <si>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</si>
  <si>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</si>
  <si>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</si>
  <si>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</si>
  <si>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</si>
  <si>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</si>
  <si>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</si>
  <si>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</si>
  <si>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</si>
  <si>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</si>
  <si>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</si>
  <si>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</si>
  <si>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</si>
  <si>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</si>
  <si>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</si>
  <si>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</si>
  <si>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</si>
  <si>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</si>
  <si>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</si>
  <si>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</si>
  <si>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</si>
  <si>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</si>
  <si>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</si>
  <si>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</si>
  <si>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</si>
  <si>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</si>
  <si>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</si>
  <si>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</si>
  <si>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</si>
  <si>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</si>
  <si>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</si>
  <si>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</si>
  <si>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</si>
  <si>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</si>
  <si>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</si>
  <si>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</si>
  <si>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</si>
  <si>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</si>
  <si>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</si>
  <si>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</si>
  <si>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</si>
  <si>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</si>
  <si>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</si>
  <si>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</si>
  <si>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</si>
  <si>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</si>
  <si>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</si>
  <si>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</si>
  <si>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</si>
  <si>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</si>
  <si>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</si>
  <si>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</si>
  <si>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</si>
  <si>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</si>
  <si>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</si>
  <si>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</si>
  <si>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</si>
  <si>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</si>
  <si>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</si>
  <si>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</si>
  <si>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</si>
  <si>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</si>
  <si>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</si>
  <si>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</si>
  <si>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</si>
  <si>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</si>
  <si>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</si>
  <si>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</si>
  <si>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</si>
  <si>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</si>
  <si>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</si>
  <si>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</si>
  <si>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</si>
  <si>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</si>
  <si>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</si>
  <si>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</si>
  <si>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</si>
  <si>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</si>
  <si>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</si>
  <si>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</si>
  <si>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</si>
  <si>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</si>
  <si>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</si>
  <si>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</si>
  <si>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</si>
  <si>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</si>
  <si>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</si>
  <si>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</si>
  <si>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</si>
  <si>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</si>
  <si>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</si>
  <si>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</si>
  <si>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</si>
  <si>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</si>
  <si>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</si>
  <si>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</si>
  <si>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</si>
  <si>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</si>
  <si>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</si>
  <si>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</si>
  <si>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</si>
  <si>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</si>
  <si>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</si>
  <si>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</si>
  <si>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</si>
  <si>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</si>
  <si>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</si>
  <si>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</si>
  <si>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</si>
  <si>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</si>
  <si>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</si>
  <si>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</si>
  <si>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</si>
  <si>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</si>
  <si>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</si>
  <si>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</si>
  <si>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</si>
  <si>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</si>
  <si>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</si>
  <si>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</si>
  <si>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</si>
  <si>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</si>
  <si>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</si>
  <si>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</si>
  <si>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</si>
  <si>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</si>
  <si>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</si>
  <si>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</si>
  <si>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</si>
  <si>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</si>
  <si>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</si>
  <si>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</si>
  <si>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</si>
  <si>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</si>
  <si>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</si>
  <si>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</si>
  <si>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</si>
  <si>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</si>
  <si>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</si>
  <si>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</si>
  <si>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</si>
  <si>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</si>
  <si>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</si>
  <si>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</si>
  <si>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</si>
  <si>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</si>
  <si>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</si>
  <si>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</si>
  <si>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</si>
  <si>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</si>
  <si>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</si>
  <si>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</si>
  <si>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</si>
  <si>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</si>
  <si>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</si>
  <si>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</si>
  <si>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</si>
  <si>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</si>
  <si>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</si>
  <si>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</si>
  <si>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</si>
  <si>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</si>
  <si>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</si>
  <si>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</si>
  <si>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</si>
  <si>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</si>
  <si>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</si>
  <si>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</si>
  <si>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</si>
  <si>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</si>
  <si>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</si>
  <si>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</si>
  <si>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</si>
  <si>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</si>
  <si>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</si>
  <si>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</si>
  <si>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</si>
  <si>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</si>
  <si>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</si>
  <si>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</si>
  <si>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</si>
  <si>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</si>
  <si>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</si>
  <si>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</si>
  <si>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</si>
  <si>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</si>
  <si>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</si>
  <si>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</si>
  <si>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</si>
  <si>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</si>
  <si>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</si>
  <si>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</si>
  <si>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</si>
  <si>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</si>
  <si>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</si>
  <si>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</si>
  <si>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</si>
  <si>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</si>
  <si>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</si>
  <si>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</si>
  <si>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</si>
  <si>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</si>
  <si>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</si>
  <si>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</si>
  <si>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</si>
  <si>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</si>
  <si>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</si>
  <si>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</si>
  <si>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</si>
  <si>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</si>
  <si>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</si>
  <si>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</si>
  <si>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</si>
  <si>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</si>
  <si>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</si>
  <si>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</si>
  <si>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</si>
  <si>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</si>
  <si>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</si>
  <si>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</si>
  <si>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</si>
  <si>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</si>
  <si>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</si>
  <si>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</si>
  <si>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</si>
  <si>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</si>
  <si>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</si>
  <si>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</si>
  <si>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</si>
  <si>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</si>
  <si>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</si>
  <si>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</si>
  <si>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</si>
  <si>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</si>
  <si>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</si>
  <si>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</si>
  <si>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</si>
  <si>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</si>
  <si>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</si>
  <si>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</si>
  <si>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</si>
  <si>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</si>
  <si>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</si>
  <si>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</si>
  <si>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</si>
  <si>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</si>
  <si>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</si>
  <si>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</si>
  <si>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</si>
  <si>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</si>
  <si>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</si>
  <si>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</si>
  <si>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</si>
  <si>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</si>
  <si>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</si>
  <si>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</si>
  <si>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</si>
  <si>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</si>
  <si>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</si>
  <si>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</si>
  <si>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</si>
  <si>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</si>
  <si>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</si>
  <si>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</si>
  <si>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</si>
  <si>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</si>
  <si>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</si>
  <si>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</si>
  <si>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</si>
  <si>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</si>
  <si>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</si>
  <si>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</si>
  <si>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</si>
  <si>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</si>
  <si>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</si>
  <si>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</si>
  <si>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</si>
  <si>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</si>
  <si>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</si>
  <si>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</si>
  <si>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</si>
  <si>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</si>
  <si>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</si>
  <si>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</si>
  <si>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</si>
  <si>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</si>
  <si>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</si>
  <si>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</si>
  <si>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</si>
  <si>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</si>
  <si>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</si>
  <si>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</si>
  <si>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</si>
  <si>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</si>
  <si>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</si>
  <si>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</si>
  <si>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</si>
  <si>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</si>
  <si>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</si>
  <si>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</si>
  <si>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</si>
  <si>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</si>
  <si>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</si>
  <si>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</si>
  <si>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</si>
  <si>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</si>
  <si>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</si>
  <si>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</si>
  <si>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</si>
  <si>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</si>
  <si>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</si>
  <si>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</si>
  <si>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</si>
  <si>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</si>
  <si>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</si>
  <si>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</si>
  <si>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</si>
  <si>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</si>
  <si>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</si>
  <si>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</si>
  <si>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</si>
  <si>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</si>
  <si>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</si>
  <si>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</si>
  <si>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</si>
  <si>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</si>
  <si>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</si>
  <si>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</si>
  <si>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</si>
  <si>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</si>
  <si>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</si>
  <si>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</si>
  <si>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</si>
  <si>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</si>
  <si>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</si>
  <si>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</si>
  <si>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</si>
  <si>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</si>
  <si>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</si>
  <si>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</si>
  <si>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</si>
  <si>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</si>
  <si>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</si>
  <si>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</si>
  <si>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</si>
  <si>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</si>
  <si>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</si>
  <si>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</si>
  <si>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</si>
  <si>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</si>
  <si>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</si>
  <si>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</si>
  <si>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</si>
  <si>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</si>
  <si>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</si>
  <si>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</si>
  <si>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</si>
  <si>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</si>
  <si>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</si>
  <si>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</si>
  <si>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</si>
  <si>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</si>
  <si>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</si>
  <si>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</si>
  <si>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</si>
  <si>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</si>
  <si>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</si>
  <si>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</si>
  <si>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</si>
  <si>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</si>
  <si>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</si>
  <si>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</si>
  <si>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</si>
  <si>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</si>
  <si>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</si>
  <si>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</si>
  <si>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</si>
  <si>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</si>
  <si>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</si>
  <si>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</si>
  <si>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</si>
  <si>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</si>
  <si>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</si>
  <si>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</si>
  <si>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</si>
  <si>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</si>
  <si>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</si>
  <si>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</si>
  <si>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</si>
  <si>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</si>
  <si>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</si>
  <si>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</si>
  <si>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</si>
  <si>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</si>
  <si>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</si>
  <si>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</si>
  <si>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</si>
  <si>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</si>
  <si>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</si>
  <si>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</si>
  <si>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</si>
  <si>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</si>
  <si>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</si>
  <si>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</si>
  <si>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</si>
  <si>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</si>
  <si>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</si>
  <si>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</si>
  <si>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</si>
  <si>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</si>
  <si>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</si>
  <si>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</si>
  <si>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</si>
  <si>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</si>
  <si>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</si>
  <si>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</si>
  <si>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</si>
  <si>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</si>
  <si>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</si>
  <si>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</si>
  <si>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</si>
  <si>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</si>
  <si>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</si>
  <si>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</si>
  <si>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</si>
  <si>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</si>
  <si>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</si>
  <si>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</si>
  <si>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</si>
  <si>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</si>
  <si>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</si>
  <si>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</si>
  <si>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</si>
  <si>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</si>
  <si>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</si>
  <si>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</si>
  <si>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</si>
  <si>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</si>
  <si>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</si>
  <si>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</si>
  <si>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</si>
  <si>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</si>
  <si>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</si>
  <si>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</si>
  <si>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</si>
  <si>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</si>
  <si>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</si>
  <si>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</si>
  <si>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</si>
  <si>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</si>
  <si>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</si>
  <si>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</si>
  <si>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</si>
  <si>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</si>
  <si>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</si>
  <si>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</si>
  <si>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</si>
  <si>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</si>
  <si>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</si>
  <si>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</si>
  <si>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</si>
  <si>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</si>
  <si>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</si>
  <si>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</si>
  <si>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</si>
  <si>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</si>
  <si>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</si>
  <si>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</si>
  <si>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</si>
  <si>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</si>
  <si>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</si>
  <si>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</si>
  <si>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</si>
  <si>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</si>
  <si>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</si>
  <si>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</si>
  <si>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</si>
  <si>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</si>
  <si>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</si>
  <si>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</si>
  <si>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</si>
  <si>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</si>
  <si>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</si>
  <si>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</si>
  <si>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</si>
  <si>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</si>
  <si>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</si>
  <si>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</si>
  <si>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</si>
  <si>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</si>
  <si>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</si>
  <si>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</si>
  <si>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</si>
  <si>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</si>
  <si>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</si>
  <si>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</si>
  <si>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</si>
  <si>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</si>
  <si>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</si>
  <si>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</si>
  <si>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</si>
  <si>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</si>
  <si>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</si>
  <si>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</si>
  <si>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</si>
  <si>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</si>
  <si>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</si>
  <si>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</si>
  <si>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</si>
  <si>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</si>
  <si>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</si>
  <si>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</si>
  <si>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</si>
  <si>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</si>
  <si>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</si>
  <si>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</si>
  <si>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</si>
  <si>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</si>
  <si>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</si>
  <si>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</si>
  <si>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</si>
  <si>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</si>
  <si>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</si>
  <si>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</si>
  <si>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</si>
  <si>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</si>
  <si>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</si>
  <si>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</si>
  <si>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</si>
  <si>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</si>
  <si>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</si>
  <si>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</si>
  <si>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</si>
  <si>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</si>
  <si>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</si>
  <si>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</si>
  <si>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</si>
  <si>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</si>
  <si>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</si>
  <si>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</si>
  <si>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</si>
  <si>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</si>
  <si>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</si>
  <si>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</si>
  <si>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</si>
  <si>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</si>
  <si>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</si>
  <si>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</si>
  <si>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</si>
  <si>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</si>
  <si>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</si>
  <si>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</si>
  <si>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</si>
  <si>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</si>
  <si>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</si>
  <si>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</si>
  <si>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</si>
  <si>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</si>
  <si>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</si>
  <si>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</si>
  <si>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</si>
  <si>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</si>
  <si>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</si>
  <si>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</si>
  <si>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</si>
  <si>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</si>
  <si>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</si>
  <si>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</si>
  <si>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</si>
  <si>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</si>
  <si>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</si>
  <si>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</si>
  <si>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</si>
  <si>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</si>
  <si>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</si>
  <si>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</si>
  <si>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</si>
  <si>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</si>
  <si>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</si>
  <si>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</si>
  <si>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</si>
  <si>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</si>
  <si>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</si>
  <si>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</si>
  <si>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</si>
  <si>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</si>
  <si>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</si>
  <si>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</si>
  <si>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</si>
  <si>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</si>
  <si>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</si>
  <si>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</si>
  <si>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</si>
  <si>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</si>
  <si>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</si>
  <si>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</si>
  <si>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</si>
  <si>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</si>
  <si>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</si>
  <si>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</si>
  <si>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</si>
  <si>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</si>
  <si>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</si>
  <si>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</si>
  <si>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</si>
  <si>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</si>
  <si>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</si>
  <si>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</si>
  <si>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</si>
  <si>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</si>
  <si>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</si>
  <si>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</si>
  <si>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</si>
  <si>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</si>
  <si>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</si>
  <si>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</si>
  <si>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</si>
  <si>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</si>
  <si>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</si>
  <si>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</si>
  <si>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</si>
  <si>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</si>
  <si>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</si>
  <si>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</si>
  <si>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</si>
  <si>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</si>
  <si>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</si>
  <si>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</si>
  <si>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</si>
  <si>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</si>
  <si>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</si>
  <si>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</si>
  <si>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</si>
  <si>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</si>
  <si>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</si>
  <si>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</si>
  <si>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</si>
  <si>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</si>
  <si>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</si>
  <si>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</si>
  <si>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</si>
  <si>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</si>
  <si>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</si>
  <si>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</si>
  <si>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</si>
  <si>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</si>
  <si>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</si>
  <si>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</si>
  <si>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</si>
  <si>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</si>
  <si>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</si>
  <si>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</si>
  <si>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</si>
  <si>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</si>
  <si>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</si>
  <si>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</si>
  <si>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</si>
  <si>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</si>
  <si>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</si>
  <si>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</si>
  <si>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</si>
  <si>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</si>
  <si>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</si>
  <si>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</si>
  <si>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</si>
  <si>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</si>
  <si>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</si>
  <si>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</si>
  <si>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</si>
  <si>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</si>
  <si>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</si>
  <si>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</si>
  <si>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</si>
  <si>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</si>
  <si>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</si>
  <si>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</si>
  <si>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</si>
  <si>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</si>
  <si>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</si>
  <si>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</si>
  <si>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</si>
  <si>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</si>
  <si>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</si>
  <si>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</si>
  <si>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</si>
  <si>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</si>
  <si>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</si>
  <si>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</si>
  <si>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</si>
  <si>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</si>
  <si>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</si>
  <si>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</si>
  <si>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</si>
  <si>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</si>
  <si>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</si>
  <si>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</si>
  <si>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</si>
  <si>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</si>
  <si>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</si>
  <si>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</si>
  <si>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</si>
  <si>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</si>
  <si>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</si>
  <si>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</si>
  <si>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</si>
  <si>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</si>
  <si>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</si>
  <si>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</si>
  <si>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</si>
  <si>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</si>
  <si>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</si>
  <si>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</si>
  <si>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</si>
  <si>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</si>
  <si>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</si>
  <si>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</si>
  <si>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</si>
  <si>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</si>
  <si>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</si>
  <si>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</si>
  <si>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</si>
  <si>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</si>
  <si>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</si>
  <si>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</si>
  <si>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</si>
  <si>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</si>
  <si>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</si>
  <si>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</si>
  <si>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</si>
  <si>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</si>
  <si>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</si>
  <si>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</si>
  <si>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</si>
  <si>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</si>
  <si>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</si>
  <si>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</si>
  <si>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</si>
  <si>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</si>
  <si>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</si>
  <si>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</si>
  <si>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</si>
  <si>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</si>
  <si>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</si>
  <si>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</si>
  <si>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</si>
  <si>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</si>
  <si>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</si>
  <si>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</si>
  <si>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</si>
  <si>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</si>
  <si>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</si>
  <si>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</si>
  <si>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</si>
  <si>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</si>
  <si>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</si>
  <si>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</si>
  <si>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</si>
  <si>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</si>
  <si>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</si>
  <si>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</si>
  <si>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</si>
  <si>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</si>
  <si>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</si>
  <si>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</si>
  <si>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</si>
  <si>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</si>
  <si>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</si>
  <si>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</si>
  <si>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</si>
  <si>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</si>
  <si>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</si>
  <si>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</si>
  <si>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</si>
  <si>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</si>
  <si>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</si>
  <si>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</si>
  <si>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</si>
  <si>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</si>
  <si>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</si>
  <si>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</si>
  <si>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</si>
  <si>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</si>
  <si>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</si>
  <si>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</si>
  <si>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</si>
  <si>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</si>
  <si>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</si>
  <si>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</si>
  <si>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</si>
  <si>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</si>
  <si>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</si>
  <si>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</si>
  <si>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</si>
  <si>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</si>
  <si>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</si>
  <si>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</si>
  <si>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</si>
  <si>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</si>
  <si>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</si>
  <si>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</si>
  <si>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</si>
  <si>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</si>
  <si>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</si>
  <si>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</si>
  <si>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</si>
  <si>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</si>
  <si>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</si>
  <si>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</si>
  <si>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</si>
  <si>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</si>
  <si>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</si>
  <si>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</si>
  <si>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</si>
  <si>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</si>
  <si>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</si>
  <si>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</si>
  <si>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</si>
  <si>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</si>
  <si>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</si>
  <si>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</si>
  <si>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</si>
  <si>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</si>
  <si>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</si>
  <si>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</si>
  <si>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</si>
  <si>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</si>
  <si>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</si>
  <si>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</si>
  <si>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</si>
  <si>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</si>
  <si>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</si>
  <si>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</si>
  <si>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</si>
  <si>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</si>
  <si>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</si>
  <si>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</si>
  <si>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</si>
  <si>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</si>
  <si>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</si>
  <si>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</si>
  <si>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</si>
  <si>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</si>
  <si>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</si>
  <si>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</si>
  <si>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</si>
  <si>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</si>
  <si>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</si>
  <si>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</si>
  <si>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</si>
  <si>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</si>
  <si>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</si>
  <si>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</si>
  <si>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</si>
  <si>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</si>
  <si>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</si>
  <si>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</si>
  <si>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</si>
  <si>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</si>
  <si>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</si>
  <si>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</si>
  <si>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</si>
  <si>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</si>
  <si>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</si>
  <si>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</si>
  <si>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</si>
  <si>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</si>
  <si>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</si>
  <si>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</si>
  <si>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</si>
  <si>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</si>
  <si>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</si>
  <si>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</si>
  <si>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</si>
  <si>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</si>
  <si>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</si>
  <si>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</si>
  <si>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</si>
  <si>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</si>
  <si>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</si>
  <si>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</si>
  <si>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</si>
  <si>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</si>
  <si>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</si>
  <si>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</si>
  <si>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</si>
  <si>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</si>
  <si>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</si>
  <si>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</si>
  <si>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</si>
  <si>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</si>
  <si>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</si>
  <si>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</si>
  <si>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</si>
  <si>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</si>
  <si>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</si>
  <si>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</si>
  <si>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</si>
  <si>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</si>
  <si>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</si>
  <si>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</si>
  <si>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</si>
  <si>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</si>
  <si>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</si>
  <si>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</si>
  <si>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</si>
  <si>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</si>
  <si>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</si>
  <si>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</si>
  <si>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</si>
  <si>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</si>
  <si>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</si>
  <si>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</si>
  <si>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</si>
  <si>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</si>
  <si>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</si>
  <si>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</si>
  <si>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</si>
  <si>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</si>
  <si>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</si>
  <si>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</si>
  <si>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</si>
  <si>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</si>
  <si>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</si>
  <si>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</si>
  <si>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</si>
  <si>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</si>
  <si>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</si>
  <si>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</si>
  <si>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</si>
  <si>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</si>
  <si>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</si>
  <si>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</si>
  <si>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</si>
  <si>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</si>
  <si>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</si>
  <si>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</si>
  <si>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</si>
  <si>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</si>
  <si>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</si>
  <si>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</si>
  <si>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</si>
  <si>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</si>
  <si>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</si>
  <si>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</si>
  <si>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</si>
  <si>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</si>
  <si>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</si>
  <si>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</si>
  <si>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</si>
  <si>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</si>
  <si>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</si>
  <si>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</si>
  <si>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</si>
  <si>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</si>
  <si>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</si>
  <si>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</si>
  <si>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</si>
  <si>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</si>
  <si>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</si>
  <si>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</si>
  <si>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</si>
  <si>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</si>
  <si>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</si>
  <si>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</si>
  <si>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</si>
  <si>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</si>
  <si>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</si>
  <si>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</si>
  <si>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</si>
  <si>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</si>
  <si>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</si>
  <si>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</si>
  <si>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</si>
  <si>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</si>
  <si>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</si>
  <si>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</si>
  <si>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</si>
  <si>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</si>
  <si>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</si>
  <si>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</si>
  <si>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</si>
  <si>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</si>
  <si>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</si>
  <si>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</si>
  <si>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</si>
  <si>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</si>
  <si>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</si>
  <si>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</si>
  <si>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</si>
  <si>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</si>
  <si>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</si>
  <si>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</si>
  <si>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</si>
  <si>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</si>
  <si>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</si>
  <si>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</si>
  <si>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</si>
  <si>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</si>
  <si>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</si>
  <si>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</si>
  <si>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</si>
  <si>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</si>
  <si>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</si>
  <si>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</si>
  <si>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</si>
  <si>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</si>
  <si>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</si>
  <si>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</si>
  <si>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</si>
  <si>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</si>
  <si>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</si>
  <si>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</si>
  <si>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</si>
  <si>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</si>
  <si>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</si>
  <si>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</si>
  <si>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</si>
  <si>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</si>
  <si>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</si>
  <si>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</si>
  <si>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</si>
  <si>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</si>
  <si>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</si>
  <si>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</si>
  <si>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</si>
  <si>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</si>
  <si>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</si>
  <si>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</si>
  <si>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</si>
  <si>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</si>
  <si>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</si>
  <si>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</si>
  <si>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</si>
  <si>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</si>
  <si>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</si>
  <si>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</si>
  <si>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</si>
  <si>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</si>
  <si>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</si>
  <si>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</si>
  <si>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</si>
  <si>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</si>
  <si>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</si>
  <si>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</si>
  <si>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</si>
  <si>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</si>
  <si>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</si>
  <si>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</si>
  <si>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</si>
  <si>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</si>
  <si>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</si>
  <si>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</si>
  <si>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</si>
  <si>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</si>
  <si>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</si>
  <si>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</si>
  <si>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</si>
  <si>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</si>
  <si>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</si>
  <si>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</si>
  <si>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</si>
  <si>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</si>
  <si>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</si>
  <si>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</si>
  <si>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</si>
  <si>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</si>
  <si>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</si>
  <si>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</si>
  <si>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</si>
  <si>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</si>
  <si>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</si>
  <si>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</si>
  <si>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</si>
  <si>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</si>
  <si>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</si>
  <si>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</si>
  <si>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</si>
  <si>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</si>
  <si>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</si>
  <si>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</si>
  <si>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</si>
  <si>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</si>
  <si>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</si>
  <si>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</si>
  <si>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</si>
  <si>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</si>
  <si>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</si>
  <si>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</si>
  <si>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</si>
  <si>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</si>
  <si>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</si>
  <si>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</si>
  <si>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</si>
  <si>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</si>
  <si>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</si>
  <si>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</si>
  <si>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</si>
  <si>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</si>
  <si>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</si>
  <si>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</si>
  <si>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</si>
  <si>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</si>
  <si>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</si>
  <si>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</si>
  <si>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</si>
  <si>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</si>
  <si>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</si>
  <si>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</si>
  <si>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</si>
  <si>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</si>
  <si>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</si>
  <si>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</si>
  <si>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</si>
  <si>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</si>
  <si>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</si>
  <si>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</si>
  <si>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</si>
  <si>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</si>
  <si>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</si>
  <si>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</si>
  <si>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</si>
  <si>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</si>
  <si>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</si>
  <si>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</si>
  <si>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</si>
  <si>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</si>
  <si>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</si>
  <si>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</si>
  <si>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</si>
  <si>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</si>
  <si>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</si>
  <si>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</si>
  <si>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</si>
  <si>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</si>
  <si>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</si>
  <si>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</si>
  <si>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</si>
  <si>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</si>
  <si>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</si>
  <si>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</si>
  <si>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</si>
  <si>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</si>
  <si>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</si>
  <si>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</si>
  <si>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</si>
  <si>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</si>
  <si>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</si>
  <si>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</si>
  <si>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</si>
  <si>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</si>
  <si>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</si>
  <si>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</si>
  <si>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</si>
  <si>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</si>
  <si>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</si>
  <si>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</si>
  <si>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</si>
  <si>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</si>
  <si>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</si>
  <si>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</si>
  <si>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</si>
  <si>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</si>
  <si>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</si>
  <si>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</si>
  <si>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</si>
  <si>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</si>
  <si>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</si>
  <si>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</si>
  <si>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</si>
  <si>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</si>
  <si>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</si>
  <si>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</si>
  <si>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</si>
  <si>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</si>
  <si>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</si>
  <si>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</si>
  <si>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</si>
  <si>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</si>
  <si>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</si>
  <si>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</si>
  <si>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</si>
  <si>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</si>
  <si>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</si>
  <si>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</si>
  <si>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</si>
  <si>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</si>
  <si>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</si>
  <si>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</si>
  <si>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</si>
  <si>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</si>
  <si>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</si>
  <si>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</si>
  <si>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</si>
  <si>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</si>
  <si>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</si>
  <si>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</si>
  <si>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</si>
  <si>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</si>
  <si>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</si>
  <si>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</si>
  <si>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</si>
  <si>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</si>
  <si>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</si>
  <si>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</si>
  <si>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</si>
  <si>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</si>
  <si>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</si>
  <si>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</si>
  <si>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</si>
  <si>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</si>
  <si>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</si>
  <si>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</si>
  <si>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</si>
  <si>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</si>
  <si>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</si>
  <si>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</si>
  <si>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</si>
  <si>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</si>
  <si>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</si>
  <si>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</si>
  <si>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</si>
  <si>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</si>
  <si>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</si>
  <si>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</si>
  <si>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</si>
  <si>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</si>
  <si>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</si>
  <si>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</si>
  <si>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</si>
  <si>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</si>
  <si>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</si>
  <si>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</si>
  <si>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</si>
  <si>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</si>
  <si>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</si>
  <si>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</si>
  <si>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</si>
  <si>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</si>
  <si>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</si>
  <si>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</si>
  <si>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</si>
  <si>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</si>
  <si>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</si>
  <si>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</si>
  <si>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</si>
  <si>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</si>
  <si>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</si>
  <si>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</si>
  <si>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</si>
  <si>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</si>
  <si>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</si>
  <si>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</si>
  <si>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</si>
  <si>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</si>
  <si>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</si>
  <si>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</si>
  <si>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</si>
  <si>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</si>
  <si>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</si>
  <si>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</si>
  <si>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</si>
  <si>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</si>
  <si>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</si>
  <si>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</si>
  <si>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</si>
  <si>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</si>
  <si>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</si>
  <si>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</si>
  <si>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</si>
  <si>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</si>
  <si>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</si>
  <si>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</si>
  <si>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</si>
  <si>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</si>
  <si>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</si>
  <si>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</si>
  <si>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</si>
  <si>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</si>
  <si>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</si>
  <si>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</si>
  <si>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</si>
  <si>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</si>
  <si>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</si>
  <si>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</si>
  <si>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</si>
  <si>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</si>
  <si>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</si>
  <si>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</si>
  <si>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</si>
  <si>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</si>
  <si>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</si>
  <si>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</si>
  <si>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</si>
  <si>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</si>
  <si>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</si>
  <si>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</si>
  <si>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</si>
  <si>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</si>
  <si>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</si>
  <si>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</si>
  <si>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</si>
  <si>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</si>
  <si>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</si>
  <si>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</si>
  <si>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</si>
  <si>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</si>
  <si>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</si>
  <si>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</si>
  <si>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</si>
  <si>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</si>
  <si>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</si>
  <si>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</si>
  <si>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</si>
  <si>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</si>
  <si>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</si>
  <si>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</si>
  <si>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</si>
  <si>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</si>
  <si>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</si>
  <si>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</si>
  <si>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</si>
  <si>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</si>
  <si>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</si>
  <si>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</si>
  <si>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</si>
  <si>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</si>
  <si>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</si>
  <si>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</si>
  <si>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</si>
  <si>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</si>
  <si>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</si>
  <si>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</si>
  <si>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</si>
  <si>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</si>
  <si>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</si>
  <si>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</si>
  <si>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</si>
  <si>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</si>
  <si>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</si>
  <si>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</si>
  <si>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</si>
  <si>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</si>
  <si>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</si>
  <si>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</si>
  <si>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</si>
  <si>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</si>
  <si>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</si>
  <si>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</si>
  <si>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</si>
  <si>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</si>
  <si>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</si>
  <si>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</si>
  <si>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</si>
  <si>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</si>
  <si>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</si>
  <si>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</si>
  <si>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</si>
  <si>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</si>
  <si>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</si>
  <si>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</si>
  <si>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</si>
  <si>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</si>
  <si>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</si>
  <si>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</si>
  <si>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</si>
  <si>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</si>
  <si>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</si>
  <si>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</si>
  <si>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</si>
  <si>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</si>
  <si>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</si>
  <si>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</si>
  <si>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</si>
  <si>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</si>
  <si>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</si>
  <si>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</si>
  <si>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</si>
  <si>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</si>
  <si>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</si>
  <si>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</si>
  <si>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</si>
  <si>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</si>
  <si>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</si>
  <si>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</si>
  <si>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</si>
  <si>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</si>
  <si>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</si>
  <si>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</si>
  <si>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</si>
  <si>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</si>
  <si>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</si>
  <si>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</si>
  <si>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</si>
  <si>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</si>
  <si>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</si>
  <si>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</si>
  <si>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</si>
  <si>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</si>
  <si>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</si>
  <si>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</si>
  <si>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</si>
  <si>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</si>
  <si>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</si>
  <si>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</si>
  <si>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</si>
  <si>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</si>
  <si>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</si>
  <si>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</si>
  <si>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</si>
  <si>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</si>
  <si>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</si>
  <si>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</si>
  <si>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</si>
  <si>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</si>
  <si>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</si>
  <si>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</si>
  <si>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</si>
  <si>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</si>
  <si>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</si>
  <si>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</si>
  <si>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</si>
  <si>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</si>
  <si>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</si>
  <si>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</si>
  <si>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</si>
  <si>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</si>
  <si>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</si>
  <si>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</si>
  <si>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</si>
  <si>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</si>
  <si>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</si>
  <si>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</si>
  <si>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</si>
  <si>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</si>
  <si>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</si>
  <si>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</si>
  <si>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</si>
  <si>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</si>
  <si>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</si>
  <si>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</si>
  <si>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</si>
  <si>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</si>
  <si>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</si>
  <si>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</si>
  <si>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</si>
  <si>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</si>
  <si>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</si>
  <si>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</si>
  <si>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</si>
  <si>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</si>
  <si>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</si>
  <si>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</si>
  <si>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</si>
  <si>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</si>
  <si>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</si>
  <si>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</si>
  <si>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</si>
  <si>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</si>
  <si>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</si>
  <si>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</si>
  <si>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</si>
  <si>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</si>
  <si>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</si>
  <si>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</si>
  <si>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</si>
  <si>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</si>
  <si>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</si>
  <si>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</si>
  <si>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</si>
  <si>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</si>
  <si>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</si>
  <si>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</si>
  <si>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</si>
  <si>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</si>
  <si>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</si>
  <si>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</si>
  <si>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</si>
  <si>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</si>
  <si>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</si>
  <si>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</si>
  <si>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</si>
  <si>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</si>
  <si>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</si>
  <si>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</si>
  <si>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</si>
  <si>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</si>
  <si>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</si>
  <si>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</si>
  <si>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</si>
  <si>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</si>
  <si>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</si>
  <si>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</si>
  <si>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</si>
  <si>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</si>
  <si>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</si>
  <si>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</si>
  <si>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</si>
  <si>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</si>
  <si>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</si>
  <si>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</si>
  <si>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</si>
  <si>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</si>
  <si>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</si>
  <si>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</si>
  <si>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</si>
  <si>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</si>
  <si>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</si>
  <si>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</si>
  <si>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</si>
  <si>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</si>
  <si>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</si>
  <si>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</si>
  <si>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</si>
  <si>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</si>
  <si>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</si>
  <si>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</si>
  <si>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</si>
  <si>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</si>
  <si>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</si>
  <si>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</si>
  <si>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</si>
  <si>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</si>
  <si>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</si>
  <si>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</si>
  <si>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</si>
  <si>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</si>
  <si>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</si>
  <si>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</si>
  <si>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</si>
  <si>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</si>
  <si>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</si>
  <si>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</si>
  <si>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</si>
  <si>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</si>
  <si>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</si>
  <si>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</si>
  <si>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</si>
  <si>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</si>
  <si>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</si>
  <si>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</si>
  <si>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</si>
  <si>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</si>
  <si>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</si>
  <si>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</si>
  <si>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</si>
  <si>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</si>
  <si>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</si>
  <si>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</si>
  <si>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</si>
  <si>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</si>
  <si>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</si>
  <si>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</si>
  <si>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</si>
  <si>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</si>
  <si>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</si>
  <si>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</si>
  <si>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</si>
  <si>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</si>
  <si>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</si>
  <si>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</si>
  <si>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</si>
  <si>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</si>
  <si>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</si>
  <si>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</si>
  <si>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</si>
  <si>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</si>
  <si>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</si>
  <si>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</si>
  <si>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</si>
  <si>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</si>
  <si>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</si>
  <si>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</si>
  <si>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</si>
  <si>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</si>
  <si>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</si>
  <si>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</si>
  <si>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</si>
  <si>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</si>
  <si>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</si>
  <si>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</si>
  <si>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</si>
  <si>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</si>
  <si>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</si>
  <si>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</si>
  <si>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</si>
  <si>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</si>
  <si>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</si>
  <si>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</si>
  <si>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</si>
  <si>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</si>
  <si>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</si>
  <si>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</si>
  <si>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</si>
  <si>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</si>
  <si>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</si>
  <si>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</si>
  <si>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</si>
  <si>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</si>
  <si>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</si>
  <si>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</si>
  <si>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</si>
  <si>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</si>
  <si>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</si>
  <si>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</si>
  <si>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</si>
  <si>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</si>
  <si>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</si>
  <si>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</si>
  <si>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</si>
  <si>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</si>
  <si>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</si>
  <si>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</si>
  <si>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</si>
  <si>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</si>
  <si>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</si>
  <si>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</si>
  <si>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</si>
  <si>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</si>
  <si>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</si>
  <si>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</si>
  <si>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</si>
  <si>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</si>
  <si>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</si>
  <si>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</si>
  <si>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</si>
  <si>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</si>
  <si>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</si>
  <si>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</si>
  <si>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</si>
  <si>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</si>
  <si>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</si>
  <si>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</si>
  <si>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</si>
  <si>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</si>
  <si>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</si>
  <si>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</si>
  <si>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</si>
  <si>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</si>
  <si>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</si>
  <si>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</si>
  <si>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</si>
  <si>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</si>
  <si>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</si>
  <si>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</si>
  <si>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</si>
  <si>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</si>
  <si>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</si>
  <si>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</si>
  <si>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</si>
  <si>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</si>
  <si>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</si>
  <si>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</si>
  <si>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</si>
  <si>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</si>
  <si>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</si>
  <si>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</si>
  <si>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</si>
  <si>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</si>
  <si>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</si>
  <si>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</si>
  <si>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</si>
  <si>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</si>
  <si>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</si>
  <si>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</si>
  <si>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</si>
  <si>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</si>
  <si>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</si>
  <si>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</si>
  <si>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</si>
  <si>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</si>
  <si>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</si>
  <si>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</si>
  <si>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</si>
  <si>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</si>
  <si>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</si>
  <si>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</si>
  <si>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</si>
  <si>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</si>
  <si>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</si>
  <si>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</si>
  <si>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</si>
  <si>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</si>
  <si>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</si>
  <si>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</si>
  <si>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</si>
  <si>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</si>
  <si>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</si>
  <si>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</si>
  <si>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</si>
  <si>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</si>
  <si>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</si>
  <si>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</si>
  <si>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</si>
  <si>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</si>
  <si>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</si>
  <si>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</si>
  <si>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</si>
  <si>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</si>
  <si>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</si>
  <si>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</si>
  <si>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</si>
  <si>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</si>
  <si>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</si>
  <si>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</si>
  <si>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</si>
  <si>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</si>
  <si>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</si>
  <si>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</si>
  <si>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</si>
  <si>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</si>
  <si>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</si>
  <si>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</si>
  <si>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</si>
  <si>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</si>
  <si>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</si>
  <si>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</si>
  <si>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</si>
  <si>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</si>
  <si>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</si>
  <si>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</si>
  <si>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</si>
  <si>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</si>
  <si>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</si>
  <si>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</si>
  <si>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</si>
  <si>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</si>
  <si>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</si>
  <si>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</si>
  <si>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</si>
  <si>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</si>
  <si>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</si>
  <si>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</si>
  <si>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</si>
  <si>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</si>
  <si>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</si>
  <si>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</si>
  <si>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</si>
  <si>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</si>
  <si>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</si>
  <si>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</si>
  <si>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</si>
  <si>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</si>
  <si>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</si>
  <si>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</si>
  <si>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</si>
  <si>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</si>
  <si>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</si>
  <si>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</si>
  <si>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</si>
  <si>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</si>
  <si>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</si>
  <si>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</si>
  <si>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</si>
  <si>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</si>
  <si>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</si>
  <si>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</si>
  <si>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</si>
  <si>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</si>
  <si>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</si>
  <si>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</si>
  <si>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</si>
  <si>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</si>
  <si>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</si>
  <si>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</si>
  <si>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</si>
  <si>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</si>
  <si>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</si>
  <si>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</si>
  <si>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</si>
  <si>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</si>
  <si>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</si>
  <si>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</si>
  <si>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</si>
  <si>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</si>
  <si>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</si>
  <si>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</si>
  <si>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</si>
  <si>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</si>
  <si>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</si>
  <si>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</si>
  <si>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</si>
  <si>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</si>
  <si>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</si>
  <si>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</si>
  <si>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</si>
  <si>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</si>
  <si>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</si>
  <si>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</si>
  <si>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</si>
  <si>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</si>
  <si>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</si>
  <si>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</si>
  <si>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</si>
  <si>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</si>
  <si>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</si>
  <si>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</si>
  <si>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</si>
  <si>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</si>
  <si>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</si>
  <si>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</si>
  <si>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</si>
  <si>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</si>
  <si>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</si>
  <si>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</si>
  <si>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</si>
  <si>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</si>
  <si>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</si>
  <si>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</si>
  <si>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</si>
  <si>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</si>
  <si>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</si>
  <si>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</si>
  <si>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</si>
  <si>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</si>
  <si>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</si>
  <si>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</si>
  <si>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</si>
  <si>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</si>
  <si>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</si>
  <si>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</si>
  <si>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</si>
  <si>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</si>
  <si>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</si>
  <si>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</si>
  <si>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</si>
  <si>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</si>
  <si>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</si>
  <si>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</si>
  <si>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</si>
  <si>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</si>
  <si>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</si>
  <si>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</si>
  <si>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</si>
  <si>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</si>
  <si>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</si>
  <si>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</si>
  <si>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</si>
  <si>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</si>
  <si>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</si>
  <si>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</si>
  <si>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</si>
  <si>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</si>
  <si>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</si>
  <si>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</si>
  <si>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</si>
  <si>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</si>
  <si>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</si>
  <si>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</si>
  <si>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</si>
  <si>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</si>
  <si>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</si>
  <si>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</si>
  <si>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</si>
  <si>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</si>
  <si>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</si>
  <si>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</si>
  <si>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</si>
  <si>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</si>
  <si>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</si>
  <si>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</si>
  <si>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</si>
  <si>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</si>
  <si>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</si>
  <si>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</si>
  <si>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</si>
  <si>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</si>
  <si>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</si>
  <si>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</si>
  <si>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</si>
  <si>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</si>
  <si>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</si>
  <si>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</si>
  <si>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</si>
  <si>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</si>
  <si>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</si>
  <si>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</si>
  <si>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</si>
  <si>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</si>
  <si>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</si>
  <si>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</si>
  <si>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</si>
  <si>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</si>
  <si>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</si>
  <si>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</si>
  <si>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</si>
  <si>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</si>
  <si>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</si>
  <si>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</si>
  <si>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</si>
  <si>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</si>
  <si>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</si>
  <si>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</si>
  <si>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</si>
  <si>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</si>
  <si>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</si>
  <si>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</si>
  <si>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</si>
  <si>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</si>
  <si>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</si>
  <si>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</si>
  <si>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</si>
  <si>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</si>
  <si>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</si>
  <si>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</si>
  <si>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</si>
  <si>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</si>
  <si>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</si>
  <si>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</si>
  <si>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</si>
  <si>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</si>
  <si>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</si>
  <si>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</si>
  <si>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</si>
  <si>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</si>
  <si>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</si>
  <si>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</si>
  <si>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</si>
  <si>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</si>
  <si>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</si>
  <si>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</si>
  <si>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</si>
  <si>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</si>
  <si>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</si>
  <si>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</si>
  <si>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</si>
  <si>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</si>
  <si>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</si>
  <si>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</si>
  <si>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</si>
  <si>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</si>
  <si>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</si>
  <si>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</si>
  <si>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</si>
  <si>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</si>
  <si>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</si>
  <si>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</si>
  <si>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</si>
  <si>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</si>
  <si>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</si>
  <si>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</si>
  <si>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</si>
  <si>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</si>
  <si>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</si>
  <si>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</si>
  <si>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</si>
  <si>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</si>
  <si>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</si>
  <si>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</si>
  <si>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</si>
  <si>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</si>
  <si>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</si>
  <si>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</si>
  <si>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</si>
  <si>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</si>
  <si>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</si>
  <si>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</si>
  <si>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</si>
  <si>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</si>
  <si>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</si>
  <si>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</si>
  <si>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</si>
  <si>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</si>
  <si>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</si>
  <si>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</si>
  <si>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</si>
  <si>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</si>
  <si>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</si>
  <si>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</si>
  <si>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</si>
  <si>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</si>
  <si>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</si>
  <si>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</si>
  <si>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</si>
  <si>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</si>
  <si>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</si>
  <si>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</si>
  <si>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</si>
  <si>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</si>
  <si>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</si>
  <si>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</si>
  <si>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</si>
  <si>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</si>
  <si>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</si>
  <si>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</si>
  <si>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</si>
  <si>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</si>
  <si>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</si>
  <si>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</si>
  <si>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</si>
  <si>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</si>
  <si>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</si>
  <si>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</si>
  <si>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</si>
  <si>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</si>
  <si>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</si>
  <si>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</si>
  <si>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</si>
  <si>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</si>
  <si>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</si>
  <si>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</si>
  <si>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</si>
  <si>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</si>
  <si>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</si>
  <si>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</si>
  <si>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</si>
  <si>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</si>
  <si>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</si>
  <si>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</si>
  <si>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</si>
  <si>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</si>
  <si>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</si>
  <si>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</si>
  <si>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</si>
  <si>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</si>
  <si>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</si>
  <si>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</si>
  <si>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</si>
  <si>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</si>
  <si>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</si>
  <si>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</si>
  <si>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</si>
  <si>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</si>
  <si>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</si>
  <si>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</si>
  <si>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</si>
  <si>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</si>
  <si>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</si>
  <si>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</si>
  <si>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</si>
  <si>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</si>
  <si>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</si>
  <si>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</si>
  <si>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</si>
  <si>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</si>
  <si>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</si>
  <si>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</si>
  <si>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</si>
  <si>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</si>
  <si>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</si>
  <si>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</si>
  <si>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</si>
  <si>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</si>
  <si>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</si>
  <si>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</si>
  <si>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</si>
  <si>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</si>
  <si>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</si>
  <si>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</si>
  <si>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</si>
  <si>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</si>
  <si>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</si>
  <si>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</si>
  <si>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</si>
  <si>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</si>
  <si>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</si>
  <si>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</si>
  <si>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</si>
  <si>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</si>
  <si>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</si>
  <si>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</si>
  <si>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</si>
  <si>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</si>
  <si>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</si>
  <si>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</si>
  <si>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</si>
  <si>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</si>
  <si>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</si>
  <si>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</si>
  <si>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</si>
  <si>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</si>
  <si>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</si>
  <si>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</si>
  <si>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</si>
  <si>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</si>
  <si>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</si>
  <si>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</si>
  <si>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</si>
  <si>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</si>
  <si>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</si>
  <si>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</si>
  <si>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</si>
  <si>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</si>
  <si>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</si>
  <si>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</si>
  <si>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</si>
  <si>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</si>
  <si>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</si>
  <si>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</si>
  <si>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</si>
  <si>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</si>
  <si>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</si>
  <si>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</si>
  <si>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</si>
  <si>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</si>
  <si>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</si>
  <si>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</si>
  <si>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</si>
  <si>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</si>
  <si>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</si>
  <si>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</si>
  <si>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</si>
  <si>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</si>
  <si>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</si>
  <si>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</si>
  <si>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</si>
  <si>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</si>
  <si>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</si>
  <si>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</si>
  <si>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</si>
  <si>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</si>
  <si>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</si>
  <si>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</si>
  <si>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</si>
  <si>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</si>
  <si>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</si>
  <si>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</si>
  <si>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</si>
  <si>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</si>
  <si>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</si>
  <si>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</si>
  <si>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</si>
  <si>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</si>
  <si>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</si>
  <si>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</si>
  <si>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</si>
  <si>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</si>
  <si>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</si>
  <si>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</si>
  <si>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</si>
  <si>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</si>
  <si>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</si>
  <si>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</si>
  <si>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</si>
  <si>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</si>
  <si>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</si>
  <si>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</si>
  <si>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</si>
  <si>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</si>
  <si>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</si>
  <si>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</si>
  <si>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</si>
  <si>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</si>
  <si>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</si>
  <si>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</si>
  <si>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</si>
  <si>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</si>
  <si>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</si>
  <si>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</si>
  <si>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</si>
  <si>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</si>
  <si>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</si>
  <si>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</si>
  <si>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</si>
  <si>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</si>
  <si>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</si>
  <si>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</si>
  <si>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</si>
  <si>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</si>
  <si>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</si>
  <si>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</si>
  <si>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</si>
  <si>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</si>
  <si>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</si>
  <si>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</si>
  <si>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</si>
  <si>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</si>
  <si>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</si>
  <si>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</si>
  <si>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</si>
  <si>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</si>
  <si>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</si>
  <si>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</si>
  <si>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</si>
  <si>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</si>
  <si>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</si>
  <si>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</si>
  <si>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</si>
  <si>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</si>
  <si>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</si>
  <si>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</si>
  <si>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</si>
  <si>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</si>
  <si>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</si>
  <si>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</si>
  <si>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</si>
  <si>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</si>
  <si>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</si>
  <si>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</si>
  <si>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</si>
  <si>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</si>
  <si>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</si>
  <si>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</si>
  <si>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</si>
  <si>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</si>
  <si>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</si>
  <si>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</si>
  <si>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</si>
  <si>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</si>
  <si>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</si>
  <si>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</si>
  <si>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</si>
  <si>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</si>
  <si>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</si>
  <si>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</si>
  <si>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</si>
  <si>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</si>
  <si>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</si>
  <si>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</si>
  <si>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</si>
  <si>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</si>
  <si>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</si>
  <si>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</si>
  <si>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</si>
  <si>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</si>
  <si>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</si>
  <si>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</si>
  <si>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</si>
  <si>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</si>
  <si>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</si>
  <si>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</si>
  <si>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</si>
  <si>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</si>
  <si>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</si>
  <si>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</si>
  <si>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</si>
  <si>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</si>
  <si>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</si>
  <si>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</si>
  <si>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</si>
  <si>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</si>
  <si>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</si>
  <si>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</si>
  <si>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</si>
  <si>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</si>
  <si>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</si>
  <si>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</si>
  <si>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</si>
  <si>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</si>
  <si>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</si>
  <si>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</si>
  <si>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</si>
  <si>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</si>
  <si>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</si>
  <si>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</si>
  <si>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</si>
  <si>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</si>
  <si>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</si>
  <si>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</si>
  <si>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</si>
  <si>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</si>
  <si>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</si>
  <si>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</si>
  <si>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</si>
  <si>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</si>
  <si>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</si>
  <si>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</si>
  <si>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</si>
  <si>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</si>
  <si>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</si>
  <si>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</si>
  <si>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</si>
  <si>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</si>
  <si>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</si>
  <si>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</si>
  <si>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</si>
  <si>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</si>
  <si>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</si>
  <si>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</si>
  <si>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</si>
  <si>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</si>
  <si>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</si>
  <si>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</si>
  <si>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</si>
  <si>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</si>
  <si>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</si>
  <si>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</si>
  <si>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</si>
  <si>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</si>
  <si>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</si>
  <si>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</si>
  <si>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</si>
  <si>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</si>
  <si>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</si>
  <si>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</si>
  <si>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</si>
  <si>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</si>
  <si>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</si>
  <si>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</si>
  <si>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</si>
  <si>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</si>
  <si>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</si>
  <si>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</si>
  <si>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</si>
  <si>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</si>
  <si>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</si>
  <si>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</si>
  <si>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</si>
  <si>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</si>
  <si>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</si>
  <si>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</si>
  <si>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</si>
  <si>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</si>
  <si>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</si>
  <si>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</si>
  <si>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</si>
  <si>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</si>
  <si>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</si>
  <si>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</si>
  <si>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</si>
  <si>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</si>
  <si>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</si>
  <si>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</si>
  <si>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</si>
  <si>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</si>
  <si>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</si>
  <si>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</si>
  <si>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</si>
  <si>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</si>
  <si>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</si>
  <si>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</si>
  <si>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</si>
  <si>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</si>
  <si>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</si>
  <si>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</si>
  <si>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</si>
  <si>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</si>
  <si>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</si>
  <si>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</si>
  <si>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</si>
  <si>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</si>
  <si>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</si>
  <si>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</si>
  <si>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</si>
  <si>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</si>
  <si>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</si>
  <si>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</si>
  <si>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</si>
  <si>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</si>
  <si>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</si>
  <si>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</si>
  <si>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</si>
  <si>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</si>
  <si>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</si>
  <si>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</si>
  <si>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</si>
  <si>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</si>
  <si>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</si>
  <si>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</si>
  <si>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</si>
  <si>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</si>
  <si>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</si>
  <si>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</si>
  <si>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</si>
  <si>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</si>
  <si>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</si>
  <si>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</si>
  <si>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</si>
  <si>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</si>
  <si>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</si>
  <si>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</si>
  <si>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</si>
  <si>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</si>
  <si>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</si>
  <si>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</si>
  <si>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</si>
  <si>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</si>
  <si>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</si>
  <si>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</si>
  <si>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</si>
  <si>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</si>
  <si>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</si>
  <si>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</si>
  <si>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</si>
  <si>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</si>
  <si>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</si>
  <si>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</si>
  <si>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</si>
  <si>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</si>
  <si>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</si>
  <si>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</si>
  <si>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</si>
  <si>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</si>
  <si>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</si>
  <si>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</si>
  <si>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</si>
  <si>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</si>
  <si>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</si>
  <si>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</si>
  <si>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</si>
  <si>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</si>
  <si>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</si>
  <si>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</si>
  <si>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</si>
  <si>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</si>
  <si>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</si>
  <si>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</si>
  <si>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</si>
  <si>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</si>
  <si>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</si>
  <si>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</si>
  <si>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</si>
  <si>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</si>
  <si>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</si>
  <si>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</si>
  <si>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</si>
  <si>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</si>
  <si>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</si>
  <si>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</si>
  <si>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</si>
  <si>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</si>
  <si>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</si>
  <si>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</si>
  <si>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</si>
  <si>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</si>
  <si>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</si>
  <si>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</si>
  <si>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</si>
  <si>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</si>
  <si>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</si>
  <si>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</si>
  <si>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</si>
  <si>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</si>
  <si>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</si>
  <si>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</si>
  <si>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</si>
  <si>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</si>
  <si>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</si>
  <si>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</si>
  <si>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</si>
  <si>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</si>
  <si>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</si>
  <si>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</si>
  <si>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</si>
  <si>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</si>
  <si>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</si>
  <si>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</si>
  <si>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</si>
  <si>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</si>
  <si>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</si>
  <si>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</si>
  <si>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</si>
  <si>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</si>
  <si>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</si>
  <si>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</si>
  <si>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</si>
  <si>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</si>
  <si>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</si>
  <si>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</si>
  <si>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</si>
  <si>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</si>
  <si>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</si>
  <si>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</si>
  <si>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</si>
  <si>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</si>
  <si>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</si>
  <si>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</si>
  <si>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</si>
  <si>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</si>
  <si>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</si>
  <si>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</si>
  <si>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</si>
  <si>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</si>
  <si>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</si>
  <si>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</si>
  <si>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</si>
  <si>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</si>
  <si>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</si>
  <si>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</si>
  <si>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</si>
  <si>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</si>
  <si>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</si>
  <si>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</si>
  <si>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</si>
  <si>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</si>
  <si>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</si>
  <si>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</si>
  <si>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</si>
  <si>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</si>
  <si>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</si>
  <si>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</si>
  <si>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</si>
  <si>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</si>
  <si>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</si>
  <si>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</si>
  <si>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</si>
  <si>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</si>
  <si>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</si>
  <si>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</si>
  <si>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</si>
  <si>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</si>
  <si>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</si>
  <si>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</si>
  <si>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</si>
  <si>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</si>
  <si>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</si>
  <si>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</si>
  <si>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</si>
  <si>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</si>
  <si>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</si>
  <si>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</si>
  <si>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</si>
  <si>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</si>
  <si>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</si>
  <si>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</si>
  <si>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</si>
  <si>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</si>
  <si>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</si>
  <si>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</si>
  <si>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</si>
  <si>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</si>
  <si>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</si>
  <si>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</si>
  <si>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</si>
  <si>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</si>
  <si>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</si>
  <si>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</si>
  <si>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</si>
  <si>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</si>
  <si>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</si>
  <si>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</si>
  <si>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</si>
  <si>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</si>
  <si>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</si>
  <si>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</si>
  <si>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</si>
  <si>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</si>
  <si>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</si>
  <si>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</si>
  <si>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</si>
  <si>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</si>
  <si>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</si>
  <si>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</si>
  <si>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</si>
  <si>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</si>
  <si>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</si>
  <si>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</si>
  <si>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</si>
  <si>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</si>
  <si>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</si>
  <si>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</si>
  <si>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</si>
  <si>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</si>
  <si>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</si>
  <si>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</si>
  <si>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</si>
  <si>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</si>
  <si>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</si>
  <si>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</si>
  <si>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</si>
  <si>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</si>
  <si>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</si>
  <si>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</si>
  <si>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</si>
  <si>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</si>
  <si>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</si>
  <si>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</si>
  <si>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</si>
  <si>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</si>
  <si>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</si>
  <si>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</si>
  <si>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</si>
  <si>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</si>
  <si>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</si>
  <si>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</si>
  <si>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</si>
  <si>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</si>
  <si>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</si>
  <si>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</si>
  <si>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</si>
  <si>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</si>
  <si>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</si>
  <si>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</si>
  <si>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</si>
  <si>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</si>
  <si>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</si>
  <si>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</si>
  <si>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</si>
  <si>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</si>
  <si>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</si>
  <si>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</si>
  <si>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</si>
  <si>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</si>
  <si>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</si>
  <si>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</si>
  <si>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</si>
  <si>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</si>
  <si>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</si>
  <si>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</si>
  <si>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</si>
  <si>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</si>
  <si>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</si>
  <si>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</si>
  <si>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</si>
  <si>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</si>
  <si>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</si>
  <si>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</si>
  <si>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</si>
  <si>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</si>
  <si>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</si>
  <si>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</si>
  <si>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地价指数</t>
  </si>
  <si>
    <t>抵押</t>
  </si>
  <si>
    <t>房地产抵押价值</t>
  </si>
  <si>
    <t>北京市</t>
  </si>
  <si>
    <t>企业</t>
  </si>
  <si>
    <t>出让</t>
  </si>
  <si>
    <t>Ⅶ-昌平园北Ⅰ</t>
  </si>
  <si>
    <t>通路</t>
  </si>
  <si>
    <t>通电</t>
  </si>
  <si>
    <t>通讯</t>
  </si>
  <si>
    <t>通上水</t>
  </si>
  <si>
    <t>通下水</t>
  </si>
  <si>
    <t>平整</t>
  </si>
  <si>
    <t>是</t>
    <phoneticPr fontId="3" type="noConversion"/>
  </si>
  <si>
    <t>地上</t>
  </si>
  <si>
    <t>地下</t>
  </si>
  <si>
    <t>工业</t>
    <phoneticPr fontId="7" type="noConversion"/>
  </si>
  <si>
    <t>工业用地</t>
  </si>
  <si>
    <t>与级别开发程度不一致</t>
  </si>
  <si>
    <t>容积率修正</t>
  </si>
  <si>
    <t>成新度</t>
  </si>
  <si>
    <t>收益法</t>
  </si>
  <si>
    <t>未包含在土地购买价格中</t>
  </si>
  <si>
    <t>全部缴纳</t>
  </si>
  <si>
    <t>已包含在土地取得成本中</t>
  </si>
  <si>
    <t>押一</t>
  </si>
  <si>
    <t>按租金收入计税</t>
  </si>
  <si>
    <t>钢混</t>
  </si>
  <si>
    <t>非生产用房</t>
  </si>
  <si>
    <t>否</t>
  </si>
  <si>
    <t>较好</t>
    <phoneticPr fontId="79" type="noConversion"/>
  </si>
  <si>
    <t>一般</t>
    <phoneticPr fontId="79" type="noConversion"/>
  </si>
  <si>
    <t>一般</t>
    <phoneticPr fontId="79" type="noConversion"/>
  </si>
  <si>
    <t>成本法</t>
  </si>
  <si>
    <t>成本比率</t>
  </si>
  <si>
    <t>情况4</t>
  </si>
  <si>
    <t>转让取得</t>
  </si>
  <si>
    <r>
      <t>北京市昌平区昌盛路</t>
    </r>
    <r>
      <rPr>
        <sz val="9"/>
        <color rgb="FF000000"/>
        <rFont val="Arial"/>
        <family val="2"/>
      </rPr>
      <t>12</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7</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</si>
  <si>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r>
      <t>北京市昌平区昌盛路</t>
    </r>
    <r>
      <rPr>
        <sz val="9"/>
        <color rgb="FF000000"/>
        <rFont val="Arial"/>
        <family val="2"/>
      </rPr>
      <t>12</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4</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</si>
  <si>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r>
      <t>北京市昌平区昌盛路</t>
    </r>
    <r>
      <rPr>
        <sz val="9"/>
        <color rgb="FF000000"/>
        <rFont val="Arial"/>
        <family val="2"/>
      </rPr>
      <t>12</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4</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</si>
  <si>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t>项目名称</t>
  </si>
  <si>
    <t>建筑面积</t>
  </si>
  <si>
    <t>分摊出让国有建设用地使用权面积</t>
  </si>
  <si>
    <t>出让国有建设用地使用权价值</t>
  </si>
  <si>
    <t>建筑物价值</t>
  </si>
  <si>
    <t>房地产价值</t>
  </si>
  <si>
    <r>
      <t>总</t>
    </r>
    <r>
      <rPr>
        <sz val="9"/>
        <color rgb="FF000000"/>
        <rFont val="Arial"/>
        <family val="2"/>
      </rPr>
      <t xml:space="preserve"> </t>
    </r>
    <r>
      <rPr>
        <sz val="9"/>
        <color rgb="FF000000"/>
        <rFont val="华文细黑"/>
        <family val="3"/>
        <charset val="134"/>
      </rPr>
      <t>价</t>
    </r>
  </si>
  <si>
    <t>楼面单价</t>
  </si>
  <si>
    <t>买卖合同</t>
  </si>
  <si>
    <t>原购买价</t>
    <phoneticPr fontId="143" type="noConversion"/>
  </si>
  <si>
    <t>净值</t>
    <phoneticPr fontId="143" type="noConversion"/>
  </si>
  <si>
    <t>分栋计算净值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</si>
</sst>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55" fillId="0" borderId="156" xfId="0" applyFont="1" applyBorder="1" applyAlignment="1">
      <alignment horizontal="justify" vertical="center" wrapText="1"/>
    </xf>
    <xf numFmtId="0" fontId="256" fillId="0" borderId="157" xfId="0" applyFont="1" applyBorder="1" applyAlignment="1">
      <alignment horizontal="justify" vertical="center" wrapText="1"/>
    </xf>
    <xf numFmtId="0" fontId="255" fillId="0" borderId="157" xfId="0" applyFont="1" applyBorder="1" applyAlignment="1">
      <alignment horizontal="justify"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17" borderId="13" xfId="0" applyFont="1" applyFill="1" applyBorder="1" applyAlignment="1" applyProtection="1">
      <alignment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6"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估价对象为北京市出让国有建设用地使用权及在建建筑物房地产，为所有。根据《国有土地使用证》[]，估价对象（分摊）出让国有建设用地使用权面积为9192.5平方米，建筑面积为16188.67平方米。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9192.5平方米，规划建筑面积为16188.67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2020年4月8日</v>
      </c>
    </row>
    <row r="13" spans="1:2" s="1593" customFormat="1">
      <c r="A13" s="1591" t="s">
        <v>1222</v>
      </c>
      <c r="B13" s="1592" t="str">
        <f>'预评函-1'!A18</f>
        <v>本次估价的“房地产价值”是指在正常市场情况下，在价值时点2020年4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36436</v>
      </c>
    </row>
    <row r="21" spans="1:2" s="1593" customFormat="1">
      <c r="A21" s="1591" t="s">
        <v>1230</v>
      </c>
      <c r="B21" s="1592">
        <f ca="1">'预评函-2'!D7</f>
        <v>22507</v>
      </c>
    </row>
    <row r="22" spans="1:2" s="1593" customFormat="1">
      <c r="A22" s="1591" t="s">
        <v>1231</v>
      </c>
      <c r="B22" s="1592" t="str">
        <f ca="1">'预评函-2'!D6</f>
        <v>叁亿陆仟肆佰叁拾陆万元整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36436</v>
      </c>
    </row>
    <row r="31" spans="1:2" s="1593" customFormat="1">
      <c r="A31" s="1591" t="s">
        <v>1269</v>
      </c>
      <c r="B31" s="1592">
        <f ca="1">'预评函-2'!D15</f>
        <v>22507</v>
      </c>
    </row>
    <row r="32" spans="1:2" s="1593" customFormat="1">
      <c r="A32" s="1591" t="s">
        <v>1236</v>
      </c>
      <c r="B32" s="1592" t="str">
        <f ca="1">'预评函-2'!D14</f>
        <v>叁亿陆仟肆佰叁拾陆万元整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35855</v>
      </c>
    </row>
    <row r="39" spans="1:2" s="1593" customFormat="1">
      <c r="A39" s="1591" t="s">
        <v>1238</v>
      </c>
      <c r="B39" s="1592">
        <f ca="1">'预评函-2'!D21</f>
        <v>22148</v>
      </c>
    </row>
    <row r="40" spans="1:2" s="1593" customFormat="1">
      <c r="A40" s="1591" t="s">
        <v>1239</v>
      </c>
      <c r="B40" s="1592" t="str">
        <f ca="1">'预评函-2'!D20</f>
        <v>叁亿伍仟捌佰伍拾伍万元整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16188.669999999998</v>
      </c>
    </row>
    <row r="44" spans="1:2" s="1593" customFormat="1">
      <c r="A44" s="1591" t="s">
        <v>1268</v>
      </c>
      <c r="B44" s="1592" t="str">
        <f>'预评函-3'!C2</f>
        <v>(分摊)土地面积</v>
      </c>
    </row>
    <row r="45" spans="1:2" s="1593" customFormat="1">
      <c r="A45" s="1591" t="s">
        <v>1240</v>
      </c>
      <c r="B45" s="1592">
        <f>'预评函-3'!C4</f>
        <v>9192.5</v>
      </c>
    </row>
    <row r="46" spans="1:2" s="1593" customFormat="1">
      <c r="A46" s="1591" t="s">
        <v>1266</v>
      </c>
      <c r="B46" s="1592" t="str">
        <f>'预评函-3'!D2</f>
        <v>出让国有建设用地使用权价值</v>
      </c>
    </row>
    <row r="47" spans="1:2" s="1593" customFormat="1">
      <c r="A47" s="1591" t="s">
        <v>1241</v>
      </c>
      <c r="B47" s="1592">
        <f ca="1">'预评函-3'!D4</f>
        <v>15303</v>
      </c>
    </row>
    <row r="48" spans="1:2" s="1593" customFormat="1">
      <c r="A48" s="1591" t="s">
        <v>1242</v>
      </c>
      <c r="B48" s="1592">
        <f ca="1">'预评函-3'!E4</f>
        <v>9453</v>
      </c>
    </row>
    <row r="49" spans="1:2" s="1593" customFormat="1">
      <c r="A49" s="1591" t="s">
        <v>1243</v>
      </c>
      <c r="B49" s="1592" t="str">
        <f ca="1">'预评函-3'!D5</f>
        <v>壹亿伍仟叁佰零叁万元整</v>
      </c>
    </row>
    <row r="50" spans="1:2" s="1593" customFormat="1">
      <c r="A50" s="1591" t="s">
        <v>1267</v>
      </c>
      <c r="B50" s="1592" t="str">
        <f>'预评函-3'!F2</f>
        <v>在建建筑物价值</v>
      </c>
    </row>
    <row r="51" spans="1:2" s="1593" customFormat="1">
      <c r="A51" s="1591" t="s">
        <v>1244</v>
      </c>
      <c r="B51" s="1592">
        <f ca="1">'预评函-3'!F4</f>
        <v>21133</v>
      </c>
    </row>
    <row r="52" spans="1:2" s="1593" customFormat="1">
      <c r="A52" s="1591" t="s">
        <v>1245</v>
      </c>
      <c r="B52" s="1592">
        <f ca="1">'预评函-3'!G4</f>
        <v>13054</v>
      </c>
    </row>
    <row r="53" spans="1:2" s="1593" customFormat="1">
      <c r="A53" s="1591" t="s">
        <v>1273</v>
      </c>
      <c r="B53" s="1592" t="str">
        <f ca="1">'预评函-3'!F5</f>
        <v>贰亿壹仟壹佰叁拾叁万元整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1" t="s">
        <v>860</v>
      </c>
      <c r="C54" s="2018" t="s">
        <v>1276</v>
      </c>
    </row>
    <row r="55" spans="1:4">
      <c r="A55" s="3022"/>
      <c r="B55" s="2021" t="s">
        <v>861</v>
      </c>
      <c r="C55" s="2018" t="s">
        <v>1277</v>
      </c>
    </row>
    <row r="56" spans="1:4">
      <c r="A56" s="3022"/>
      <c r="B56" s="2021" t="s">
        <v>862</v>
      </c>
      <c r="C56" s="2018" t="s">
        <v>1281</v>
      </c>
    </row>
    <row r="57" spans="1:4">
      <c r="A57" s="302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 zoomScale="90" zoomScaleNormal="100" zoomScaleSheetLayoutView="90" workbookViewId="0">
      <selection activeCell="J25" sqref="J2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3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2"/>
      <c r="D1" s="3032"/>
      <c r="E1" s="3032"/>
      <c r="F1" s="3032"/>
      <c r="G1" s="3032"/>
      <c r="H1" s="3032"/>
      <c r="I1" s="30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43929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3056</v>
      </c>
      <c r="C8" s="2055"/>
      <c r="D8" s="3034" t="s">
        <v>1779</v>
      </c>
      <c r="E8" s="2056" t="s">
        <v>3057</v>
      </c>
      <c r="F8" s="2057"/>
      <c r="G8" s="2025"/>
      <c r="H8" s="2025"/>
      <c r="I8" s="2025"/>
      <c r="J8" s="2041"/>
      <c r="K8" s="2042"/>
      <c r="L8" s="2027"/>
      <c r="M8" s="2027"/>
      <c r="N8" s="2028"/>
      <c r="O8" s="2029"/>
      <c r="P8" s="2028"/>
      <c r="Q8" s="2028"/>
      <c r="R8" s="2028"/>
    </row>
    <row r="9" spans="1:19" ht="18" customHeight="1" thickBot="1">
      <c r="A9" s="2039" t="s">
        <v>1780</v>
      </c>
      <c r="B9" s="2058" t="s">
        <v>3057</v>
      </c>
      <c r="C9" s="2059"/>
      <c r="D9" s="3035"/>
      <c r="E9" s="2058" t="s">
        <v>1280</v>
      </c>
      <c r="F9" s="2060"/>
      <c r="G9" s="2061"/>
      <c r="H9" s="2061"/>
      <c r="I9" s="2061"/>
      <c r="J9" s="2041"/>
      <c r="K9" s="2053"/>
      <c r="L9" s="2027"/>
      <c r="M9" s="2027"/>
      <c r="N9" s="2028"/>
      <c r="O9" s="2029"/>
      <c r="P9" s="2028"/>
      <c r="Q9" s="2028"/>
      <c r="R9" s="2028"/>
    </row>
    <row r="10" spans="1:19" ht="18" customHeight="1" thickTop="1">
      <c r="A10" s="2062" t="s">
        <v>1781</v>
      </c>
      <c r="B10" s="2063" t="s">
        <v>3058</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3060</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59376</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42.32</v>
      </c>
      <c r="J15" s="2041"/>
      <c r="K15" s="2082"/>
      <c r="L15" s="2083"/>
      <c r="M15" s="2083"/>
      <c r="N15" s="2084"/>
      <c r="O15" s="2083"/>
      <c r="P15" s="2084"/>
      <c r="Q15" s="2028"/>
      <c r="R15" s="2028"/>
    </row>
    <row r="16" spans="1:19" ht="30.75" customHeight="1">
      <c r="A16" s="2065" t="s">
        <v>1795</v>
      </c>
      <c r="B16" s="3041"/>
      <c r="C16" s="3042"/>
      <c r="D16" s="3043"/>
      <c r="E16" s="2085" t="s">
        <v>1796</v>
      </c>
      <c r="F16" s="3044"/>
      <c r="G16" s="3045"/>
      <c r="H16" s="3045"/>
      <c r="I16" s="3046"/>
      <c r="J16" s="2028"/>
      <c r="K16" s="2082"/>
      <c r="L16" s="2083"/>
      <c r="M16" s="2083"/>
      <c r="N16" s="2084"/>
      <c r="O16" s="2083"/>
      <c r="P16" s="2084"/>
      <c r="Q16" s="2028"/>
      <c r="R16" s="2028"/>
    </row>
    <row r="17" spans="1:22" ht="18" customHeight="1">
      <c r="A17" s="2086" t="s">
        <v>1797</v>
      </c>
      <c r="B17" s="2034" t="s">
        <v>1798</v>
      </c>
      <c r="C17" s="1054">
        <f>'数据-汇总表'!E3</f>
        <v>16188.669999999998</v>
      </c>
      <c r="D17" s="2087" t="s">
        <v>1799</v>
      </c>
      <c r="E17" s="3047" t="s">
        <v>1800</v>
      </c>
      <c r="F17" s="3048"/>
      <c r="G17" s="3048"/>
      <c r="H17" s="3048"/>
      <c r="I17" s="3049"/>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9192.5</v>
      </c>
      <c r="D18" s="2090" t="s">
        <v>1799</v>
      </c>
      <c r="E18" s="3050" t="s">
        <v>1803</v>
      </c>
      <c r="F18" s="3051"/>
      <c r="G18" s="3051"/>
      <c r="H18" s="3051"/>
      <c r="I18" s="3052"/>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7" t="s">
        <v>1808</v>
      </c>
      <c r="C20" s="3038"/>
      <c r="D20" s="3039" t="s">
        <v>1809</v>
      </c>
      <c r="E20" s="3040"/>
      <c r="F20" s="2097" t="s">
        <v>1810</v>
      </c>
      <c r="G20" s="2041"/>
      <c r="H20" s="2041"/>
      <c r="I20" s="2041"/>
      <c r="J20" s="2041"/>
      <c r="K20" s="303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4"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4"/>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4"/>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5"/>
      <c r="B30" s="2034" t="s">
        <v>1827</v>
      </c>
      <c r="C30" s="3026"/>
      <c r="D30" s="302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8"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3062</v>
      </c>
      <c r="C34" s="2133" t="s">
        <v>3063</v>
      </c>
      <c r="D34" s="2133" t="s">
        <v>3064</v>
      </c>
      <c r="E34" s="2133" t="s">
        <v>3065</v>
      </c>
      <c r="F34" s="2133" t="s">
        <v>3066</v>
      </c>
      <c r="G34" s="2133" t="s">
        <v>3067</v>
      </c>
      <c r="H34" s="2133"/>
      <c r="I34" s="2041"/>
      <c r="J34" s="2041"/>
      <c r="K34" s="1795">
        <f>COUNTIF(B34:H34,"——")</f>
        <v>0</v>
      </c>
      <c r="L34" s="2074" t="s">
        <v>1830</v>
      </c>
      <c r="M34" s="2074" t="s">
        <v>1831</v>
      </c>
      <c r="N34" s="2074" t="s">
        <v>1832</v>
      </c>
      <c r="O34" s="2074" t="s">
        <v>1833</v>
      </c>
      <c r="P34" s="2074" t="s">
        <v>1834</v>
      </c>
      <c r="Q34" s="2074" t="s">
        <v>1835</v>
      </c>
      <c r="R34" s="2074" t="s">
        <v>1836</v>
      </c>
      <c r="S34" s="3023" t="s">
        <v>1837</v>
      </c>
      <c r="T34" s="2134" t="str">
        <f>NUMBERSTRING(7-K34,1)&amp;"通"</f>
        <v>七通</v>
      </c>
      <c r="U34" s="2028"/>
      <c r="V34" s="2028"/>
    </row>
    <row r="35" spans="1:22" ht="18" customHeight="1">
      <c r="A35" s="2135"/>
      <c r="B35" s="3030" t="s">
        <v>1838</v>
      </c>
      <c r="C35" s="3030"/>
      <c r="D35" s="3030"/>
      <c r="E35" s="3030"/>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3"/>
      <c r="T35" s="48" t="str">
        <f>IF(T34="一通",L35,IF(T34="二通",M35,IF(T34="三通",N35,IF(T34="四通",O35,IF(T34="五通",P35,IF(T34="六通",Q35,R35))))))</f>
        <v>通路、通电、通讯、通上水、通下水、平整、</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3061</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9192.5</v>
      </c>
      <c r="B3" s="14">
        <f>IF(C3="否",G5-AT5,G5)</f>
        <v>16188.669999999998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16188.669999999998</v>
      </c>
      <c r="H5" s="16">
        <f t="shared" ref="H5:AT5" si="0">SUM(H13:H656)</f>
        <v>16188.669999999998</v>
      </c>
      <c r="I5" s="16">
        <f t="shared" si="0"/>
        <v>13788.550000000001</v>
      </c>
      <c r="J5" s="16">
        <f t="shared" si="0"/>
        <v>0</v>
      </c>
      <c r="K5" s="16">
        <f t="shared" si="0"/>
        <v>2400.12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16188.669999999998</v>
      </c>
      <c r="BA5" s="18">
        <f t="shared" si="1"/>
        <v>16188.669999999998</v>
      </c>
      <c r="BB5" s="18">
        <f t="shared" si="1"/>
        <v>13788.550000000001</v>
      </c>
      <c r="BC5" s="18">
        <f t="shared" si="1"/>
        <v>2400.12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9192.5</v>
      </c>
      <c r="F6" s="16" t="s">
        <v>1</v>
      </c>
      <c r="G6" s="16" t="s">
        <v>2</v>
      </c>
      <c r="H6" s="20">
        <f>SUMIF(I$12:AB$12,"总值",I6:AB6)</f>
        <v>9192.5</v>
      </c>
      <c r="I6" s="16">
        <f t="shared" ref="I6:AB6" si="2">ROUND($A$3*I5/$B$3,2)</f>
        <v>7829.63</v>
      </c>
      <c r="J6" s="16">
        <f t="shared" si="2"/>
        <v>0</v>
      </c>
      <c r="K6" s="16">
        <f t="shared" si="2"/>
        <v>1362.87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9192.5</v>
      </c>
      <c r="AZ6" s="16" t="s">
        <v>3</v>
      </c>
      <c r="BA6" s="16">
        <f>ROUND($AY$6*BA5/$AZ$5,2)</f>
        <v>9192.5</v>
      </c>
      <c r="BB6" s="16">
        <f>ROUND($AY$6*BB5/$AZ$5,2)</f>
        <v>7829.63</v>
      </c>
      <c r="BC6" s="16">
        <f t="shared" ref="BC6:BH6" si="4">ROUND($AY$6*BC5/$AZ$5,2)</f>
        <v>1362.87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3069</v>
      </c>
      <c r="J9" s="981"/>
      <c r="K9" s="2191" t="s">
        <v>3070</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956" t="s">
        <v>3068</v>
      </c>
      <c r="E13" s="16">
        <f>IF($C$3="是",ROUND($A$3*G13/$B$3,2),ROUND($A$3*(G13-AT13)/$B$3,2))</f>
        <v>6338.03</v>
      </c>
      <c r="F13" s="32"/>
      <c r="G13" s="33">
        <f>H13+AC13+AT13</f>
        <v>11161.74</v>
      </c>
      <c r="H13" s="20">
        <f>SUMIF(I$12:AB$12,"总值",I13:AB13)</f>
        <v>11161.74</v>
      </c>
      <c r="I13" s="2214">
        <v>9767</v>
      </c>
      <c r="J13" s="2214"/>
      <c r="K13" s="2214">
        <v>1394.74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6338.03</v>
      </c>
      <c r="AZ13" s="16">
        <f>BA13+BL13</f>
        <v>11161.74</v>
      </c>
      <c r="BA13" s="16">
        <f>SUM(BB13:BK13)</f>
        <v>11161.74</v>
      </c>
      <c r="BB13" s="16">
        <f>IF($D13="是",I13-J13,0)</f>
        <v>9767</v>
      </c>
      <c r="BC13" s="16">
        <f>IF($D13="是",K13-L13,0)</f>
        <v>1394.74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v>
      </c>
      <c r="D14" s="2956" t="s">
        <v>3068</v>
      </c>
      <c r="E14" s="16">
        <f>IF($C$3="是",ROUND($A$3*G14/$B$3,2),ROUND($A$3*(G14-AT14)/$B$3,2))</f>
        <v>1427</v>
      </c>
      <c r="F14" s="32"/>
      <c r="G14" s="33">
        <f>H14+AC14+AT14</f>
        <v>2513.06</v>
      </c>
      <c r="H14" s="20">
        <f>SUMIF(I$12:AB$12,"总值",I14:AB14)</f>
        <v>2513.06</v>
      </c>
      <c r="I14" s="2214">
        <v>2010.45</v>
      </c>
      <c r="J14" s="2214"/>
      <c r="K14" s="2214">
        <v>502.61</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1427</v>
      </c>
      <c r="AZ14" s="16">
        <f>BA14+BL14</f>
        <v>2513.06</v>
      </c>
      <c r="BA14" s="16">
        <f>SUM(BB14:BK14)</f>
        <v>2513.06</v>
      </c>
      <c r="BB14" s="16">
        <f>IF($D14="是",I14-J14,0)</f>
        <v>2010.45</v>
      </c>
      <c r="BC14" s="16">
        <f>IF($D14="是",K14-L14,0)</f>
        <v>502.61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v>3</v>
      </c>
      <c r="D15" s="2956" t="s">
        <v>3068</v>
      </c>
      <c r="E15" s="16">
        <f>IF($C$3="是",ROUND($A$3*G15/$B$3,2),ROUND($A$3*(G15-AT15)/$B$3,2))</f>
        <v>1427.46</v>
      </c>
      <c r="F15" s="32"/>
      <c r="G15" s="33">
        <f>H15+AC15+AT15</f>
        <v>2513.87</v>
      </c>
      <c r="H15" s="20">
        <f>SUMIF(I$12:AB$12,"总值",I15:AB15)</f>
        <v>2513.87</v>
      </c>
      <c r="I15" s="2214">
        <v>2011.1</v>
      </c>
      <c r="J15" s="2214"/>
      <c r="K15" s="2214">
        <v>502.77</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v>
      </c>
      <c r="AY15" s="1806">
        <f>ROUND($AY$6*AZ15/$AZ$5,2)</f>
        <v>1427.46</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64" t="s">
        <v>1934</v>
      </c>
      <c r="B2" s="3064"/>
      <c r="C2" s="3064"/>
      <c r="D2" s="967" t="s">
        <v>1910</v>
      </c>
      <c r="E2" s="2227" t="s">
        <v>1911</v>
      </c>
      <c r="F2" s="1392"/>
      <c r="G2" s="2228"/>
      <c r="H2" s="2229"/>
      <c r="I2" s="2230" t="s">
        <v>1935</v>
      </c>
      <c r="J2" s="1392"/>
      <c r="K2" s="1392"/>
      <c r="L2" s="1392"/>
      <c r="M2" s="1392"/>
      <c r="N2" s="1427"/>
      <c r="O2" s="1392"/>
      <c r="P2" s="1392"/>
    </row>
    <row r="3" spans="1:16" ht="15.75" thickBot="1">
      <c r="A3" s="3065" t="s">
        <v>1908</v>
      </c>
      <c r="B3" s="3065"/>
      <c r="C3" s="3065"/>
      <c r="D3" s="46">
        <f>'数据-基础表'!AY6</f>
        <v>9192.5</v>
      </c>
      <c r="E3" s="46">
        <f>'数据-基础表'!AZ5</f>
        <v>16188.669999999998</v>
      </c>
      <c r="F3" s="1392"/>
      <c r="G3" s="1399"/>
      <c r="H3" s="1247" t="s">
        <v>1909</v>
      </c>
      <c r="I3" s="55">
        <f>ROUND('数据-基础表'!B3/'数据-基础表'!A3,2)</f>
        <v>1.76</v>
      </c>
      <c r="J3" s="1392"/>
      <c r="K3" s="1392"/>
      <c r="L3" s="1392"/>
      <c r="M3" s="1392"/>
      <c r="N3" s="1427"/>
      <c r="O3" s="1392"/>
      <c r="P3" s="1392"/>
    </row>
    <row r="4" spans="1:16" ht="15">
      <c r="A4" s="3066"/>
      <c r="B4" s="3067"/>
      <c r="C4" s="3068"/>
      <c r="D4" s="2231" t="s">
        <v>1910</v>
      </c>
      <c r="E4" s="2232" t="s">
        <v>1911</v>
      </c>
      <c r="F4" s="1392"/>
      <c r="G4" s="2233" t="s">
        <v>1936</v>
      </c>
      <c r="H4" s="1247" t="s">
        <v>1916</v>
      </c>
      <c r="I4" s="55">
        <f>ROUND(SUMIF('数据-基础表'!I9:AS9,"地上",'数据-基础表'!I5:AS5)/'数据-基础表'!A3,2)</f>
        <v>1.5</v>
      </c>
      <c r="J4" s="1392"/>
      <c r="K4" s="1392"/>
      <c r="L4" s="1392"/>
      <c r="M4" s="1392"/>
      <c r="N4" s="1427"/>
      <c r="O4" s="1392"/>
      <c r="P4" s="1392"/>
    </row>
    <row r="5" spans="1:16">
      <c r="A5" s="47" t="s">
        <v>1912</v>
      </c>
      <c r="B5" s="3069" t="s">
        <v>1913</v>
      </c>
      <c r="C5" s="3069"/>
      <c r="D5" s="48">
        <f>ROUND($D$3*E5/$E$3,2)</f>
        <v>0</v>
      </c>
      <c r="E5" s="49">
        <f>SUMIF('数据-基础表'!$11:$11,"住宅",'数据-基础表'!$5:$5)</f>
        <v>0</v>
      </c>
      <c r="F5" s="1392"/>
      <c r="G5" s="1399"/>
      <c r="H5" s="1247" t="s">
        <v>1909</v>
      </c>
      <c r="I5" s="55">
        <f>ROUND(E31/D31,2)</f>
        <v>1.76</v>
      </c>
      <c r="J5" s="1392"/>
      <c r="K5" s="1392"/>
      <c r="L5" s="1392"/>
      <c r="M5" s="1392"/>
      <c r="N5" s="1392"/>
      <c r="O5" s="1392"/>
      <c r="P5" s="1392"/>
    </row>
    <row r="6" spans="1:16" ht="15" thickBot="1">
      <c r="A6" s="2234"/>
      <c r="B6" s="3069" t="s">
        <v>1914</v>
      </c>
      <c r="C6" s="3069"/>
      <c r="D6" s="48">
        <f>ROUND($D$3*E6/$E$3,2)</f>
        <v>9192.5</v>
      </c>
      <c r="E6" s="49">
        <f>E3-E5</f>
        <v>16188.669999999998</v>
      </c>
      <c r="F6" s="1392"/>
      <c r="G6" s="2235" t="s">
        <v>1915</v>
      </c>
      <c r="H6" s="1399" t="s">
        <v>1916</v>
      </c>
      <c r="I6" s="939">
        <f>ROUND(F31/D31,2)</f>
        <v>1.5</v>
      </c>
      <c r="J6" s="1392"/>
      <c r="K6" s="1392"/>
      <c r="L6" s="1392"/>
      <c r="M6" s="1392"/>
      <c r="N6" s="1392"/>
      <c r="O6" s="1392"/>
      <c r="P6" s="1392"/>
    </row>
    <row r="7" spans="1:16" ht="15">
      <c r="A7" s="3061"/>
      <c r="B7" s="3062"/>
      <c r="C7" s="3063"/>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7829.63</v>
      </c>
      <c r="E8" s="51">
        <f>SUMIF('数据-基础表'!BB10:BK10,"地上",'数据-基础表'!BB5:BK5)</f>
        <v>13788.550000000001</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7829.63</v>
      </c>
      <c r="E16" s="53">
        <f>SUM(E8:E15)</f>
        <v>13788.550000000001</v>
      </c>
      <c r="F16" s="1392"/>
      <c r="G16" s="2237"/>
      <c r="H16" s="2240" t="s">
        <v>1938</v>
      </c>
      <c r="I16" s="2241"/>
      <c r="J16" s="1392"/>
      <c r="K16" s="3058" t="s">
        <v>1938</v>
      </c>
      <c r="L16" s="3059"/>
      <c r="M16" s="3059"/>
      <c r="N16" s="3059"/>
      <c r="O16" s="3059"/>
      <c r="P16" s="3060"/>
    </row>
    <row r="17" spans="1:19" ht="15">
      <c r="A17" s="2242" t="s">
        <v>1939</v>
      </c>
      <c r="B17" s="2243" t="s">
        <v>1940</v>
      </c>
      <c r="C17" s="2244" t="s">
        <v>1941</v>
      </c>
      <c r="D17" s="2245" t="s">
        <v>1929</v>
      </c>
      <c r="E17" s="2246" t="s">
        <v>1930</v>
      </c>
      <c r="F17" s="2247"/>
      <c r="G17" s="2248"/>
      <c r="H17" s="2249" t="s">
        <v>1942</v>
      </c>
      <c r="I17" s="2250" t="s">
        <v>1927</v>
      </c>
      <c r="J17" s="1392"/>
      <c r="K17" s="3055" t="s">
        <v>1943</v>
      </c>
      <c r="L17" s="3056"/>
      <c r="M17" s="3057"/>
      <c r="N17" s="3055" t="s">
        <v>1944</v>
      </c>
      <c r="O17" s="3056"/>
      <c r="P17" s="3057"/>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7" t="s">
        <v>3071</v>
      </c>
      <c r="D19" s="48">
        <f>ROUND($D$3*E19/$E$3,2)</f>
        <v>9192.5</v>
      </c>
      <c r="E19" s="56">
        <f t="shared" ref="E19:E26" si="1">SUM(F19:G19)</f>
        <v>16188.670000000002</v>
      </c>
      <c r="F19" s="57">
        <f>'数据-基础表'!I13+'数据-基础表'!I14+'数据-基础表'!I15</f>
        <v>13788.550000000001</v>
      </c>
      <c r="G19" s="58">
        <f>'数据-基础表'!K13+'数据-基础表'!K14+'数据-基础表'!K15</f>
        <v>2400.12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9192.5</v>
      </c>
      <c r="S19" s="1248">
        <f t="shared" si="5"/>
        <v>16188.670000000002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9192.5</v>
      </c>
      <c r="E27" s="1394">
        <f>IF(SUM(E19:E26)='数据-基础表'!BA5,SUM(E19:E26),IF(F27="地上面积有误","面积有误","地下面积有误"))</f>
        <v>16188.670000000002</v>
      </c>
      <c r="F27" s="1393">
        <f>IF(SUM(F19:F26)=E8,SUM(F19:F26),"地上面积有误")</f>
        <v>13788.550000000001</v>
      </c>
      <c r="G27" s="1395">
        <f>SUM(G19:G26)</f>
        <v>2400.12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9192.5</v>
      </c>
      <c r="S27" s="1247">
        <f>IF(SUM(S19:S26)=$E$3,SUM(S19:S26),SUM(S19:S26)&amp;"误差"&amp;ROUND(SUM(S19:S26)-E3,2))</f>
        <v>16188.670000000002</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9192.5</v>
      </c>
      <c r="E31" s="729">
        <f>E27+E30</f>
        <v>16188.670000000002</v>
      </c>
      <c r="F31" s="730">
        <f>F27+F30</f>
        <v>13788.550000000001</v>
      </c>
      <c r="G31" s="731">
        <f>G27+G30</f>
        <v>2400.12</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33"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43929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3075</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59376</v>
      </c>
      <c r="F6" s="72">
        <f>SUMIF(项目基本情况!D$12:I$12,C6,项目基本情况!D$15:I$15)</f>
        <v>42.32</v>
      </c>
      <c r="G6" s="73">
        <f ca="1">IF(ISERROR(ROUND(POWER(1+H6,D6-F6)*(POWER(1+H6,F6)-1)/(POWER(1+H6,D6)-1),3)),0,ROUND(POWER(1+H6,D6-F6)*(POWER(1+H6,F6)-1)/(POWER(1+H6,D6)-1),3))</f>
        <v>0.95399999999999996</v>
      </c>
      <c r="H6" s="802">
        <f ca="1">基准地价修正!G20</f>
        <v>4.8000000000000001E-2</v>
      </c>
      <c r="I6" s="802">
        <v>0.05</v>
      </c>
      <c r="J6" s="74">
        <v>0.08</v>
      </c>
      <c r="K6" s="1251">
        <f>SUMIF('数据-汇总表'!C$19:C$33,A6,'数据-汇总表'!E$19:E$33)</f>
        <v>16188.670000000002</v>
      </c>
      <c r="L6" s="803">
        <v>2500</v>
      </c>
      <c r="M6" s="75">
        <f t="shared" ref="M6:M14" si="0">ROUND(K6*L6/10000,0)</f>
        <v>4047</v>
      </c>
      <c r="N6" s="801">
        <f>ROUND(1-(2020-2016)/60,2)</f>
        <v>0.93</v>
      </c>
      <c r="O6" s="75" t="str">
        <f>IF($N$5="成新度","——",ROUND(M6*N6,0))</f>
        <v>——</v>
      </c>
      <c r="P6" s="76" t="str">
        <f>IF($N$5="成新度","——",M6-O6)</f>
        <v>——</v>
      </c>
      <c r="Q6" s="804">
        <v>0.25</v>
      </c>
      <c r="R6" s="77">
        <f ca="1">SUMIF('数据-汇总表'!C$19:C$33,A6,'数据-汇总表'!R$19:R$27)</f>
        <v>9192.5</v>
      </c>
      <c r="S6" s="54">
        <f>IF('数据-汇总表'!$I$17="按面积比例",SUMIF('数据-汇总表'!C$19:C$33,A6,'数据-汇总表'!K$19:K$33),SUMIF('数据-汇总表'!C$19:C$33,A6,'数据-汇总表'!N$19:N$33))</f>
        <v>0</v>
      </c>
      <c r="T6" s="1443">
        <f>ROUND($L$14*S6/10000,0)</f>
        <v>0</v>
      </c>
      <c r="U6" s="78">
        <v>3.6</v>
      </c>
      <c r="V6" s="79">
        <v>3.5000000000000003E-2</v>
      </c>
      <c r="W6" s="79">
        <v>0.05</v>
      </c>
      <c r="X6" s="1261"/>
      <c r="Y6" s="80">
        <f>N6</f>
        <v>0.93</v>
      </c>
      <c r="Z6" s="81"/>
      <c r="AA6" s="74"/>
      <c r="AB6" s="74"/>
      <c r="AC6" s="1261"/>
      <c r="AD6" s="82"/>
      <c r="AE6" s="1262">
        <f ca="1">IF(AN6="",0,SUMIF(INDIRECT("'"&amp;AN6&amp;"'"&amp;"!E:E"),$AE$5,INDIRECT("'"&amp;AN6&amp;"'"&amp;"!F:F")))</f>
        <v>42.32</v>
      </c>
      <c r="AF6" s="1804"/>
      <c r="AG6" s="147">
        <f>IF(AF6="",0,AE6-AF6)</f>
        <v>0</v>
      </c>
      <c r="AH6" s="83"/>
      <c r="AI6" s="85">
        <v>365</v>
      </c>
      <c r="AJ6" s="86"/>
      <c r="AK6" s="87">
        <v>1.4999999999999999E-2</v>
      </c>
      <c r="AL6" s="88">
        <v>1.5E-3</v>
      </c>
      <c r="AM6" s="89">
        <v>0.01</v>
      </c>
      <c r="AN6" s="2309" t="s">
        <v>3076</v>
      </c>
      <c r="AO6" s="55">
        <f ca="1">SUMIF(INDIRECT("'"&amp;AN6&amp;"'"&amp;"!A:A"),"总价",INDIRECT("'"&amp;AN6&amp;"'"&amp;"!B:B"))</f>
        <v>47276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 ca="1">ROUND(SUMPRODUCT(G6:G13,K6:K13)/SUMPRODUCT((G6:G13&gt;0)*(K6:K13)),3)</f>
        <v>0.95399999999999996</v>
      </c>
      <c r="H16" s="99">
        <f ca="1">ROUND(SUMPRODUCT(H6:H13,K6:K13)/SUMPRODUCT((H6:H13&gt;0)*(K6:K13)),3)</f>
        <v>4.8000000000000001E-2</v>
      </c>
      <c r="I16" s="100"/>
      <c r="J16" s="100"/>
      <c r="K16" s="101">
        <f>SUM(K6:K15)</f>
        <v>16188.670000000002</v>
      </c>
      <c r="L16" s="102">
        <f>ROUND(M16*10000/SUM(K6:K14),0)</f>
        <v>2500</v>
      </c>
      <c r="M16" s="102">
        <f>SUM(M6:M14)</f>
        <v>4047</v>
      </c>
      <c r="N16" s="103">
        <f>ROUND(SUMPRODUCT(M6:M14,N6:N14)/M16,3)</f>
        <v>0.93</v>
      </c>
      <c r="O16" s="102">
        <f>SUM(O6:O14)</f>
        <v>0</v>
      </c>
      <c r="P16" s="102">
        <f>SUM(P6:P14)</f>
        <v>0</v>
      </c>
      <c r="Q16" s="104">
        <f>ROUND(SUMPRODUCT(Q6:Q13,K6:K13)/SUMPRODUCT((Q6:Q13&gt;0)*(K6:K13)),2)</f>
        <v>0.25</v>
      </c>
      <c r="R16" s="1255">
        <f ca="1">SUM(R6:R13)</f>
        <v>9192.5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3</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3</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3</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 ca="1">成本法!C10</f>
        <v>308</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0.05</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0.03</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0.03</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7"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0" t="s">
        <v>2079</v>
      </c>
      <c r="B1" s="3071"/>
      <c r="C1" s="3071"/>
      <c r="D1" s="3071"/>
      <c r="E1" s="3071"/>
      <c r="F1" s="3071"/>
      <c r="G1" s="307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D1" workbookViewId="0">
      <selection activeCell="J14" sqref="J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16188.669999999998</v>
      </c>
      <c r="C1" s="1742"/>
      <c r="D1" s="1742"/>
      <c r="E1" s="1742"/>
      <c r="F1" s="1742"/>
      <c r="G1" s="1740"/>
    </row>
    <row r="2" spans="1:10" ht="16.5">
      <c r="A2" s="1743" t="s">
        <v>1348</v>
      </c>
      <c r="B2" s="1743">
        <f>SUM(C14:C23)</f>
        <v>9192.5</v>
      </c>
      <c r="C2" s="1742"/>
      <c r="D2" s="1742"/>
      <c r="E2" s="1742"/>
      <c r="F2" s="1742"/>
      <c r="G2" s="1740"/>
    </row>
    <row r="3" spans="1:10" ht="16.5">
      <c r="A3" s="1743" t="s">
        <v>1357</v>
      </c>
      <c r="B3" s="1744">
        <f>项目基本情况!D3</f>
        <v>43929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36436</v>
      </c>
      <c r="C5" s="1743">
        <f ca="1">ROUND(B5*10000/$B$1,0)</f>
        <v>22507</v>
      </c>
      <c r="D5" s="1743">
        <f ca="1">ROUND(B5*10000/$B$2,0)</f>
        <v>39637</v>
      </c>
      <c r="E5" s="1742"/>
      <c r="F5" s="1740"/>
      <c r="G5" s="1740"/>
    </row>
    <row r="6" spans="1:10" ht="16.5">
      <c r="A6" s="1743" t="s">
        <v>1351</v>
      </c>
      <c r="B6" s="1743">
        <f ca="1">SUM(G14:G23)</f>
        <v>36436</v>
      </c>
      <c r="C6" s="1743">
        <f ca="1">ROUND(B6*10000/$B$1,0)</f>
        <v>22507</v>
      </c>
      <c r="D6" s="1743">
        <f ca="1">ROUND(B6*10000/$B$2,0)</f>
        <v>39637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35855</v>
      </c>
      <c r="C8" s="1743">
        <f ca="1">ROUND(B8*10000/$B$1,0)</f>
        <v>22148</v>
      </c>
      <c r="D8" s="1743">
        <f ca="1">ROUND(B8*10000/$B$2,0)</f>
        <v>39005</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t="s">
        <v>3106</v>
      </c>
    </row>
    <row r="14" spans="1:10" ht="16.5">
      <c r="A14" s="1739" t="s">
        <v>1345</v>
      </c>
      <c r="B14" s="1741">
        <f>结果表!B118</f>
        <v>16188.669999999998</v>
      </c>
      <c r="C14" s="1741">
        <f>结果表!C118</f>
        <v>9192.5</v>
      </c>
      <c r="D14" s="1741">
        <f ca="1">结果表!H118</f>
        <v>36436</v>
      </c>
      <c r="E14" s="1741">
        <f ca="1">ROUND(D14*10000/B14,0)</f>
        <v>22507</v>
      </c>
      <c r="F14" s="1741">
        <f ca="1">ROUND(D14*10000/C14,0)</f>
        <v>39637</v>
      </c>
      <c r="G14" s="1741">
        <f ca="1">结果表!D122</f>
        <v>36436</v>
      </c>
      <c r="H14" s="1741" t="str">
        <f>结果表!D124</f>
        <v>——</v>
      </c>
      <c r="I14" s="1741">
        <f ca="1">结果表!D126</f>
        <v>35855</v>
      </c>
      <c r="J14" s="1740">
        <f ca="1">Sheet1!O8</f>
        <v>35857</v>
      </c>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0" zoomScale="80" zoomScaleNormal="100" zoomScaleSheetLayoutView="80" zoomScalePageLayoutView="80" workbookViewId="0">
      <selection activeCell="N59" sqref="N5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05" t="str">
        <f>项目基本情况!S2</f>
        <v>北京市出让国有建设用地使用权及在建建筑物房地产</v>
      </c>
      <c r="B2" s="3106"/>
      <c r="C2" s="3106"/>
      <c r="D2" s="3106"/>
      <c r="E2" s="3106"/>
      <c r="F2" s="3106"/>
      <c r="G2" s="3106"/>
      <c r="H2" s="3106"/>
      <c r="I2" s="3107"/>
    </row>
    <row r="3" spans="1:12" ht="12.75">
      <c r="A3" s="3109" t="s">
        <v>2119</v>
      </c>
      <c r="B3" s="3110"/>
      <c r="C3" s="3110"/>
      <c r="D3" s="3110"/>
      <c r="E3" s="3110"/>
      <c r="F3" s="3110"/>
      <c r="G3" s="3110"/>
      <c r="H3" s="3110"/>
      <c r="I3" s="3110"/>
    </row>
    <row r="4" spans="1:12" ht="14.25">
      <c r="A4" s="2425" t="s">
        <v>2120</v>
      </c>
      <c r="B4" s="2426" t="s">
        <v>2121</v>
      </c>
      <c r="C4" s="2427" t="s">
        <v>3088</v>
      </c>
      <c r="D4" s="2427" t="s">
        <v>3076</v>
      </c>
      <c r="E4" s="3102" t="s">
        <v>2122</v>
      </c>
      <c r="F4" s="3103"/>
      <c r="G4" s="3103"/>
      <c r="H4" s="3103"/>
      <c r="I4" s="3111"/>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5" t="s">
        <v>2123</v>
      </c>
      <c r="B5" s="3023">
        <v>25</v>
      </c>
      <c r="C5" s="3088"/>
      <c r="D5" s="3108"/>
      <c r="E5" s="140" t="s">
        <v>2124</v>
      </c>
      <c r="F5" s="2429"/>
      <c r="G5" s="2429"/>
      <c r="H5" s="2429"/>
      <c r="I5" s="1831"/>
    </row>
    <row r="6" spans="1:12" ht="12.75">
      <c r="A6" s="3085"/>
      <c r="B6" s="3023"/>
      <c r="C6" s="3089"/>
      <c r="D6" s="3108"/>
      <c r="E6" s="140" t="s">
        <v>2125</v>
      </c>
      <c r="F6" s="2429"/>
      <c r="G6" s="2429"/>
      <c r="H6" s="2429"/>
      <c r="I6" s="1831"/>
    </row>
    <row r="7" spans="1:12" ht="12.75">
      <c r="A7" s="3085"/>
      <c r="B7" s="3023"/>
      <c r="C7" s="3090"/>
      <c r="D7" s="3108"/>
      <c r="E7" s="140" t="s">
        <v>2126</v>
      </c>
      <c r="F7" s="2429"/>
      <c r="G7" s="2429"/>
      <c r="H7" s="2429"/>
      <c r="I7" s="1831"/>
    </row>
    <row r="8" spans="1:12" ht="12.75">
      <c r="A8" s="3085" t="s">
        <v>2127</v>
      </c>
      <c r="B8" s="3023">
        <v>15</v>
      </c>
      <c r="C8" s="3088"/>
      <c r="D8" s="3108"/>
      <c r="E8" s="140" t="s">
        <v>2128</v>
      </c>
      <c r="F8" s="2429"/>
      <c r="G8" s="2429"/>
      <c r="H8" s="2429"/>
      <c r="I8" s="1831"/>
    </row>
    <row r="9" spans="1:12" ht="12.75">
      <c r="A9" s="3085"/>
      <c r="B9" s="3023"/>
      <c r="C9" s="3090"/>
      <c r="D9" s="3108"/>
      <c r="E9" s="140" t="s">
        <v>2129</v>
      </c>
      <c r="F9" s="2429"/>
      <c r="G9" s="2429"/>
      <c r="H9" s="2429"/>
      <c r="I9" s="1831"/>
    </row>
    <row r="10" spans="1:12" ht="12.75">
      <c r="A10" s="3085" t="s">
        <v>2130</v>
      </c>
      <c r="B10" s="3023">
        <v>15</v>
      </c>
      <c r="C10" s="3088"/>
      <c r="D10" s="3108"/>
      <c r="E10" s="140" t="s">
        <v>2131</v>
      </c>
      <c r="F10" s="2429"/>
      <c r="G10" s="2429"/>
      <c r="H10" s="2429"/>
      <c r="I10" s="1831"/>
    </row>
    <row r="11" spans="1:12" ht="12.75">
      <c r="A11" s="3085"/>
      <c r="B11" s="3023"/>
      <c r="C11" s="3090"/>
      <c r="D11" s="3108"/>
      <c r="E11" s="140" t="s">
        <v>2132</v>
      </c>
      <c r="F11" s="2429"/>
      <c r="G11" s="2429"/>
      <c r="H11" s="2429"/>
      <c r="I11" s="1831"/>
    </row>
    <row r="12" spans="1:12" ht="12.75">
      <c r="A12" s="3085" t="s">
        <v>2133</v>
      </c>
      <c r="B12" s="3023">
        <v>15</v>
      </c>
      <c r="C12" s="3088"/>
      <c r="D12" s="3108"/>
      <c r="E12" s="140" t="s">
        <v>2134</v>
      </c>
      <c r="F12" s="2429"/>
      <c r="G12" s="2429"/>
      <c r="H12" s="2429"/>
      <c r="I12" s="1831"/>
    </row>
    <row r="13" spans="1:12" ht="12.75">
      <c r="A13" s="3085"/>
      <c r="B13" s="3023"/>
      <c r="C13" s="3090"/>
      <c r="D13" s="3108"/>
      <c r="E13" s="140" t="s">
        <v>2135</v>
      </c>
      <c r="F13" s="2429"/>
      <c r="G13" s="2429"/>
      <c r="H13" s="2429"/>
      <c r="I13" s="1831"/>
    </row>
    <row r="14" spans="1:12" ht="12.75">
      <c r="A14" s="3085" t="s">
        <v>2136</v>
      </c>
      <c r="B14" s="3023">
        <v>30</v>
      </c>
      <c r="C14" s="3088">
        <v>3</v>
      </c>
      <c r="D14" s="3108">
        <v>7</v>
      </c>
      <c r="E14" s="140" t="s">
        <v>2137</v>
      </c>
      <c r="F14" s="2429"/>
      <c r="G14" s="2429"/>
      <c r="H14" s="2429"/>
      <c r="I14" s="1831"/>
    </row>
    <row r="15" spans="1:12" ht="12.75">
      <c r="A15" s="3085"/>
      <c r="B15" s="3023"/>
      <c r="C15" s="3089"/>
      <c r="D15" s="3108"/>
      <c r="E15" s="140" t="s">
        <v>2138</v>
      </c>
      <c r="F15" s="2429"/>
      <c r="G15" s="2429"/>
      <c r="H15" s="2429"/>
      <c r="I15" s="1831"/>
    </row>
    <row r="16" spans="1:12" ht="12.75">
      <c r="A16" s="3085"/>
      <c r="B16" s="3023"/>
      <c r="C16" s="3090"/>
      <c r="D16" s="3108"/>
      <c r="E16" s="140" t="s">
        <v>2139</v>
      </c>
      <c r="F16" s="2429"/>
      <c r="G16" s="2429"/>
      <c r="H16" s="2429"/>
      <c r="I16" s="1831"/>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c r="A19" s="2434" t="s">
        <v>2145</v>
      </c>
      <c r="B19" s="2435" t="s">
        <v>2146</v>
      </c>
      <c r="C19" s="143">
        <f ca="1">SUMIF(INDIRECT("'"&amp;C4&amp;"'"&amp;"!A:A"),结果表!B19,INDIRECT("'"&amp;C4&amp;"'"&amp;"!B:B"))</f>
        <v>11142</v>
      </c>
      <c r="D19" s="144">
        <f ca="1">SUMIF(INDIRECT("'"&amp;D4&amp;"'"&amp;"!A:A"),结果表!B19,INDIRECT("'"&amp;D4&amp;"'"&amp;"!B:B"))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c r="A20" s="2437"/>
      <c r="B20" s="1247" t="s">
        <v>2150</v>
      </c>
      <c r="C20" s="146">
        <f ca="1">SUMIF(INDIRECT("'"&amp;C4&amp;"'"&amp;"!A:A"),结果表!B20,INDIRECT("'"&amp;C4&amp;"'"&amp;"!B:B"))</f>
        <v>6883</v>
      </c>
      <c r="D20" s="147">
        <f ca="1">SUMIF(INDIRECT("'"&amp;D4&amp;"'"&amp;"!A:A"),结果表!B20,INDIRECT("'"&amp;D4&amp;"'"&amp;"!B:B"))</f>
        <v>29203</v>
      </c>
      <c r="E20" s="2437"/>
      <c r="F20" s="1247" t="s">
        <v>2150</v>
      </c>
      <c r="G20" s="148">
        <f ca="1">ROUND(C20*$C$18+D20*$D$18,0)</f>
        <v>22507</v>
      </c>
      <c r="H20" s="980" t="s">
        <v>2151</v>
      </c>
      <c r="I20" s="138"/>
    </row>
    <row r="21" spans="1:35" ht="15"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thickBot="1">
      <c r="A22" s="2281" t="s">
        <v>2153</v>
      </c>
      <c r="B22" s="2440"/>
      <c r="C22" s="2441"/>
      <c r="D22" s="791">
        <f ca="1">IF(C19&lt;D19,D19/C19-1,C19/D19-1)</f>
        <v>3.2430443367438517</v>
      </c>
      <c r="E22" s="138"/>
      <c r="F22" s="138"/>
      <c r="G22" s="138"/>
      <c r="H22" s="138"/>
      <c r="I22" s="138"/>
    </row>
    <row r="23" spans="1:35" ht="13.5" thickBot="1">
      <c r="A23" s="2418"/>
      <c r="B23" s="2418"/>
      <c r="C23" s="2418"/>
      <c r="D23" s="2418"/>
      <c r="E23" s="138"/>
      <c r="F23" s="138"/>
      <c r="G23" s="138"/>
      <c r="H23" s="138"/>
      <c r="I23" s="138"/>
    </row>
    <row r="24" spans="1:35" ht="14.25">
      <c r="A24" s="3079" t="s">
        <v>2154</v>
      </c>
      <c r="B24" s="2435" t="s">
        <v>2146</v>
      </c>
      <c r="C24" s="145">
        <f>IF(B30=0,0,D30)</f>
        <v>0</v>
      </c>
      <c r="D24" s="2442"/>
      <c r="E24" s="138"/>
      <c r="F24" s="138"/>
      <c r="G24" s="138"/>
      <c r="H24" s="138"/>
      <c r="I24" s="138"/>
    </row>
    <row r="25" spans="1:35" ht="14.25">
      <c r="A25" s="3080"/>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36436</v>
      </c>
      <c r="D32" s="2449" t="s">
        <v>2161</v>
      </c>
      <c r="E32" s="138"/>
      <c r="F32" s="138"/>
      <c r="G32" s="138"/>
      <c r="H32" s="138"/>
      <c r="I32" s="138"/>
    </row>
    <row r="33" spans="1:15" ht="15">
      <c r="A33" s="957" t="s">
        <v>2162</v>
      </c>
      <c r="B33" s="2450"/>
      <c r="C33" s="2451" t="s">
        <v>3089</v>
      </c>
      <c r="D33" s="2452" t="s">
        <v>3088</v>
      </c>
      <c r="E33" s="2453" t="s">
        <v>2163</v>
      </c>
      <c r="F33" s="2454" t="str">
        <f>IF(D32="楼面单价","取值（单价）","取值（总价）")</f>
        <v>取值（总价）</v>
      </c>
      <c r="G33" s="138"/>
      <c r="H33" s="138"/>
      <c r="I33" s="138"/>
    </row>
    <row r="34" spans="1:15" ht="15">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thickBot="1">
      <c r="A36" s="3097" t="s">
        <v>2168</v>
      </c>
      <c r="B36" s="2461" t="s">
        <v>2169</v>
      </c>
      <c r="C36" s="154"/>
      <c r="D36" s="2462"/>
      <c r="E36" s="2463"/>
      <c r="F36" s="2464"/>
      <c r="G36" s="138"/>
      <c r="H36" s="138"/>
      <c r="I36" s="138"/>
    </row>
    <row r="37" spans="1:15" ht="15.75" thickBot="1">
      <c r="A37" s="3098"/>
      <c r="B37" s="2267" t="s">
        <v>2170</v>
      </c>
      <c r="C37" s="156"/>
      <c r="D37" s="1392"/>
      <c r="E37" s="1392"/>
      <c r="F37" s="2464"/>
      <c r="G37" s="138"/>
      <c r="H37" s="138"/>
      <c r="I37" s="138"/>
    </row>
    <row r="38" spans="1:15" ht="15.75" thickBot="1">
      <c r="A38" s="3099"/>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6" t="s">
        <v>2182</v>
      </c>
      <c r="B45" s="3077"/>
      <c r="C45" s="3078"/>
      <c r="D45" s="164">
        <f ca="1">ROUND(H101*F45,0)</f>
        <v>29149</v>
      </c>
      <c r="E45" s="165" t="s">
        <v>2183</v>
      </c>
      <c r="F45" s="166">
        <v>0.8</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80"/>
      <c r="I46" s="168"/>
      <c r="J46" s="1809">
        <v>1</v>
      </c>
      <c r="K46" s="3136" t="s">
        <v>2187</v>
      </c>
      <c r="L46" s="3136"/>
      <c r="M46" s="3156"/>
      <c r="N46" s="3156"/>
      <c r="O46" s="3156"/>
    </row>
    <row r="47" spans="1:15" ht="12" customHeight="1">
      <c r="A47" s="169" t="s">
        <v>2188</v>
      </c>
      <c r="B47" s="170"/>
      <c r="C47" s="171"/>
      <c r="D47" s="172" t="s">
        <v>2189</v>
      </c>
      <c r="E47" s="24" t="s">
        <v>2190</v>
      </c>
      <c r="F47" s="173" t="s">
        <v>2191</v>
      </c>
      <c r="G47" s="174" t="s">
        <v>2192</v>
      </c>
      <c r="H47" s="2480"/>
      <c r="I47" s="168"/>
      <c r="J47" s="1809">
        <v>2</v>
      </c>
      <c r="K47" s="3136" t="s">
        <v>2193</v>
      </c>
      <c r="L47" s="3136"/>
      <c r="M47" s="3157">
        <f>'数据-取费表'!B2</f>
        <v>43929</v>
      </c>
      <c r="N47" s="3157"/>
      <c r="O47" s="3157"/>
    </row>
    <row r="48" spans="1:15" ht="25.5">
      <c r="A48" s="3104" t="s">
        <v>2194</v>
      </c>
      <c r="B48" s="3087"/>
      <c r="C48" s="3087"/>
      <c r="D48" s="140">
        <f ca="1">IF(H48="情况1",0,IF(H48="情况2",D52,IF(H48="情况3",D53,IF(H48="情况4",D54))))</f>
        <v>130</v>
      </c>
      <c r="E48" s="1798" t="str">
        <f>IF(H48="情况4","(销售额-原购置价)×税（费）率","销售额×税（费）率")</f>
        <v>(销售额-原购置价)×税（费）率</v>
      </c>
      <c r="F48" s="175">
        <f>IF(H48="情况1","免征",'数据-取费表'!B41)</f>
        <v>5.5000000000000007E-2</v>
      </c>
      <c r="G48" s="2481" t="s">
        <v>2195</v>
      </c>
      <c r="H48" s="2482" t="s">
        <v>3090</v>
      </c>
      <c r="I48" s="2480"/>
      <c r="J48" s="1809">
        <v>3</v>
      </c>
      <c r="K48" s="3136" t="s">
        <v>2196</v>
      </c>
      <c r="L48" s="3136"/>
      <c r="M48" s="3158">
        <f ca="1">H101</f>
        <v>36436</v>
      </c>
      <c r="N48" s="3158"/>
      <c r="O48" s="3158"/>
    </row>
    <row r="49" spans="1:35" ht="25.5" customHeight="1">
      <c r="A49" s="176" t="s">
        <v>2197</v>
      </c>
      <c r="B49" s="3072" t="s">
        <v>2198</v>
      </c>
      <c r="C49" s="3072"/>
      <c r="D49" s="177">
        <v>0</v>
      </c>
      <c r="E49" s="23" t="s">
        <v>2199</v>
      </c>
      <c r="F49" s="28" t="s">
        <v>34</v>
      </c>
      <c r="G49" s="3142"/>
      <c r="H49" s="138"/>
      <c r="I49" s="2483"/>
      <c r="J49" s="1809">
        <v>4</v>
      </c>
      <c r="K49" s="3136" t="str">
        <f>IF(项目基本情况!E8="房地产抵押价值","房地产抵押价值","抵押担保权已注销时的房地产抵押价值")</f>
        <v>房地产抵押价值</v>
      </c>
      <c r="L49" s="3136"/>
      <c r="M49" s="3158">
        <f ca="1">IF(项目基本情况!E8="房地产抵押价值",H107,H109)</f>
        <v>36436</v>
      </c>
      <c r="N49" s="3158"/>
      <c r="O49" s="3158"/>
    </row>
    <row r="50" spans="1:35" ht="25.5" customHeight="1">
      <c r="A50" s="178"/>
      <c r="B50" s="3072" t="s">
        <v>2200</v>
      </c>
      <c r="C50" s="3072"/>
      <c r="D50" s="179"/>
      <c r="E50" s="31"/>
      <c r="F50" s="180"/>
      <c r="G50" s="3143"/>
      <c r="H50" s="138"/>
      <c r="I50" s="2483"/>
      <c r="J50" s="3136" t="s">
        <v>2201</v>
      </c>
      <c r="K50" s="3136"/>
      <c r="L50" s="3136"/>
      <c r="M50" s="3136"/>
      <c r="N50" s="3136"/>
      <c r="O50" s="3136"/>
    </row>
    <row r="51" spans="1:35" ht="12" customHeight="1">
      <c r="A51" s="181"/>
      <c r="B51" s="3072" t="s">
        <v>2202</v>
      </c>
      <c r="C51" s="3072"/>
      <c r="D51" s="182"/>
      <c r="E51" s="30"/>
      <c r="F51" s="180"/>
      <c r="G51" s="3144"/>
      <c r="H51" s="138"/>
      <c r="I51" s="2483"/>
      <c r="J51" s="2484" t="s">
        <v>2203</v>
      </c>
      <c r="K51" s="3136" t="s">
        <v>2204</v>
      </c>
      <c r="L51" s="3136"/>
      <c r="M51" s="2484" t="s">
        <v>2205</v>
      </c>
      <c r="N51" s="2484" t="s">
        <v>2206</v>
      </c>
      <c r="O51" s="2484" t="s">
        <v>2207</v>
      </c>
    </row>
    <row r="52" spans="1:35" ht="24" customHeight="1">
      <c r="A52" s="183" t="s">
        <v>2208</v>
      </c>
      <c r="B52" s="3072" t="s">
        <v>2209</v>
      </c>
      <c r="C52" s="3072"/>
      <c r="D52" s="182">
        <f ca="1">ROUND(D45*'数据-取费表'!B41/(1+'数据-取费表'!C42),0)</f>
        <v>1527</v>
      </c>
      <c r="E52" s="11" t="s">
        <v>2210</v>
      </c>
      <c r="F52" s="184">
        <f>'数据-取费表'!B41</f>
        <v>5.5000000000000007E-2</v>
      </c>
      <c r="G52" s="2485"/>
      <c r="H52" s="138"/>
      <c r="I52" s="2483"/>
      <c r="J52" s="1809">
        <v>1</v>
      </c>
      <c r="K52" s="3137" t="s">
        <v>2211</v>
      </c>
      <c r="L52" s="3137"/>
      <c r="M52" s="1751">
        <f ca="1">D48</f>
        <v>130</v>
      </c>
      <c r="N52" s="1809" t="str">
        <f>E48</f>
        <v>(销售额-原购置价)×税（费）率</v>
      </c>
      <c r="O52" s="1752">
        <f>F48</f>
        <v>5.5000000000000007E-2</v>
      </c>
    </row>
    <row r="53" spans="1:35" ht="12" customHeight="1">
      <c r="A53" s="183" t="s">
        <v>2212</v>
      </c>
      <c r="B53" s="3095" t="s">
        <v>2213</v>
      </c>
      <c r="C53" s="3096"/>
      <c r="D53" s="182">
        <f ca="1">ROUND(D45*'数据-取费表'!B41/(1+'数据-取费表'!C42),0)</f>
        <v>1527</v>
      </c>
      <c r="E53" s="11" t="s">
        <v>2210</v>
      </c>
      <c r="F53" s="184">
        <f>'数据-取费表'!B41</f>
        <v>5.5000000000000007E-2</v>
      </c>
      <c r="G53" s="2485"/>
      <c r="H53" s="138"/>
      <c r="I53" s="2483"/>
      <c r="J53" s="1809">
        <v>2</v>
      </c>
      <c r="K53" s="3137" t="s">
        <v>2214</v>
      </c>
      <c r="L53" s="3137"/>
      <c r="M53" s="1751">
        <f t="shared" ref="M53:O54" ca="1" si="0">D55</f>
        <v>15</v>
      </c>
      <c r="N53" s="1809" t="str">
        <f t="shared" si="0"/>
        <v>销售额×税（费）率</v>
      </c>
      <c r="O53" s="1752">
        <f t="shared" si="0"/>
        <v>5.0000000000000001E-4</v>
      </c>
    </row>
    <row r="54" spans="1:35" ht="12" customHeight="1">
      <c r="A54" s="183" t="s">
        <v>2215</v>
      </c>
      <c r="B54" s="3095" t="s">
        <v>2216</v>
      </c>
      <c r="C54" s="3096"/>
      <c r="D54" s="182">
        <f ca="1">C68</f>
        <v>130</v>
      </c>
      <c r="E54" s="30" t="s">
        <v>2217</v>
      </c>
      <c r="F54" s="184">
        <f>'数据-取费表'!B41</f>
        <v>5.5000000000000007E-2</v>
      </c>
      <c r="G54" s="2485"/>
      <c r="H54" s="2486"/>
      <c r="I54" s="2483"/>
      <c r="J54" s="1809">
        <v>3</v>
      </c>
      <c r="K54" s="3137" t="s">
        <v>2218</v>
      </c>
      <c r="L54" s="3137"/>
      <c r="M54" s="1751">
        <f t="shared" ca="1" si="0"/>
        <v>436</v>
      </c>
      <c r="N54" s="1809" t="str">
        <f t="shared" si="0"/>
        <v>增值额×税（费）率</v>
      </c>
      <c r="O54" s="1753" t="str">
        <f t="shared" si="0"/>
        <v>——</v>
      </c>
    </row>
    <row r="55" spans="1:35" ht="24" customHeight="1">
      <c r="A55" s="3086" t="s">
        <v>2219</v>
      </c>
      <c r="B55" s="3087"/>
      <c r="C55" s="3087"/>
      <c r="D55" s="185">
        <f ca="1">IF(H55="个人住宅",0,ROUND(D45*I55,0))</f>
        <v>15</v>
      </c>
      <c r="E55" s="11" t="s">
        <v>2220</v>
      </c>
      <c r="F55" s="184">
        <f>IF(H55="正常",I55,"免征")</f>
        <v>5.0000000000000001E-4</v>
      </c>
      <c r="G55" s="2485"/>
      <c r="H55" s="2482" t="s">
        <v>2221</v>
      </c>
      <c r="I55" s="186">
        <f>'数据-取费表'!B49</f>
        <v>5.0000000000000001E-4</v>
      </c>
      <c r="J55" s="1809" t="str">
        <f>IF(H59="非个人房产","",4)</f>
        <v/>
      </c>
      <c r="K55" s="3137" t="str">
        <f>IF(H59="非个人房产","——","个人所得税")</f>
        <v>——</v>
      </c>
      <c r="L55" s="3137"/>
      <c r="M55" s="1754" t="str">
        <f>D59</f>
        <v>——</v>
      </c>
      <c r="N55" s="1807" t="str">
        <f>E59</f>
        <v>——</v>
      </c>
      <c r="O55" s="1755" t="str">
        <f>F59</f>
        <v>——</v>
      </c>
    </row>
    <row r="56" spans="1:35" ht="24.75">
      <c r="A56" s="3086" t="s">
        <v>2222</v>
      </c>
      <c r="B56" s="3087"/>
      <c r="C56" s="3087"/>
      <c r="D56" s="185">
        <f ca="1">IF(H56="个人住宅",D57,D58)</f>
        <v>436</v>
      </c>
      <c r="E56" s="11" t="s">
        <v>2223</v>
      </c>
      <c r="F56" s="184" t="str">
        <f>IF(H56="正常",F58,"免征")</f>
        <v>——</v>
      </c>
      <c r="G56" s="2487" t="s">
        <v>2224</v>
      </c>
      <c r="H56" s="2488" t="s">
        <v>2221</v>
      </c>
      <c r="I56" s="2489"/>
      <c r="J56" s="1809"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5"/>
      <c r="H57" s="2489"/>
      <c r="I57" s="2489"/>
      <c r="J57" s="3137">
        <f>IF(AND(J55="",J56=""),4,IF(项目基本情况!K6="上海银行",结果表!J56+1,结果表!J55+1))</f>
        <v>4</v>
      </c>
      <c r="K57" s="3137" t="s">
        <v>2226</v>
      </c>
      <c r="L57" s="2490" t="s">
        <v>2227</v>
      </c>
      <c r="M57" s="1756"/>
      <c r="N57" s="1757">
        <f ca="1">SUMIF(M52:M56,"&lt;9e307")</f>
        <v>581</v>
      </c>
      <c r="O57" s="2491"/>
      <c r="P57" s="1750">
        <f ca="1">N57/M49</f>
        <v>1.5945767921835548E-2</v>
      </c>
    </row>
    <row r="58" spans="1:35" ht="24.75">
      <c r="A58" s="183" t="s">
        <v>2208</v>
      </c>
      <c r="B58" s="3102" t="s">
        <v>2228</v>
      </c>
      <c r="C58" s="3103"/>
      <c r="D58" s="185">
        <f ca="1">IF(H58="转让取得",C81,C97)</f>
        <v>436</v>
      </c>
      <c r="E58" s="11" t="s">
        <v>2223</v>
      </c>
      <c r="F58" s="24" t="s">
        <v>34</v>
      </c>
      <c r="G58" s="2485"/>
      <c r="H58" s="2488" t="s">
        <v>3091</v>
      </c>
      <c r="I58" s="2489"/>
      <c r="J58" s="3137"/>
      <c r="K58" s="3137"/>
      <c r="L58" s="2490" t="s">
        <v>2229</v>
      </c>
      <c r="M58" s="1758"/>
      <c r="N58" s="2492" t="str">
        <f ca="1">NUMBERSTRING(INT(N57*10000),2)&amp;"元整"</f>
        <v>伍佰捌拾壹万元整</v>
      </c>
      <c r="O58" s="2493"/>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8">
        <f>J57+1</f>
        <v>5</v>
      </c>
      <c r="K59" s="3137" t="s">
        <v>2232</v>
      </c>
      <c r="L59" s="1809" t="s">
        <v>2227</v>
      </c>
      <c r="M59" s="1759"/>
      <c r="N59" s="1760">
        <f ca="1">M49-N57</f>
        <v>35855</v>
      </c>
      <c r="O59" s="2495"/>
    </row>
    <row r="60" spans="1:35" ht="12" customHeight="1">
      <c r="A60" s="2496"/>
      <c r="B60" s="2418"/>
      <c r="C60" s="2418"/>
      <c r="D60" s="2418"/>
      <c r="E60" s="2166"/>
      <c r="F60" s="2489"/>
      <c r="G60" s="2489"/>
      <c r="H60" s="2497"/>
      <c r="I60" s="138"/>
      <c r="J60" s="3139"/>
      <c r="K60" s="3137"/>
      <c r="L60" s="2490" t="s">
        <v>2229</v>
      </c>
      <c r="M60" s="1758"/>
      <c r="N60" s="2492" t="str">
        <f ca="1">NUMBERSTRING(INT(N59*10000),2)&amp;"元整"</f>
        <v>叁亿伍仟捌佰伍拾伍万元整</v>
      </c>
      <c r="O60" s="2493"/>
    </row>
    <row r="61" spans="1:35" ht="13.5" thickBot="1">
      <c r="A61" s="3084" t="s">
        <v>2233</v>
      </c>
      <c r="B61" s="3084"/>
      <c r="C61" s="3084"/>
      <c r="D61" s="3084"/>
      <c r="E61" s="3084"/>
      <c r="F61" s="2489"/>
      <c r="G61" s="2489"/>
      <c r="H61" s="2497"/>
      <c r="I61" s="138"/>
      <c r="J61" s="1809">
        <f>J59+1</f>
        <v>6</v>
      </c>
      <c r="K61" s="3137" t="s">
        <v>2234</v>
      </c>
      <c r="L61" s="3137"/>
      <c r="M61" s="1761"/>
      <c r="N61" s="1762">
        <f ca="1">ROUND(N59*10000/'数据-汇总表'!E3,0)</f>
        <v>22148</v>
      </c>
      <c r="O61" s="2498"/>
    </row>
    <row r="62" spans="1:35" ht="12.75">
      <c r="A62" s="3100" t="s">
        <v>2235</v>
      </c>
      <c r="B62" s="3101"/>
      <c r="C62" s="1801"/>
      <c r="D62" s="1801" t="s">
        <v>2236</v>
      </c>
      <c r="E62" s="192" t="s">
        <v>2237</v>
      </c>
      <c r="F62" s="2489"/>
      <c r="G62" s="2489"/>
      <c r="H62" s="2497"/>
      <c r="I62" s="138"/>
    </row>
    <row r="63" spans="1:35" ht="12.75">
      <c r="A63" s="203" t="s">
        <v>775</v>
      </c>
      <c r="B63" s="193" t="s">
        <v>2238</v>
      </c>
      <c r="C63" s="194">
        <f ca="1">ROUND((C64+C65)/(1+'数据-取费表'!C42),0)</f>
        <v>27761</v>
      </c>
      <c r="D63" s="195"/>
      <c r="E63" s="196"/>
      <c r="F63" s="2489"/>
      <c r="G63" s="2489"/>
      <c r="H63" s="2497"/>
      <c r="I63" s="138"/>
      <c r="J63" s="3162" t="s">
        <v>2239</v>
      </c>
      <c r="K63" s="2499" t="s">
        <v>2240</v>
      </c>
      <c r="L63" s="1749">
        <f ca="1">IF(M49&gt;10000,M49*0.5%,IF(AND(M49&gt;1000,M49&lt;=10000),M49*1%,IF(AND(M49&gt;100,M49&lt;=1000),M49*3%,IF(AND(M49&gt;10,M49&lt;=100),M49*5%,M49*8%))))</f>
        <v>182.18</v>
      </c>
      <c r="M63" s="24">
        <f ca="1">ROUND(L63,1)</f>
        <v>182.2</v>
      </c>
      <c r="Z63" s="2423"/>
      <c r="AI63" s="2424"/>
    </row>
    <row r="64" spans="1:35" ht="14.25" customHeight="1">
      <c r="A64" s="197" t="s">
        <v>770</v>
      </c>
      <c r="B64" s="198" t="s">
        <v>2241</v>
      </c>
      <c r="C64" s="199">
        <f ca="1">D45</f>
        <v>29149</v>
      </c>
      <c r="D64" s="200" t="s">
        <v>32</v>
      </c>
      <c r="E64" s="201"/>
      <c r="F64" s="2489"/>
      <c r="G64" s="2489"/>
      <c r="H64" s="2497"/>
      <c r="I64" s="138"/>
      <c r="J64" s="3162"/>
      <c r="K64" s="2499" t="s">
        <v>2242</v>
      </c>
      <c r="L64" s="1749">
        <f ca="1">IF(M49&gt;2000,M49*0.5%,IF(AND(M49&gt;1000,M49&lt;=2000),M49*0.6%,IF(AND(M49&gt;500,M49&lt;=1000),M49*0.7%,IF(AND(M49&gt;200,M49&lt;=500),M49*0.8%,IF(AND(M49&gt;100,M49&lt;=200),M49*0.9%,IF(AND(M49&gt;50,M49&lt;=100),M49*1%,IF(AND(M49&gt;20,M49&lt;=50),M49*1.5%,IF(AND(M49&gt;10,M49&lt;=20),M49*2%,IF(AND(M49&gt;1,M49&lt;=10),M49*2.5%)))))))))</f>
        <v>182.18</v>
      </c>
      <c r="M64" s="24">
        <f t="shared" ref="M64:M65" ca="1" si="1">ROUND(L64,1)</f>
        <v>182.2</v>
      </c>
      <c r="N64" s="138" t="s">
        <v>2243</v>
      </c>
      <c r="Z64" s="2423"/>
      <c r="AI64" s="2424"/>
    </row>
    <row r="65" spans="1:35" ht="14.25" customHeight="1">
      <c r="A65" s="197" t="s">
        <v>771</v>
      </c>
      <c r="B65" s="198" t="s">
        <v>2244</v>
      </c>
      <c r="C65" s="202"/>
      <c r="D65" s="200"/>
      <c r="E65" s="201"/>
      <c r="F65" s="2489"/>
      <c r="G65" s="2489"/>
      <c r="H65" s="2497"/>
      <c r="I65" s="138"/>
      <c r="J65" s="3162"/>
      <c r="K65" s="2499" t="s">
        <v>2245</v>
      </c>
      <c r="L65" s="1749">
        <f ca="1">IF(M49&gt;1000,M49*0.1%,IF(AND(M49&gt;500,M49&lt;=1000),M49*0.5%,IF(AND(M49&gt;50,M49&lt;=500),M49*1%,IF(AND(M49&gt;1,M49&lt;=50),M49*1.5%))))</f>
        <v>36.436</v>
      </c>
      <c r="M65" s="24">
        <f t="shared" ca="1" si="1"/>
        <v>36.4</v>
      </c>
      <c r="N65" s="138" t="s">
        <v>2243</v>
      </c>
      <c r="Z65" s="2423"/>
      <c r="AI65" s="2424"/>
    </row>
    <row r="66" spans="1:35" ht="14.25" customHeight="1">
      <c r="A66" s="203" t="s">
        <v>772</v>
      </c>
      <c r="B66" s="204" t="s">
        <v>2246</v>
      </c>
      <c r="C66" s="205">
        <v>25395</v>
      </c>
      <c r="D66" s="206" t="s">
        <v>32</v>
      </c>
      <c r="E66" s="1773" t="s">
        <v>1366</v>
      </c>
      <c r="F66" s="2489"/>
      <c r="G66" s="2489"/>
      <c r="H66" s="2497"/>
      <c r="I66" s="138"/>
      <c r="J66" s="3162"/>
      <c r="K66" s="2499" t="s">
        <v>2247</v>
      </c>
      <c r="L66" s="1749">
        <f ca="1">M49*0.5%</f>
        <v>182.18</v>
      </c>
      <c r="M66" s="24">
        <f ca="1">IF(L66&gt;0.5,0.5,ROUND(L66,0))</f>
        <v>0.5</v>
      </c>
      <c r="N66" s="138" t="s">
        <v>2248</v>
      </c>
      <c r="Z66" s="2423"/>
      <c r="AI66" s="2424"/>
    </row>
    <row r="67" spans="1:35" ht="14.25" customHeight="1">
      <c r="A67" s="203" t="s">
        <v>773</v>
      </c>
      <c r="B67" s="204" t="s">
        <v>2249</v>
      </c>
      <c r="C67" s="207">
        <f ca="1">C63-C66</f>
        <v>2366</v>
      </c>
      <c r="D67" s="200" t="s">
        <v>32</v>
      </c>
      <c r="E67" s="201"/>
      <c r="F67" s="2489"/>
      <c r="G67" s="2489"/>
      <c r="H67" s="2497"/>
      <c r="I67" s="138"/>
      <c r="J67" s="3162"/>
      <c r="K67" s="2499" t="s">
        <v>2250</v>
      </c>
      <c r="L67" s="1749">
        <f ca="1">IF(M49&gt;=10000,(8.25+(M49-10000)*0.01%),IF(AND(M49&gt;=8000,M49&lt;10000),(7.85+(M49-8000)*0.02%),IF(AND(M49&gt;=5000,M49&lt;8000),(6.65+(M49-5000)*0.04%),IF(AND(M49&gt;=2000,M49&lt;5000),(4.25+(PM49-2000)*0.08%),IF(AND(M49&gt;=1000,M49&lt;2000),(2.75+(M49-1000)*0.15%),IF(AND(M49&gt;=100,M49&lt;1000),(0.5+(M49-100)*0.25%),IF(AND(M49&gt;0,M49&lt;100),M49*0.5%)))))))</f>
        <v>10.893599999999999</v>
      </c>
      <c r="M67" s="24">
        <f ca="1">ROUND(L67*0.9,1)</f>
        <v>9.8000000000000007</v>
      </c>
      <c r="Z67" s="2423"/>
      <c r="AI67" s="2424"/>
    </row>
    <row r="68" spans="1:35" ht="14.25" customHeight="1" thickBot="1">
      <c r="A68" s="208" t="s">
        <v>774</v>
      </c>
      <c r="B68" s="209" t="s">
        <v>2251</v>
      </c>
      <c r="C68" s="210">
        <f ca="1">IF(C67&lt;=0,0,ROUND(C67*D68,0))</f>
        <v>130</v>
      </c>
      <c r="D68" s="211">
        <f>'数据-取费表'!B41</f>
        <v>5.5000000000000007E-2</v>
      </c>
      <c r="E68" s="212"/>
      <c r="F68" s="2489"/>
      <c r="G68" s="2489"/>
      <c r="H68" s="2497"/>
      <c r="I68" s="138"/>
      <c r="J68" s="3162"/>
      <c r="K68" s="2499" t="s">
        <v>2252</v>
      </c>
      <c r="L68" s="1749">
        <f ca="1">IF(M49&gt;10000,M49*0.5%,IF(AND(M49&gt;5000,M49&lt;=10000),M49*1%,IF(AND(M49&gt;1000,M49&lt;=5000),M49*2%,IF(AND(M49&gt;200,M49&lt;=1000),M49*3%,M49*5%))))</f>
        <v>182.18</v>
      </c>
      <c r="M68" s="24">
        <f ca="1">ROUND(L68,1)</f>
        <v>182.2</v>
      </c>
      <c r="Z68" s="2423"/>
      <c r="AI68" s="2424"/>
    </row>
    <row r="69" spans="1:35" s="2446" customFormat="1" ht="16.5" customHeight="1">
      <c r="A69" s="2500"/>
      <c r="B69" s="2501"/>
      <c r="C69" s="2502"/>
      <c r="D69" s="2503"/>
      <c r="E69" s="2504"/>
      <c r="F69" s="2166"/>
      <c r="G69" s="2166"/>
      <c r="H69" s="2165"/>
      <c r="I69" s="2418"/>
      <c r="J69" s="3162"/>
      <c r="K69" s="2499" t="s">
        <v>2253</v>
      </c>
      <c r="L69" s="2505"/>
      <c r="M69" s="24">
        <f ca="1">ROUND(SUM(M63:M68),0)</f>
        <v>593</v>
      </c>
      <c r="N69" s="1750">
        <f ca="1">M69/M49</f>
        <v>1.6275112526073113E-2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2235</v>
      </c>
      <c r="B71" s="3101"/>
      <c r="C71" s="1801"/>
      <c r="D71" s="1801"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27761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26309</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26170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v>26664.246999999999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5" t="s">
        <v>2262</v>
      </c>
      <c r="F76" s="3072"/>
      <c r="G76" s="3072"/>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775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139</v>
      </c>
      <c r="D78" s="226">
        <f>'数据-取费表'!B43</f>
        <v>5.000000000000001E-3</v>
      </c>
      <c r="E78" s="3081" t="s">
        <v>2267</v>
      </c>
      <c r="F78" s="3082"/>
      <c r="G78" s="3082"/>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1452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5.5190239081683072E-2</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1" t="s">
        <v>2271</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0" t="s">
        <v>2235</v>
      </c>
      <c r="B84" s="3101"/>
      <c r="C84" s="1801"/>
      <c r="D84" s="1801"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27761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139</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81" t="s">
        <v>2280</v>
      </c>
      <c r="F91" s="3082"/>
      <c r="G91" s="308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81" t="s">
        <v>2284</v>
      </c>
      <c r="F92" s="3082"/>
      <c r="G92" s="3082"/>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139</v>
      </c>
      <c r="D93" s="226">
        <f>'数据-取费表'!B43</f>
        <v>5.000000000000001E-3</v>
      </c>
      <c r="E93" s="3081" t="s">
        <v>2267</v>
      </c>
      <c r="F93" s="3082"/>
      <c r="G93" s="3082"/>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2" t="s">
        <v>2288</v>
      </c>
      <c r="F94" s="3093"/>
      <c r="G94" s="3093"/>
      <c r="H94" s="309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27622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198.71942446043167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16525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66" t="s">
        <v>2290</v>
      </c>
      <c r="B100" s="3067"/>
      <c r="C100" s="3067"/>
      <c r="D100" s="3083"/>
      <c r="E100" s="3067" t="s">
        <v>2291</v>
      </c>
      <c r="F100" s="3067"/>
      <c r="G100" s="3067"/>
      <c r="H100" s="3083"/>
      <c r="I100" s="138"/>
    </row>
    <row r="101" spans="1:35" ht="18.75" customHeight="1">
      <c r="A101" s="3145" t="s">
        <v>2292</v>
      </c>
      <c r="B101" s="3146"/>
      <c r="C101" s="736" t="str">
        <f>C4</f>
        <v>成本法</v>
      </c>
      <c r="D101" s="737" t="str">
        <f>D4</f>
        <v>收益法</v>
      </c>
      <c r="E101" s="3159" t="s">
        <v>2293</v>
      </c>
      <c r="F101" s="3113"/>
      <c r="G101" s="2520" t="s">
        <v>2294</v>
      </c>
      <c r="H101" s="1045">
        <f ca="1">H118</f>
        <v>36436</v>
      </c>
      <c r="I101" s="138"/>
    </row>
    <row r="102" spans="1:35" ht="18.75" customHeight="1">
      <c r="A102" s="3115" t="s">
        <v>2295</v>
      </c>
      <c r="B102" s="2520" t="s">
        <v>2294</v>
      </c>
      <c r="C102" s="736">
        <f ca="1">C19</f>
        <v>11142</v>
      </c>
      <c r="D102" s="737">
        <f ca="1">D19</f>
        <v>47276</v>
      </c>
      <c r="E102" s="3159"/>
      <c r="F102" s="3113"/>
      <c r="G102" s="2520" t="s">
        <v>2296</v>
      </c>
      <c r="H102" s="371">
        <f ca="1">I118</f>
        <v>22507</v>
      </c>
      <c r="I102" s="138"/>
    </row>
    <row r="103" spans="1:35" ht="42.75" customHeight="1">
      <c r="A103" s="3115"/>
      <c r="B103" s="2520" t="s">
        <v>2296</v>
      </c>
      <c r="C103" s="738">
        <f ca="1">C20</f>
        <v>6883</v>
      </c>
      <c r="D103" s="739">
        <f ca="1">D20</f>
        <v>29203</v>
      </c>
      <c r="E103" s="3154" t="s">
        <v>2297</v>
      </c>
      <c r="F103" s="3155"/>
      <c r="G103" s="2521" t="s">
        <v>2298</v>
      </c>
      <c r="H103" s="1045">
        <f>IF(D36="正常操作",H104+H105+H106,H105+H106)</f>
        <v>0</v>
      </c>
      <c r="I103" s="138"/>
    </row>
    <row r="104" spans="1:35" ht="18.75" customHeight="1">
      <c r="A104" s="3115"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customHeight="1" thickBot="1">
      <c r="A105" s="3116"/>
      <c r="B105" s="2523" t="s">
        <v>2296</v>
      </c>
      <c r="C105" s="742">
        <f ca="1">I118</f>
        <v>22507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112" t="str">
        <f>IF(项目基本情况!E8="已注销","——","3.房地产抵押价值")</f>
        <v>3.房地产抵押价值</v>
      </c>
      <c r="F107" s="3113"/>
      <c r="G107" s="2520" t="s">
        <v>2294</v>
      </c>
      <c r="H107" s="1045">
        <f ca="1">IF(E107="——","——",H101-H103)</f>
        <v>36436</v>
      </c>
      <c r="I107" s="138"/>
    </row>
    <row r="108" spans="1:35" ht="18.75" customHeight="1">
      <c r="A108" s="138"/>
      <c r="B108" s="138"/>
      <c r="C108" s="138"/>
      <c r="D108" s="138"/>
      <c r="E108" s="3112"/>
      <c r="F108" s="3113"/>
      <c r="G108" s="2520" t="s">
        <v>2296</v>
      </c>
      <c r="H108" s="371">
        <f ca="1">ROUND(H107*10000/'数据-汇总表'!E3,0)</f>
        <v>22507</v>
      </c>
      <c r="I108" s="138"/>
    </row>
    <row r="109" spans="1:35" ht="18.75"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0" t="s">
        <v>2294</v>
      </c>
      <c r="H109" s="348" t="str">
        <f>IF(E109="——","——",H101-H105-H106)</f>
        <v>——</v>
      </c>
      <c r="I109" s="138"/>
    </row>
    <row r="110" spans="1:35" ht="18.75" customHeight="1">
      <c r="A110" s="138"/>
      <c r="B110" s="138"/>
      <c r="C110" s="138"/>
      <c r="D110" s="138"/>
      <c r="E110" s="3112"/>
      <c r="F110" s="3113"/>
      <c r="G110" s="2520" t="s">
        <v>2296</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4.抵押净值</v>
      </c>
      <c r="F111" s="3148"/>
      <c r="G111" s="2520" t="s">
        <v>2294</v>
      </c>
      <c r="H111" s="1045">
        <f ca="1">IF(E111="——","——",N59)</f>
        <v>35855</v>
      </c>
      <c r="I111" s="138"/>
    </row>
    <row r="112" spans="1:35" ht="18.75" customHeight="1" thickBot="1">
      <c r="A112" s="138"/>
      <c r="B112" s="138"/>
      <c r="C112" s="138"/>
      <c r="D112" s="138"/>
      <c r="E112" s="3149"/>
      <c r="F112" s="3150"/>
      <c r="G112" s="2525" t="s">
        <v>2296</v>
      </c>
      <c r="H112" s="790">
        <f ca="1">IF(E111="——","——",N61)</f>
        <v>22148</v>
      </c>
      <c r="I112" s="138"/>
    </row>
    <row r="113" spans="1:11" ht="18.75" customHeight="1">
      <c r="A113" s="138"/>
      <c r="B113" s="138"/>
      <c r="C113" s="138"/>
      <c r="D113" s="138"/>
      <c r="E113" s="3117" t="s">
        <v>2302</v>
      </c>
      <c r="F113" s="3117"/>
      <c r="G113" s="3117"/>
      <c r="H113" s="3117"/>
      <c r="I113" s="138"/>
    </row>
    <row r="114" spans="1:11" ht="3.75" customHeight="1">
      <c r="A114" s="2418"/>
      <c r="B114" s="2418"/>
      <c r="C114" s="2418"/>
      <c r="D114" s="2418"/>
      <c r="E114" s="2496"/>
      <c r="F114" s="2496"/>
      <c r="G114" s="2496"/>
      <c r="H114" s="2496"/>
      <c r="I114" s="2418"/>
    </row>
    <row r="115" spans="1:11" ht="18.75" customHeight="1">
      <c r="A115" s="3130" t="s">
        <v>2304</v>
      </c>
      <c r="B115" s="3131"/>
      <c r="C115" s="3131"/>
      <c r="D115" s="3131"/>
      <c r="E115" s="3131"/>
      <c r="F115" s="3131"/>
      <c r="G115" s="3131"/>
      <c r="H115" s="3131"/>
      <c r="I115" s="3132"/>
    </row>
    <row r="116" spans="1:11" ht="27" customHeight="1">
      <c r="A116" s="3023" t="s">
        <v>2305</v>
      </c>
      <c r="B116" s="3118" t="s">
        <v>2306</v>
      </c>
      <c r="C116" s="3118" t="s">
        <v>2307</v>
      </c>
      <c r="D116" s="3134" t="s">
        <v>2308</v>
      </c>
      <c r="E116" s="3135"/>
      <c r="F116" s="3126" t="s">
        <v>2309</v>
      </c>
      <c r="G116" s="3126"/>
      <c r="H116" s="3023" t="s">
        <v>2310</v>
      </c>
      <c r="I116" s="3023"/>
    </row>
    <row r="117" spans="1:11" ht="18.75" customHeight="1">
      <c r="A117" s="3023"/>
      <c r="B117" s="3119"/>
      <c r="C117" s="3119"/>
      <c r="D117" s="1795" t="s">
        <v>2311</v>
      </c>
      <c r="E117" s="1795" t="s">
        <v>2312</v>
      </c>
      <c r="F117" s="1795" t="s">
        <v>2311</v>
      </c>
      <c r="G117" s="1795" t="s">
        <v>2313</v>
      </c>
      <c r="H117" s="1795" t="s">
        <v>2311</v>
      </c>
      <c r="I117" s="1795" t="s">
        <v>2313</v>
      </c>
    </row>
    <row r="118" spans="1:11" ht="24.75" customHeight="1">
      <c r="A118" s="2526" t="str">
        <f>项目基本情况!S2</f>
        <v>北京市出让国有建设用地使用权及在建建筑物房地产</v>
      </c>
      <c r="B118" s="1795">
        <f>M18</f>
        <v>16188.669999999998</v>
      </c>
      <c r="C118" s="1795">
        <f>M19</f>
        <v>9192.5</v>
      </c>
      <c r="D118" s="1795">
        <f ca="1">ROUND(IF(D32="总价",C34,E118*B118/10000),0)</f>
        <v>15303</v>
      </c>
      <c r="E118" s="1795">
        <f ca="1">ROUND(IF(C33="自定义",IF(D32="楼面单价",C34,D118*10000/B118),I118-G118),0)</f>
        <v>9453</v>
      </c>
      <c r="F118" s="1795">
        <f ca="1">ROUND(IF(D32="总价",C35,G118*B118/10000),0)</f>
        <v>21133</v>
      </c>
      <c r="G118" s="1795">
        <f ca="1">ROUND(IF(D32="楼面单价",C35,F118*10000/B118),0)</f>
        <v>13054</v>
      </c>
      <c r="H118" s="1795">
        <f ca="1">ROUND(IF(D32="总价",C32,I118*B118/10000),0)</f>
        <v>36436</v>
      </c>
      <c r="I118" s="1795">
        <f ca="1">ROUND(IF(D32="楼面单价",C32,H118*10000/B118),0)</f>
        <v>22507</v>
      </c>
    </row>
    <row r="119" spans="1:11" ht="18.75" customHeight="1">
      <c r="A119" s="3023" t="s">
        <v>2314</v>
      </c>
      <c r="B119" s="3023"/>
      <c r="C119" s="3023"/>
      <c r="D119" s="3123" t="str">
        <f ca="1">NUMBERSTRING(INT(D118*10000),2)&amp;"元整"</f>
        <v>壹亿伍仟叁佰零叁万元整</v>
      </c>
      <c r="E119" s="3125"/>
      <c r="F119" s="3123" t="str">
        <f ca="1">NUMBERSTRING(INT(F118*10000),2)&amp;"元整"</f>
        <v>贰亿壹仟壹佰叁拾叁万元整</v>
      </c>
      <c r="G119" s="3125"/>
      <c r="H119" s="3123" t="str">
        <f ca="1">NUMBERSTRING(INT(H118*10000),2)&amp;"元整"</f>
        <v>叁亿陆仟肆佰叁拾陆万元整</v>
      </c>
      <c r="I119" s="3125"/>
    </row>
    <row r="120" spans="1:11" ht="18.75" customHeight="1">
      <c r="A120" s="3151" t="str">
        <f>IF(项目基本情况!B9="房地产市场价值","",MID(E103,3,LEN(E103)-2))</f>
        <v>估价师知悉的法定优先受偿款</v>
      </c>
      <c r="B120" s="3152"/>
      <c r="C120" s="3153"/>
      <c r="D120" s="3151">
        <f>H103</f>
        <v>0</v>
      </c>
      <c r="E120" s="3152"/>
      <c r="F120" s="3152"/>
      <c r="G120" s="3152"/>
      <c r="H120" s="3152"/>
      <c r="I120" s="3153"/>
      <c r="K120" s="2423" t="str">
        <f>IF(D120=0,"故，本次评估不存在"&amp;A120,"故，本次评估"&amp;A120&amp;"为人民币"&amp;D120&amp;"万元整。")</f>
        <v>故，本次评估不存在估价师知悉的法定优先受偿款</v>
      </c>
    </row>
    <row r="121" spans="1:11" ht="18.75" customHeight="1">
      <c r="A121" s="3127" t="s">
        <v>2314</v>
      </c>
      <c r="B121" s="3128"/>
      <c r="C121" s="3129"/>
      <c r="D121" s="3123" t="str">
        <f>IF(D120=0,"零元整",NUMBERSTRING(INT(D120*10000),2)&amp;"元整")</f>
        <v>零元整</v>
      </c>
      <c r="E121" s="3124"/>
      <c r="F121" s="3124"/>
      <c r="G121" s="3124"/>
      <c r="H121" s="3124"/>
      <c r="I121" s="3125"/>
    </row>
    <row r="122" spans="1:11" ht="18.75" customHeight="1">
      <c r="A122" s="3114" t="str">
        <f>IF(项目基本情况!B9="房地产市场价值","",MID(E107,3,LEN(E107)-2))</f>
        <v>房地产抵押价值</v>
      </c>
      <c r="B122" s="3114"/>
      <c r="C122" s="3114"/>
      <c r="D122" s="3151">
        <f ca="1">H107</f>
        <v>36436</v>
      </c>
      <c r="E122" s="3152"/>
      <c r="F122" s="3152"/>
      <c r="G122" s="3152"/>
      <c r="H122" s="3152"/>
      <c r="I122" s="3153"/>
    </row>
    <row r="123" spans="1:11" ht="18.75" customHeight="1">
      <c r="A123" s="3023" t="s">
        <v>2314</v>
      </c>
      <c r="B123" s="3023"/>
      <c r="C123" s="3023"/>
      <c r="D123" s="3123" t="str">
        <f ca="1">NUMBERSTRING(INT(D122*10000),2)&amp;"元整"</f>
        <v>叁亿陆仟肆佰叁拾陆万元整</v>
      </c>
      <c r="E123" s="3124"/>
      <c r="F123" s="3124"/>
      <c r="G123" s="3124"/>
      <c r="H123" s="3124"/>
      <c r="I123" s="3125"/>
    </row>
    <row r="124" spans="1:11" ht="18.75" customHeight="1">
      <c r="A124" s="3114" t="str">
        <f>IF(项目基本情况!B9="房地产市场价值","",MID(E109,3,LEN(E109)-2))</f>
        <v/>
      </c>
      <c r="B124" s="3114"/>
      <c r="C124" s="3114"/>
      <c r="D124" s="3151" t="str">
        <f>H109</f>
        <v>——</v>
      </c>
      <c r="E124" s="3152"/>
      <c r="F124" s="3152"/>
      <c r="G124" s="3152"/>
      <c r="H124" s="3152"/>
      <c r="I124" s="3153"/>
    </row>
    <row r="125" spans="1:11" ht="18.75" customHeight="1">
      <c r="A125" s="3023" t="s">
        <v>2314</v>
      </c>
      <c r="B125" s="3023"/>
      <c r="C125" s="3023"/>
      <c r="D125" s="3123" t="e">
        <f>NUMBERSTRING(INT(D124*10000),2)&amp;"元整"</f>
        <v>#VALUE!</v>
      </c>
      <c r="E125" s="3124"/>
      <c r="F125" s="3124"/>
      <c r="G125" s="3124"/>
      <c r="H125" s="3124"/>
      <c r="I125" s="3125"/>
    </row>
    <row r="126" spans="1:11" ht="18.75" customHeight="1">
      <c r="A126" s="3114" t="str">
        <f>IF(项目基本情况!B9="房地产市场价值","",MID(E111,3,LEN(E111)-2))</f>
        <v>抵押净值</v>
      </c>
      <c r="B126" s="3114"/>
      <c r="C126" s="3114"/>
      <c r="D126" s="3151">
        <f ca="1">H111</f>
        <v>35855</v>
      </c>
      <c r="E126" s="3152"/>
      <c r="F126" s="3152"/>
      <c r="G126" s="3152"/>
      <c r="H126" s="3152"/>
      <c r="I126" s="3153"/>
    </row>
    <row r="127" spans="1:11" ht="18.75" customHeight="1">
      <c r="A127" s="3023" t="s">
        <v>2314</v>
      </c>
      <c r="B127" s="3023"/>
      <c r="C127" s="3023"/>
      <c r="D127" s="3123" t="str">
        <f ca="1">NUMBERSTRING(INT(D126*10000),2)&amp;"元整"</f>
        <v>叁亿伍仟捌佰伍拾伍万元整</v>
      </c>
      <c r="E127" s="3124"/>
      <c r="F127" s="3124"/>
      <c r="G127" s="3124"/>
      <c r="H127" s="3124"/>
      <c r="I127" s="3125"/>
    </row>
    <row r="128" spans="1:11" ht="21.75" customHeight="1">
      <c r="A128" s="3133" t="s">
        <v>2315</v>
      </c>
      <c r="B128" s="3133"/>
      <c r="C128" s="3133"/>
      <c r="D128" s="3133"/>
      <c r="E128" s="3133"/>
      <c r="F128" s="3133"/>
      <c r="G128" s="3133"/>
      <c r="H128" s="3133"/>
      <c r="I128" s="3133"/>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zoomScale="85" zoomScaleNormal="85" workbookViewId="0">
      <selection activeCell="E34" sqref="E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6</v>
      </c>
      <c r="C1" s="242"/>
      <c r="D1" s="242"/>
      <c r="E1" s="242"/>
      <c r="F1" s="242"/>
      <c r="G1" s="1379">
        <f>MATCH(B1,'数据-取费表'!A6:A16,0)+5</f>
        <v>6</v>
      </c>
    </row>
    <row r="2" spans="1:9" s="244" customFormat="1" ht="18" customHeight="1">
      <c r="A2" s="245" t="s">
        <v>2324</v>
      </c>
      <c r="B2" s="246">
        <f ca="1">IF(D2="——",C52,C52-E2)</f>
        <v>11142</v>
      </c>
      <c r="C2" s="243" t="s">
        <v>2325</v>
      </c>
      <c r="D2" s="2549" t="s">
        <v>70</v>
      </c>
      <c r="E2" s="1440"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6883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2951</v>
      </c>
      <c r="D5" s="255" t="s">
        <v>2331</v>
      </c>
      <c r="E5" s="256" t="s">
        <v>2332</v>
      </c>
      <c r="F5" s="256" t="s">
        <v>2333</v>
      </c>
      <c r="G5" s="257"/>
    </row>
    <row r="6" spans="1:9" s="258" customFormat="1" ht="13.5" customHeight="1">
      <c r="A6" s="949" t="s">
        <v>2334</v>
      </c>
      <c r="B6" s="259" t="s">
        <v>2335</v>
      </c>
      <c r="C6" s="260">
        <f ca="1">基准地价修正!B2</f>
        <v>2565</v>
      </c>
      <c r="D6" s="261"/>
      <c r="E6" s="262"/>
      <c r="F6" s="262"/>
      <c r="G6" s="263"/>
    </row>
    <row r="7" spans="1:9" s="258" customFormat="1" ht="13.5" customHeight="1">
      <c r="A7" s="949" t="s">
        <v>2336</v>
      </c>
      <c r="B7" s="259" t="s">
        <v>2337</v>
      </c>
      <c r="C7" s="264">
        <f ca="1">ROUND(C6*F7,0)</f>
        <v>78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308</v>
      </c>
      <c r="D8" s="266"/>
      <c r="E8" s="264"/>
      <c r="F8" s="265"/>
      <c r="G8" s="2552" t="s">
        <v>3077</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3" t="s">
        <v>3078</v>
      </c>
      <c r="H9" s="1390"/>
      <c r="I9" s="2554" t="s">
        <v>2341</v>
      </c>
    </row>
    <row r="10" spans="1:9" s="258" customFormat="1" ht="13.5" customHeight="1">
      <c r="A10" s="950" t="s">
        <v>801</v>
      </c>
      <c r="B10" s="268" t="s">
        <v>2342</v>
      </c>
      <c r="C10" s="269">
        <f ca="1">ROUND(D10*E10/10000,0)</f>
        <v>308</v>
      </c>
      <c r="D10" s="1032">
        <f ca="1">IF(B1="",'数据-汇总表'!E6,IF(INDIRECT("'数据-取费表'!c"&amp;$G$1)="住宅",INDIRECT("'数据-取费表'!s"&amp;$G$1),INDIRECT("'数据-取费表'!k"&amp;$G$1)+INDIRECT("'数据-取费表'!s"&amp;$G$1)))</f>
        <v>16188.670000000002</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16188.670000000002</v>
      </c>
      <c r="E19" s="255">
        <f>'数据-取费表'!B31</f>
        <v>200</v>
      </c>
      <c r="F19" s="275"/>
      <c r="G19" s="2552" t="s">
        <v>3079</v>
      </c>
    </row>
    <row r="20" spans="1:7" s="258" customFormat="1" ht="13.5" customHeight="1">
      <c r="A20" s="299" t="s">
        <v>2355</v>
      </c>
      <c r="B20" s="254" t="s">
        <v>2356</v>
      </c>
      <c r="C20" s="276">
        <f ca="1">ROUND((C5+C19)*F20,0)</f>
        <v>89</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4">
        <f ca="1">ROUND(SUM(C23:C25),0)</f>
        <v>447</v>
      </c>
      <c r="D22" s="279">
        <f ca="1">C26</f>
        <v>2.2000000000000001E-3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441</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v>
      </c>
      <c r="D25" s="282"/>
      <c r="E25" s="285"/>
      <c r="F25" s="283"/>
      <c r="G25" s="286" t="s">
        <v>2372</v>
      </c>
    </row>
    <row r="26" spans="1:7" s="258" customFormat="1">
      <c r="A26" s="951" t="s">
        <v>795</v>
      </c>
      <c r="B26" s="259" t="s">
        <v>2373</v>
      </c>
      <c r="C26" s="282">
        <f ca="1">ROUND(IF('数据-取费表'!B22&lt;=1,F21*F22*'数据-取费表'!B23/2,F21*(POWER((1+F22),'数据-取费表'!B23/2)-1)),4)</f>
        <v>2.2000000000000001E-3</v>
      </c>
      <c r="D26" s="282"/>
      <c r="E26" s="285"/>
      <c r="F26" s="283"/>
      <c r="G26" s="287"/>
    </row>
    <row r="27" spans="1:7" s="258" customFormat="1" ht="24.75">
      <c r="A27" s="299" t="s">
        <v>2374</v>
      </c>
      <c r="B27" s="288" t="s">
        <v>2375</v>
      </c>
      <c r="C27" s="289">
        <f ca="1">C28</f>
        <v>760</v>
      </c>
      <c r="D27" s="279">
        <f ca="1">C29</f>
        <v>7.4999999999999997E-3</v>
      </c>
      <c r="E27" s="280" t="s">
        <v>2376</v>
      </c>
      <c r="F27" s="290">
        <f ca="1">IF(B1="",'数据-取费表'!Q16,INDIRECT("'数据-取费表'!q"&amp;$G$1))</f>
        <v>0.25</v>
      </c>
      <c r="G27" s="291" t="s">
        <v>2377</v>
      </c>
    </row>
    <row r="28" spans="1:7" s="258" customFormat="1" ht="13.5" customHeight="1">
      <c r="A28" s="951" t="s">
        <v>791</v>
      </c>
      <c r="B28" s="292" t="s">
        <v>2378</v>
      </c>
      <c r="C28" s="293">
        <f ca="1">ROUND((C5+C19+C20)*F27*'数据-取费表'!B21/'数据-取费表'!B20,0)</f>
        <v>760</v>
      </c>
      <c r="D28" s="279"/>
      <c r="E28" s="280"/>
      <c r="F28" s="290"/>
      <c r="G28" s="291"/>
    </row>
    <row r="29" spans="1:7" s="258" customFormat="1" ht="13.5" customHeight="1">
      <c r="A29" s="951" t="s">
        <v>792</v>
      </c>
      <c r="B29" s="292" t="s">
        <v>2379</v>
      </c>
      <c r="C29" s="282">
        <f ca="1">ROUND(C21*F27*'数据-取费表'!B21/'数据-取费表'!B20,4)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4678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4634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4047</v>
      </c>
      <c r="D34" s="261"/>
      <c r="E34" s="264"/>
      <c r="F34" s="301">
        <f ca="1">IF('数据-取费表'!B24=0,1,IF(B1="",'数据-取费表'!N16,INDIRECT("'数据-取费表'!n"&amp;$G$1)))</f>
        <v>1</v>
      </c>
      <c r="G34" s="263" t="s">
        <v>2388</v>
      </c>
    </row>
    <row r="35" spans="1:7" ht="13.5" customHeight="1">
      <c r="A35" s="951" t="s">
        <v>796</v>
      </c>
      <c r="B35" s="259" t="s">
        <v>2389</v>
      </c>
      <c r="C35" s="264">
        <f ca="1">ROUND(C34*F35,0)</f>
        <v>202</v>
      </c>
      <c r="D35" s="264"/>
      <c r="E35" s="264"/>
      <c r="F35" s="303">
        <f>'数据-取费表'!B33</f>
        <v>0.05</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324</v>
      </c>
      <c r="D37" s="261">
        <f ca="1">D19</f>
        <v>16188.670000000002</v>
      </c>
      <c r="E37" s="293">
        <f>'数据-取费表'!B35</f>
        <v>200</v>
      </c>
      <c r="F37" s="303"/>
      <c r="G37" s="305" t="s">
        <v>2394</v>
      </c>
    </row>
    <row r="38" spans="1:7" ht="13.5" customHeight="1">
      <c r="A38" s="951" t="s">
        <v>799</v>
      </c>
      <c r="B38" s="259" t="s">
        <v>2395</v>
      </c>
      <c r="C38" s="264">
        <f ca="1">ROUND(C34*F38,0)</f>
        <v>61</v>
      </c>
      <c r="D38" s="264"/>
      <c r="E38" s="264"/>
      <c r="F38" s="303">
        <f>'数据-取费表'!B36</f>
        <v>1.4999999999999999E-2</v>
      </c>
      <c r="G38" s="263" t="s">
        <v>2390</v>
      </c>
    </row>
    <row r="39" spans="1:7" s="258" customFormat="1" ht="13.5" customHeight="1">
      <c r="A39" s="299" t="s">
        <v>2396</v>
      </c>
      <c r="B39" s="254" t="s">
        <v>2397</v>
      </c>
      <c r="C39" s="276">
        <f ca="1">ROUND(C33*F20,0)</f>
        <v>139</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344</v>
      </c>
      <c r="D41" s="279">
        <f ca="1">C44</f>
        <v>2.2000000000000001E-3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334</v>
      </c>
      <c r="D42" s="282"/>
      <c r="E42" s="282"/>
      <c r="F42" s="283"/>
      <c r="G42" s="3165" t="s">
        <v>2406</v>
      </c>
    </row>
    <row r="43" spans="1:7" ht="13.5" customHeight="1">
      <c r="A43" s="951" t="s">
        <v>792</v>
      </c>
      <c r="B43" s="259" t="s">
        <v>2407</v>
      </c>
      <c r="C43" s="282">
        <f ca="1">ROUND(IF('数据-取费表'!B22&lt;=1,C39*F22*'数据-取费表'!B21/2,C39*(POWER((1+F22),'数据-取费表'!B21/2)-1)),0)</f>
        <v>10</v>
      </c>
      <c r="D43" s="282"/>
      <c r="E43" s="282"/>
      <c r="F43" s="283"/>
      <c r="G43" s="3166"/>
    </row>
    <row r="44" spans="1:7" ht="13.5" customHeight="1">
      <c r="A44" s="951" t="s">
        <v>793</v>
      </c>
      <c r="B44" s="259" t="s">
        <v>2408</v>
      </c>
      <c r="C44" s="282">
        <f ca="1">ROUND(IF('数据-取费表'!B22&lt;=1,C40*F22*'数据-取费表'!B21/2,C40*(POWER((1+F22),'数据-取费表'!B21/2)-1)),4)</f>
        <v>2.2000000000000001E-3</v>
      </c>
      <c r="D44" s="282"/>
      <c r="E44" s="282"/>
      <c r="F44" s="283"/>
      <c r="G44" s="3167"/>
    </row>
    <row r="45" spans="1:7" s="258" customFormat="1" ht="13.5" customHeight="1">
      <c r="A45" s="299" t="s">
        <v>2409</v>
      </c>
      <c r="B45" s="288" t="s">
        <v>2375</v>
      </c>
      <c r="C45" s="289">
        <f ca="1">C46</f>
        <v>1193</v>
      </c>
      <c r="D45" s="279">
        <f ca="1">C47</f>
        <v>7.4999999999999997E-3</v>
      </c>
      <c r="E45" s="280" t="s">
        <v>2401</v>
      </c>
      <c r="F45" s="290"/>
      <c r="G45" s="291" t="s">
        <v>2410</v>
      </c>
    </row>
    <row r="46" spans="1:7" s="258" customFormat="1" ht="13.5" customHeight="1">
      <c r="A46" s="951" t="s">
        <v>791</v>
      </c>
      <c r="B46" s="292" t="s">
        <v>2411</v>
      </c>
      <c r="C46" s="293">
        <f ca="1">ROUND((C33+C39)*F27,0)</f>
        <v>1193</v>
      </c>
      <c r="D46" s="307"/>
      <c r="E46" s="280"/>
      <c r="F46" s="290"/>
      <c r="G46" s="291"/>
    </row>
    <row r="47" spans="1:7" s="258" customFormat="1" ht="13.5" customHeight="1">
      <c r="A47" s="951" t="s">
        <v>792</v>
      </c>
      <c r="B47" s="292" t="s">
        <v>2412</v>
      </c>
      <c r="C47" s="282">
        <f ca="1">ROUND(C40*F27,4)</f>
        <v>7.4999999999999997E-3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6950</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6464</v>
      </c>
      <c r="D51" s="276"/>
      <c r="E51" s="276"/>
      <c r="F51" s="308"/>
      <c r="G51" s="278" t="s">
        <v>2422</v>
      </c>
    </row>
    <row r="52" spans="1:7" s="252" customFormat="1" ht="16.5" thickBot="1">
      <c r="A52" s="309" t="s">
        <v>2423</v>
      </c>
      <c r="B52" s="310"/>
      <c r="C52" s="311">
        <f ca="1">C31+C51</f>
        <v>11142</v>
      </c>
      <c r="D52" s="310"/>
      <c r="E52" s="310"/>
      <c r="F52" s="310"/>
      <c r="G52" s="312"/>
    </row>
    <row r="55" spans="1:7" ht="15">
      <c r="B55" s="314" t="s">
        <v>2424</v>
      </c>
      <c r="C55" s="315"/>
    </row>
    <row r="56" spans="1:7">
      <c r="B56" s="317" t="s">
        <v>1507</v>
      </c>
      <c r="C56" s="319">
        <f ca="1">1-C57</f>
        <v>0.42000000000000004</v>
      </c>
    </row>
    <row r="57" spans="1:7">
      <c r="B57" s="317" t="s">
        <v>1508</v>
      </c>
      <c r="C57" s="318">
        <f ca="1">ROUND(C51/C52,3)</f>
        <v>0.57999999999999996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9" t="str">
        <f>项目基本情况!B1</f>
        <v>北京市出让国有建设用地使用权及在建建筑物房地产抵押价值预评估</v>
      </c>
      <c r="C37" s="2979"/>
      <c r="D37" s="2979"/>
      <c r="E37" s="2979"/>
      <c r="F37" s="2979"/>
      <c r="G37" s="2979"/>
      <c r="H37" s="2979"/>
      <c r="I37" s="2979"/>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5"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7465</v>
      </c>
      <c r="C2" s="243" t="s">
        <v>2325</v>
      </c>
      <c r="D2" s="2549" t="s">
        <v>70</v>
      </c>
      <c r="E2" s="1440"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4611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3075847</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3075847</v>
      </c>
      <c r="D8" s="266"/>
      <c r="E8" s="264"/>
      <c r="F8" s="265"/>
      <c r="G8" s="2552"/>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3075847</v>
      </c>
      <c r="D10" s="1032">
        <f ca="1">IF(B1="",'数据-汇总表'!E6,IF(INDIRECT("'数据-取费表'!c"&amp;$G$1)="住宅",INDIRECT("'数据-取费表'!s"&amp;$G$1),INDIRECT("'数据-取费表'!k"&amp;$G$1)+INDIRECT("'数据-取费表'!s"&amp;$G$1)))</f>
        <v>16188.669999999998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3237734</v>
      </c>
      <c r="D19" s="1036">
        <f ca="1">D9+D10</f>
        <v>16188.669999999998</v>
      </c>
      <c r="E19" s="255">
        <f>'数据-取费表'!B31</f>
        <v>200</v>
      </c>
      <c r="F19" s="275"/>
      <c r="G19" s="2552"/>
    </row>
    <row r="20" spans="1:7" s="258" customFormat="1" ht="13.5" customHeight="1">
      <c r="A20" s="299" t="s">
        <v>2436</v>
      </c>
      <c r="B20" s="254" t="s">
        <v>2437</v>
      </c>
      <c r="C20" s="276">
        <f ca="1">ROUND((C5+C19)*F20,0)</f>
        <v>189407</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0">
        <f ca="1">ROUND(SUM(C23:C25),0)</f>
        <v>956751</v>
      </c>
      <c r="D22" s="279">
        <f ca="1">C26</f>
        <v>2.2000000000000001E-3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459457</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483640</v>
      </c>
      <c r="D24" s="282"/>
      <c r="E24" s="282"/>
      <c r="F24" s="283"/>
      <c r="G24" s="284" t="s">
        <v>2448</v>
      </c>
    </row>
    <row r="25" spans="1:7" s="258" customFormat="1" ht="24">
      <c r="A25" s="951" t="s">
        <v>2338</v>
      </c>
      <c r="B25" s="259" t="s">
        <v>2449</v>
      </c>
      <c r="C25" s="1381">
        <f ca="1">ROUND(IF('数据-取费表'!B22&lt;=1,C20*F22*'数据-取费表'!B22/2,C20*(POWER((1+F22),'数据-取费表'!B22/2)-1)),0)</f>
        <v>13654</v>
      </c>
      <c r="D25" s="282"/>
      <c r="E25" s="285"/>
      <c r="F25" s="283"/>
      <c r="G25" s="286" t="s">
        <v>2450</v>
      </c>
    </row>
    <row r="26" spans="1:7" s="258" customFormat="1">
      <c r="A26" s="951" t="s">
        <v>795</v>
      </c>
      <c r="B26" s="259" t="s">
        <v>2373</v>
      </c>
      <c r="C26" s="282">
        <f ca="1">ROUND(IF('数据-取费表'!B22&lt;=1,F21*F22*'数据-取费表'!B22/2,F21*(POWER((1+F22),'数据-取费表'!B22/2)-1)),4)</f>
        <v>2.2000000000000001E-3</v>
      </c>
      <c r="D26" s="282"/>
      <c r="E26" s="285"/>
      <c r="F26" s="283"/>
      <c r="G26" s="287"/>
    </row>
    <row r="27" spans="1:7" s="258" customFormat="1" ht="24.75">
      <c r="A27" s="299" t="s">
        <v>2374</v>
      </c>
      <c r="B27" s="288" t="s">
        <v>2375</v>
      </c>
      <c r="C27" s="289">
        <f ca="1">C28</f>
        <v>1625747</v>
      </c>
      <c r="D27" s="279">
        <f ca="1">C29</f>
        <v>7.4999999999999997E-3</v>
      </c>
      <c r="E27" s="280" t="s">
        <v>2376</v>
      </c>
      <c r="F27" s="290">
        <f ca="1">IF(B1="",'数据-取费表'!Q16,INDIRECT("'数据-取费表'!q"&amp;$G$1))</f>
        <v>0.25</v>
      </c>
      <c r="G27" s="291" t="s">
        <v>2377</v>
      </c>
    </row>
    <row r="28" spans="1:7" s="258" customFormat="1" ht="13.5" customHeight="1">
      <c r="A28" s="951" t="s">
        <v>791</v>
      </c>
      <c r="B28" s="292" t="s">
        <v>2378</v>
      </c>
      <c r="C28" s="293">
        <f ca="1">ROUND((C5+C19+C20)*F27,0)</f>
        <v>1625747</v>
      </c>
      <c r="D28" s="279"/>
      <c r="E28" s="280"/>
      <c r="F28" s="290"/>
      <c r="G28" s="291"/>
    </row>
    <row r="29" spans="1:7" s="258" customFormat="1" ht="13.5" customHeight="1">
      <c r="A29" s="951" t="s">
        <v>792</v>
      </c>
      <c r="B29" s="292" t="s">
        <v>2379</v>
      </c>
      <c r="C29" s="282">
        <f ca="1">ROUND(C21*F27,4)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10007144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46340068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40471675</v>
      </c>
      <c r="D34" s="261"/>
      <c r="E34" s="264"/>
      <c r="F34" s="301"/>
      <c r="G34" s="263"/>
    </row>
    <row r="35" spans="1:7" ht="13.5" customHeight="1">
      <c r="A35" s="951" t="s">
        <v>796</v>
      </c>
      <c r="B35" s="259" t="s">
        <v>2389</v>
      </c>
      <c r="C35" s="264">
        <f ca="1">ROUND(C34*F35,0)</f>
        <v>2023584</v>
      </c>
      <c r="D35" s="264"/>
      <c r="E35" s="264"/>
      <c r="F35" s="303">
        <f>'数据-取费表'!B33</f>
        <v>0.05</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3237734</v>
      </c>
      <c r="D37" s="261">
        <f ca="1">D19</f>
        <v>16188.669999999998</v>
      </c>
      <c r="E37" s="293">
        <f>'数据-取费表'!B35</f>
        <v>200</v>
      </c>
      <c r="F37" s="303"/>
      <c r="G37" s="305"/>
    </row>
    <row r="38" spans="1:7" ht="13.5" customHeight="1">
      <c r="A38" s="951" t="s">
        <v>799</v>
      </c>
      <c r="B38" s="259" t="s">
        <v>2395</v>
      </c>
      <c r="C38" s="264">
        <f ca="1">ROUND(C34*F38,0)</f>
        <v>607075</v>
      </c>
      <c r="D38" s="264"/>
      <c r="E38" s="264"/>
      <c r="F38" s="303">
        <f>'数据-取费表'!B36</f>
        <v>1.4999999999999999E-2</v>
      </c>
      <c r="G38" s="263" t="s">
        <v>2390</v>
      </c>
    </row>
    <row r="39" spans="1:7" s="258" customFormat="1" ht="13.5" customHeight="1">
      <c r="A39" s="299" t="s">
        <v>2396</v>
      </c>
      <c r="B39" s="254" t="s">
        <v>2397</v>
      </c>
      <c r="C39" s="276">
        <f ca="1">ROUND(C33*F20,0)</f>
        <v>1390202</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3440852</v>
      </c>
      <c r="D41" s="279">
        <f ca="1">C44</f>
        <v>2.2000000000000001E-3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3340633</v>
      </c>
      <c r="D42" s="282"/>
      <c r="E42" s="282"/>
      <c r="F42" s="283"/>
      <c r="G42" s="3165" t="s">
        <v>2453</v>
      </c>
    </row>
    <row r="43" spans="1:7" ht="13.5" customHeight="1">
      <c r="A43" s="951" t="s">
        <v>792</v>
      </c>
      <c r="B43" s="259" t="s">
        <v>2407</v>
      </c>
      <c r="C43" s="282">
        <f ca="1">ROUND(IF('数据-取费表'!B22&lt;=1,C39*F22*'数据-取费表'!B20/2,C39*(POWER((1+F22),'数据-取费表'!B20/2)-1)),0)</f>
        <v>100219</v>
      </c>
      <c r="D43" s="282"/>
      <c r="E43" s="282"/>
      <c r="F43" s="283"/>
      <c r="G43" s="3166"/>
    </row>
    <row r="44" spans="1:7" ht="13.5" customHeight="1">
      <c r="A44" s="951" t="s">
        <v>793</v>
      </c>
      <c r="B44" s="259" t="s">
        <v>2408</v>
      </c>
      <c r="C44" s="282">
        <f ca="1">ROUND(IF('数据-取费表'!B22&lt;=1,C40*F22*'数据-取费表'!B20/2,C40*(POWER((1+F22),'数据-取费表'!B20/2)-1)),4)</f>
        <v>2.2000000000000001E-3</v>
      </c>
      <c r="D44" s="282"/>
      <c r="E44" s="282"/>
      <c r="F44" s="283"/>
      <c r="G44" s="3167"/>
    </row>
    <row r="45" spans="1:7" s="258" customFormat="1" ht="13.5" customHeight="1">
      <c r="A45" s="299" t="s">
        <v>2409</v>
      </c>
      <c r="B45" s="288" t="s">
        <v>2375</v>
      </c>
      <c r="C45" s="289">
        <f ca="1">C46</f>
        <v>11932568</v>
      </c>
      <c r="D45" s="279">
        <f ca="1">C47</f>
        <v>7.4999999999999997E-3</v>
      </c>
      <c r="E45" s="280" t="s">
        <v>2401</v>
      </c>
      <c r="F45" s="290"/>
      <c r="G45" s="291" t="s">
        <v>2410</v>
      </c>
    </row>
    <row r="46" spans="1:7" s="258" customFormat="1" ht="13.5" customHeight="1">
      <c r="A46" s="951" t="s">
        <v>791</v>
      </c>
      <c r="B46" s="292" t="s">
        <v>2411</v>
      </c>
      <c r="C46" s="293">
        <f ca="1">ROUND((C33+C39)*F27,0)</f>
        <v>11932568</v>
      </c>
      <c r="D46" s="307"/>
      <c r="E46" s="280"/>
      <c r="F46" s="290"/>
      <c r="G46" s="291"/>
    </row>
    <row r="47" spans="1:7" s="258" customFormat="1" ht="13.5" customHeight="1">
      <c r="A47" s="951" t="s">
        <v>792</v>
      </c>
      <c r="B47" s="292" t="s">
        <v>2412</v>
      </c>
      <c r="C47" s="282">
        <f ca="1">ROUND(C40*F27,4)</f>
        <v>7.4999999999999997E-3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69505111</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64639753</v>
      </c>
      <c r="D51" s="276"/>
      <c r="E51" s="276"/>
      <c r="F51" s="308"/>
      <c r="G51" s="278" t="s">
        <v>2422</v>
      </c>
    </row>
    <row r="52" spans="1:7" s="252" customFormat="1" ht="16.5" thickBot="1">
      <c r="A52" s="309" t="s">
        <v>2423</v>
      </c>
      <c r="B52" s="310"/>
      <c r="C52" s="311">
        <f ca="1">C31+C51</f>
        <v>74646897</v>
      </c>
      <c r="D52" s="310"/>
      <c r="E52" s="310"/>
      <c r="F52" s="310"/>
      <c r="G52" s="312"/>
    </row>
    <row r="55" spans="1:7" ht="15">
      <c r="B55" s="314" t="s">
        <v>2424</v>
      </c>
      <c r="C55" s="315"/>
    </row>
    <row r="56" spans="1:7">
      <c r="B56" s="317" t="s">
        <v>1507</v>
      </c>
      <c r="C56" s="319">
        <f ca="1">1-C57</f>
        <v>0.13400000000000001</v>
      </c>
    </row>
    <row r="57" spans="1:7">
      <c r="B57" s="317" t="s">
        <v>1508</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6" t="s">
        <v>2462</v>
      </c>
      <c r="D5" s="2556" t="s">
        <v>2463</v>
      </c>
      <c r="E5" s="2556" t="s">
        <v>2464</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0.05</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16188.669999999998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16188.669999999998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8"/>
      <c r="H18" s="1577"/>
      <c r="I18" s="2559"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308</v>
      </c>
      <c r="D20" s="1033">
        <f ca="1">IF(C1="",'数据-汇总表'!E6,IF(INDIRECT("'数据-取费表'!c"&amp;$K$1)="住宅",INDIRECT("'数据-取费表'!s"&amp;$K$1),INDIRECT("'数据-取费表'!k"&amp;$K$1)+INDIRECT("'数据-取费表'!s"&amp;$K$1)))</f>
        <v>16188.669999999998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0.03</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2506</v>
      </c>
      <c r="B28" s="2561" t="s">
        <v>2507</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2"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70" zoomScaleNormal="70" zoomScaleSheetLayoutView="90" workbookViewId="0">
      <selection activeCell="D23" sqref="D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42.32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47276</v>
      </c>
      <c r="C2" s="1845" t="s">
        <v>1510</v>
      </c>
      <c r="D2" s="1845"/>
      <c r="E2" s="1846"/>
      <c r="F2" s="1847"/>
      <c r="G2" s="1848"/>
      <c r="H2" s="1840"/>
      <c r="I2" s="1840"/>
      <c r="J2" s="1840"/>
      <c r="K2" s="1841"/>
      <c r="L2" s="1840"/>
      <c r="M2" s="1840"/>
    </row>
    <row r="3" spans="1:37" ht="18" customHeight="1" thickBot="1">
      <c r="A3" s="1849" t="s">
        <v>1511</v>
      </c>
      <c r="B3" s="1850">
        <f ca="1">IF(ISERROR(B2*10000/F43),0,ROUND(B2*10000/F43,0))</f>
        <v>29203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2024</v>
      </c>
      <c r="D5" s="1822" t="s">
        <v>1396</v>
      </c>
      <c r="E5" s="1293"/>
      <c r="F5" s="1294"/>
      <c r="G5" s="1851"/>
      <c r="H5" s="344">
        <v>1</v>
      </c>
      <c r="I5" s="345" t="s">
        <v>1395</v>
      </c>
      <c r="J5" s="1292">
        <f ca="1">J6+J10+J12</f>
        <v>0</v>
      </c>
      <c r="K5" s="1822" t="s">
        <v>1396</v>
      </c>
      <c r="L5" s="1293"/>
      <c r="M5" s="1294"/>
    </row>
    <row r="6" spans="1:37" ht="18" customHeight="1">
      <c r="A6" s="1291" t="s">
        <v>1031</v>
      </c>
      <c r="B6" s="3170" t="s">
        <v>1397</v>
      </c>
      <c r="C6" s="1296">
        <f ca="1">ROUND(F6*F8*F7*(1-F9)/10000,0)</f>
        <v>2021</v>
      </c>
      <c r="D6" s="164" t="s">
        <v>3028</v>
      </c>
      <c r="E6" s="347" t="s">
        <v>1399</v>
      </c>
      <c r="F6" s="348">
        <f ca="1">INDIRECT("'数据-取费表'!u"&amp;$G$1)</f>
        <v>3.6</v>
      </c>
      <c r="G6" s="1851"/>
      <c r="H6" s="1291" t="s">
        <v>1031</v>
      </c>
      <c r="I6" s="3170" t="s">
        <v>1397</v>
      </c>
      <c r="J6" s="346">
        <f ca="1">ROUND(M6*M8*M7*(1-M9)/10000,0)</f>
        <v>0</v>
      </c>
      <c r="K6" s="164" t="s">
        <v>3027</v>
      </c>
      <c r="L6" s="347" t="s">
        <v>1399</v>
      </c>
      <c r="M6" s="348">
        <f ca="1">INDIRECT("'数据-取费表'!z"&amp;$G$1)</f>
        <v>0</v>
      </c>
    </row>
    <row r="7" spans="1:37" ht="18" customHeight="1">
      <c r="A7" s="1295"/>
      <c r="B7" s="3171"/>
      <c r="C7" s="1297"/>
      <c r="D7" s="352"/>
      <c r="E7" s="1298" t="s">
        <v>1400</v>
      </c>
      <c r="F7" s="348">
        <f ca="1">IF(INDIRECT("'数据-取费表'!ah"&amp;$G$1)="",INDIRECT("'数据-取费表'!k"&amp;$G$1),INDIRECT("'数据-取费表'!ah"&amp;$G$1))</f>
        <v>16188.670000000002</v>
      </c>
      <c r="G7" s="1851"/>
      <c r="H7" s="349"/>
      <c r="I7" s="3171"/>
      <c r="J7" s="351"/>
      <c r="K7" s="352"/>
      <c r="L7" s="347" t="s">
        <v>1400</v>
      </c>
      <c r="M7" s="348">
        <f ca="1">F7</f>
        <v>16188.670000000002</v>
      </c>
    </row>
    <row r="8" spans="1:37" ht="18" customHeight="1">
      <c r="A8" s="349"/>
      <c r="B8" s="3171"/>
      <c r="C8" s="351"/>
      <c r="D8" s="352"/>
      <c r="E8" s="347" t="s">
        <v>1401</v>
      </c>
      <c r="F8" s="348">
        <f ca="1">INDIRECT("'数据-取费表'!ai"&amp;$G$1)</f>
        <v>365</v>
      </c>
      <c r="G8" s="1851"/>
      <c r="H8" s="349"/>
      <c r="I8" s="3171"/>
      <c r="J8" s="351"/>
      <c r="K8" s="352"/>
      <c r="L8" s="347" t="s">
        <v>1401</v>
      </c>
      <c r="M8" s="348">
        <f ca="1">INDIRECT("'数据-取费表'!ai"&amp;$G$1)</f>
        <v>365</v>
      </c>
    </row>
    <row r="9" spans="1:37" ht="18" customHeight="1">
      <c r="A9" s="349"/>
      <c r="B9" s="3172"/>
      <c r="C9" s="351"/>
      <c r="D9" s="352"/>
      <c r="E9" s="347" t="s">
        <v>1402</v>
      </c>
      <c r="F9" s="357">
        <f ca="1">INDIRECT("'数据-取费表'!w"&amp;$G$1)</f>
        <v>0.05</v>
      </c>
      <c r="G9" s="1851"/>
      <c r="H9" s="349"/>
      <c r="I9" s="3172"/>
      <c r="J9" s="351"/>
      <c r="K9" s="352"/>
      <c r="L9" s="358" t="s">
        <v>1402</v>
      </c>
      <c r="M9" s="359">
        <f ca="1">INDIRECT("'数据-取费表'!ab"&amp;$G$1)</f>
        <v>0</v>
      </c>
    </row>
    <row r="10" spans="1:37" ht="18" customHeight="1">
      <c r="A10" s="1291" t="s">
        <v>1035</v>
      </c>
      <c r="B10" s="1823" t="s">
        <v>1403</v>
      </c>
      <c r="C10" s="361">
        <f ca="1">ROUND(IF(F10="押一",C6/12*F11,IF(F10="押二",C6/12*2*F11,IF(F10="押三",C6/12*3*F11,C11*F11))),0)</f>
        <v>3</v>
      </c>
      <c r="D10" s="1824" t="s">
        <v>3037</v>
      </c>
      <c r="E10" s="358" t="s">
        <v>1404</v>
      </c>
      <c r="F10" s="1366" t="s">
        <v>3080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6464</v>
      </c>
      <c r="D13" s="1331" t="s">
        <v>1409</v>
      </c>
      <c r="E13" s="1331" t="s">
        <v>1410</v>
      </c>
      <c r="F13" s="1332">
        <f ca="1">INDIRECT("'数据-取费表'!y"&amp;$G$1)</f>
        <v>0.93</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4047</v>
      </c>
      <c r="D14" s="1800" t="s">
        <v>1412</v>
      </c>
      <c r="E14" s="1794"/>
      <c r="F14" s="364"/>
      <c r="G14" s="1851"/>
      <c r="H14" s="1201" t="s">
        <v>1031</v>
      </c>
      <c r="I14" s="347" t="s">
        <v>1413</v>
      </c>
      <c r="J14" s="24">
        <f ca="1">C29</f>
        <v>6950</v>
      </c>
      <c r="K14" s="15"/>
      <c r="L14" s="979"/>
      <c r="M14" s="980"/>
    </row>
    <row r="15" spans="1:37" s="1858" customFormat="1" ht="18" customHeight="1" thickBot="1">
      <c r="A15" s="1201" t="s">
        <v>1032</v>
      </c>
      <c r="B15" s="347" t="s">
        <v>1414</v>
      </c>
      <c r="C15" s="24">
        <f ca="1">ROUND(C14*F15,0)</f>
        <v>202</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164</v>
      </c>
      <c r="K16" s="1337" t="s">
        <v>1419</v>
      </c>
      <c r="L16" s="1338"/>
      <c r="M16" s="1294"/>
    </row>
    <row r="17" spans="1:37" s="1858" customFormat="1" ht="18" customHeight="1">
      <c r="A17" s="1201" t="s">
        <v>1384</v>
      </c>
      <c r="B17" s="347" t="s">
        <v>1420</v>
      </c>
      <c r="C17" s="24">
        <f ca="1">ROUND(F17*(F43+INDIRECT("'数据-取费表'!S"&amp;$G$1))/10000,0)</f>
        <v>324</v>
      </c>
      <c r="D17" s="347" t="s">
        <v>1421</v>
      </c>
      <c r="E17" s="347" t="s">
        <v>1422</v>
      </c>
      <c r="F17" s="26">
        <f>'数据-取费表'!B35</f>
        <v>200</v>
      </c>
      <c r="G17" s="1854"/>
      <c r="H17" s="1201" t="s">
        <v>1031</v>
      </c>
      <c r="I17" s="347" t="s">
        <v>1423</v>
      </c>
      <c r="J17" s="24">
        <f ca="1">ROUND(IF(项目基本情况!B11="自然人",J6*M17/(1+'数据-取费表'!C42),J18+J19+J20),1)</f>
        <v>59.8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61</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4634</v>
      </c>
      <c r="D19" s="140" t="s">
        <v>1430</v>
      </c>
      <c r="E19" s="1818"/>
      <c r="F19" s="26"/>
      <c r="G19" s="1851"/>
      <c r="H19" s="1201" t="s">
        <v>1032</v>
      </c>
      <c r="I19" s="347" t="s">
        <v>1431</v>
      </c>
      <c r="J19" s="24">
        <f ca="1">IF(K19="按租金收入计税",ROUND(J6*M19/(1+'数据-取费表'!C42),2),ROUND(C29*M19*0.7,2))</f>
        <v>58.38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139</v>
      </c>
      <c r="D20" s="369" t="s">
        <v>1434</v>
      </c>
      <c r="E20" s="347" t="s">
        <v>1416</v>
      </c>
      <c r="F20" s="367">
        <f>'数据-取费表'!B37</f>
        <v>0.03</v>
      </c>
      <c r="G20" s="1854"/>
      <c r="H20" s="1201" t="s">
        <v>1383</v>
      </c>
      <c r="I20" s="164" t="s">
        <v>1435</v>
      </c>
      <c r="J20" s="25">
        <f ca="1">ROUND(M20*M21/10000,2)</f>
        <v>1.38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9192.5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104.3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-164</v>
      </c>
      <c r="K25" s="1345" t="s">
        <v>1458</v>
      </c>
      <c r="L25" s="1346"/>
      <c r="M25" s="1347"/>
    </row>
    <row r="26" spans="1:37">
      <c r="A26" s="1201" t="s">
        <v>1030</v>
      </c>
      <c r="B26" s="347" t="s">
        <v>1459</v>
      </c>
      <c r="C26" s="24">
        <f ca="1">ROUND((C19+C20)*F26,0)</f>
        <v>1193</v>
      </c>
      <c r="D26" s="369" t="s">
        <v>1460</v>
      </c>
      <c r="E26" s="358" t="s">
        <v>1461</v>
      </c>
      <c r="F26" s="357">
        <f ca="1">INDIRECT("'数据-取费表'!q"&amp;$G$1)</f>
        <v>0.25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7.4999999999999997E-3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6950</v>
      </c>
      <c r="D29" s="1342"/>
      <c r="E29" s="1340"/>
      <c r="F29" s="1343"/>
      <c r="G29" s="1854"/>
      <c r="H29" s="380" t="s">
        <v>1029</v>
      </c>
      <c r="I29" s="381" t="s">
        <v>1473</v>
      </c>
      <c r="J29" s="382">
        <f ca="1">ROUND(J26/(1+F40)^F41,0)</f>
        <v>0</v>
      </c>
      <c r="K29" s="383" t="s">
        <v>1474</v>
      </c>
      <c r="L29" s="384"/>
      <c r="M29" s="385">
        <f ca="1">INDIRECT("'数据-取费表'!k"&amp;$G$1)</f>
        <v>16188.670000000002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472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338.2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105.86</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230.97</v>
      </c>
      <c r="D33" s="1828" t="s">
        <v>3081</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1.38</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9192.5</v>
      </c>
      <c r="G35" s="1851"/>
      <c r="H35" s="745"/>
      <c r="I35" s="1860"/>
      <c r="J35" s="1861"/>
      <c r="K35" s="1862"/>
      <c r="L35" s="1859"/>
      <c r="M35" s="1859"/>
    </row>
    <row r="36" spans="1:18" ht="18" customHeight="1">
      <c r="A36" s="1352" t="s">
        <v>1035</v>
      </c>
      <c r="B36" s="347" t="s">
        <v>1443</v>
      </c>
      <c r="C36" s="24">
        <f ca="1">ROUND(C29*F36,1)</f>
        <v>104.3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9.6999999999999993</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20.2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1552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47188</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42.32</v>
      </c>
      <c r="G41" s="1851"/>
      <c r="H41" s="732"/>
      <c r="I41" s="1860"/>
      <c r="J41" s="1861"/>
      <c r="K41" s="751"/>
      <c r="L41" s="732"/>
      <c r="M41" s="732"/>
    </row>
    <row r="42" spans="1:18" ht="18" customHeight="1">
      <c r="A42" s="353"/>
      <c r="B42" s="354"/>
      <c r="C42" s="355"/>
      <c r="D42" s="373"/>
      <c r="E42" s="347" t="s">
        <v>1471</v>
      </c>
      <c r="F42" s="357">
        <f ca="1">INDIRECT("'数据-取费表'!v"&amp;$G$1)</f>
        <v>3.5000000000000003E-2</v>
      </c>
      <c r="G42" s="1851"/>
      <c r="H42" s="732"/>
      <c r="I42" s="1860"/>
      <c r="J42" s="1861"/>
      <c r="K42" s="751"/>
      <c r="L42" s="732"/>
      <c r="M42" s="732"/>
    </row>
    <row r="43" spans="1:18" ht="18" customHeight="1" thickBot="1">
      <c r="A43" s="380" t="s">
        <v>1029</v>
      </c>
      <c r="B43" s="381" t="s">
        <v>1481</v>
      </c>
      <c r="C43" s="382">
        <f ca="1">ROUND(C40*10000/F43,0)</f>
        <v>29149</v>
      </c>
      <c r="D43" s="383" t="s">
        <v>1482</v>
      </c>
      <c r="E43" s="384" t="s">
        <v>1483</v>
      </c>
      <c r="F43" s="385">
        <f ca="1">INDIRECT("'数据-取费表'!k"&amp;$G$1)</f>
        <v>16188.670000000002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-59395</v>
      </c>
      <c r="D46" s="1872" t="str">
        <f>C2</f>
        <v>万元</v>
      </c>
      <c r="E46" s="1866"/>
      <c r="F46" s="1866"/>
      <c r="I46" s="1873" t="s">
        <v>1515</v>
      </c>
      <c r="J46" s="1874"/>
      <c r="K46" s="1875"/>
      <c r="L46" s="1876">
        <f ca="1">IF(M47="住宅",0,IF(L48&gt;J51,L60,J60))</f>
        <v>88</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3082</v>
      </c>
      <c r="K47" s="1882" t="s">
        <v>1521</v>
      </c>
      <c r="L47" s="1883">
        <f ca="1">INDIRECT("'数据-取费表'!d"&amp;$G$1)</f>
        <v>50</v>
      </c>
      <c r="M47" s="1838" t="str">
        <f>IF(ISNUMBER(FIND("住宅",C1)),"住宅","非住宅")</f>
        <v>非住宅</v>
      </c>
      <c r="O47" s="1884" t="s">
        <v>1036</v>
      </c>
      <c r="P47" s="1885" t="s">
        <v>1522</v>
      </c>
      <c r="Q47" s="1886">
        <f ca="1">C40+J29</f>
        <v>47188</v>
      </c>
      <c r="R47" s="1886" t="s">
        <v>1523</v>
      </c>
    </row>
    <row r="48" spans="1:18" s="1842" customFormat="1" ht="28.5" thickBot="1">
      <c r="A48" s="1360" t="s">
        <v>1131</v>
      </c>
      <c r="B48" s="345" t="s">
        <v>1395</v>
      </c>
      <c r="C48" s="1817">
        <f ca="1">C49+C53+C55</f>
        <v>0</v>
      </c>
      <c r="D48" s="1362"/>
      <c r="E48" s="1363"/>
      <c r="F48" s="1181"/>
      <c r="G48" s="792"/>
      <c r="H48" s="793"/>
      <c r="I48" s="1887" t="s">
        <v>1524</v>
      </c>
      <c r="J48" s="1888" t="s">
        <v>3083</v>
      </c>
      <c r="K48" s="1889" t="s">
        <v>1525</v>
      </c>
      <c r="L48" s="1890">
        <f ca="1">INDIRECT("'数据-取费表'!f"&amp;$G$1)</f>
        <v>42.32</v>
      </c>
      <c r="O48" s="1884" t="s">
        <v>1037</v>
      </c>
      <c r="P48" s="1885" t="s">
        <v>1526</v>
      </c>
      <c r="Q48" s="1886">
        <f ca="1">J60</f>
        <v>88</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2016</v>
      </c>
      <c r="K49" s="1889" t="s">
        <v>1529</v>
      </c>
      <c r="L49" s="1893"/>
      <c r="O49" s="1894" t="s">
        <v>1038</v>
      </c>
      <c r="P49" s="1885" t="s">
        <v>1530</v>
      </c>
      <c r="Q49" s="1886">
        <f ca="1">C29</f>
        <v>6950</v>
      </c>
      <c r="R49" s="1886" t="s">
        <v>1523</v>
      </c>
    </row>
    <row r="50" spans="1:18" s="1842" customFormat="1" ht="13.5" thickBot="1">
      <c r="A50" s="1195"/>
      <c r="B50" s="1198"/>
      <c r="C50" s="1368"/>
      <c r="D50" s="1172"/>
      <c r="E50" s="1277" t="s">
        <v>1400</v>
      </c>
      <c r="F50" s="1278">
        <f ca="1">F7</f>
        <v>16188.670000000002</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56</v>
      </c>
      <c r="K51" s="1900" t="s">
        <v>1535</v>
      </c>
      <c r="L51" s="1901">
        <f ca="1">ROUND(-PV(INDIRECT("'数据-取费表'!h"&amp;$G$1),L48,(C39-C13*C76),0),0)</f>
        <v>18595</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c r="O52" s="1894" t="s">
        <v>1041</v>
      </c>
      <c r="P52" s="1885" t="s">
        <v>1539</v>
      </c>
      <c r="Q52" s="1886">
        <f ca="1">J53</f>
        <v>42.32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42.32</v>
      </c>
      <c r="K53" s="3168" t="s">
        <v>1542</v>
      </c>
      <c r="L53" s="3169"/>
      <c r="O53" s="1884" t="s">
        <v>1042</v>
      </c>
      <c r="P53" s="1885" t="s">
        <v>1543</v>
      </c>
      <c r="Q53" s="1886">
        <f ca="1">Q47+Q48</f>
        <v>47276</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0.22800000000000001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6464</v>
      </c>
      <c r="D56" s="1913"/>
      <c r="E56" s="1914"/>
      <c r="F56" s="1906"/>
      <c r="I56" s="1915" t="s">
        <v>1548</v>
      </c>
      <c r="J56" s="1916" t="s">
        <v>3084</v>
      </c>
      <c r="K56" s="1887" t="s">
        <v>1549</v>
      </c>
      <c r="L56" s="1890" t="str">
        <f ca="1">IF(L48&lt;J51,"——",L48-J53)</f>
        <v>——</v>
      </c>
      <c r="O56" s="1884" t="s">
        <v>1036</v>
      </c>
      <c r="P56" s="1885" t="s">
        <v>1522</v>
      </c>
      <c r="Q56" s="1886">
        <f ca="1">C40+J29</f>
        <v>47188</v>
      </c>
      <c r="R56" s="1886" t="s">
        <v>1523</v>
      </c>
    </row>
    <row r="57" spans="1:18" s="1842" customFormat="1" ht="24.75" thickBot="1">
      <c r="A57" s="1917"/>
      <c r="B57" s="1169" t="s">
        <v>1472</v>
      </c>
      <c r="C57" s="282">
        <f ca="1">C29</f>
        <v>6950</v>
      </c>
      <c r="D57" s="1918"/>
      <c r="E57" s="1919"/>
      <c r="F57" s="1920"/>
      <c r="I57" s="1921" t="s">
        <v>1550</v>
      </c>
      <c r="J57" s="1922">
        <f ca="1">IF(OR(M47="住宅",J51&lt;L48,J56="是"),"——",J51-L48)</f>
        <v>13.68</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699</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585.20000000000005</v>
      </c>
      <c r="D59" s="1182" t="s">
        <v>1424</v>
      </c>
      <c r="E59" s="1183" t="s">
        <v>1425</v>
      </c>
      <c r="F59" s="368" t="str">
        <f ca="1">IF(项目基本情况!B11="企业","",IF(INDIRECT("'数据-取费表'!c"&amp;$G$1)="住宅",5%,IF(F49*F50*F51/12/(1+'数据-取费表'!C42)&gt;20000,12%,7%)))</f>
        <v/>
      </c>
      <c r="I59" s="1921" t="s">
        <v>1557</v>
      </c>
      <c r="J59" s="1922">
        <f ca="1">IF(OR(M47="住宅",J51&lt;L48,J56="是"),"——",ROUND(C29*J58,0))</f>
        <v>2780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88</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583.79999999999995</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1.38</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47188</v>
      </c>
      <c r="R62" s="1886" t="s">
        <v>1043</v>
      </c>
    </row>
    <row r="63" spans="1:18" s="1842" customFormat="1" ht="13.5" thickBot="1">
      <c r="A63" s="372"/>
      <c r="B63" s="1175"/>
      <c r="C63" s="29"/>
      <c r="D63" s="1185"/>
      <c r="E63" s="1169" t="s">
        <v>1493</v>
      </c>
      <c r="F63" s="348">
        <f t="shared" ca="1" si="0"/>
        <v>9192.5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104.3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9.6999999999999993</v>
      </c>
      <c r="D65" s="1183" t="s">
        <v>1448</v>
      </c>
      <c r="E65" s="1169" t="s">
        <v>1449</v>
      </c>
      <c r="F65" s="376">
        <f t="shared" ca="1" si="0"/>
        <v>1.5E-3</v>
      </c>
      <c r="I65" s="1928" t="s">
        <v>1573</v>
      </c>
      <c r="J65" s="1929">
        <v>40</v>
      </c>
      <c r="K65" s="1929">
        <v>30</v>
      </c>
      <c r="L65" s="1929">
        <v>50</v>
      </c>
      <c r="M65" s="1931">
        <v>0.02</v>
      </c>
      <c r="O65" s="1884" t="s">
        <v>1036</v>
      </c>
      <c r="P65" s="1885" t="s">
        <v>1574</v>
      </c>
      <c r="Q65" s="1886">
        <f ca="1">C40+J29</f>
        <v>47188</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-699</v>
      </c>
      <c r="D67" s="1182" t="s">
        <v>1458</v>
      </c>
      <c r="E67" s="1187"/>
      <c r="F67" s="1188"/>
      <c r="O67" s="1894" t="s">
        <v>1038</v>
      </c>
      <c r="P67" s="1885" t="s">
        <v>1556</v>
      </c>
      <c r="Q67" s="1932">
        <f ca="1">L51</f>
        <v>18595</v>
      </c>
      <c r="R67" s="1886" t="s">
        <v>1576</v>
      </c>
    </row>
    <row r="68" spans="1:18" s="1842" customFormat="1" ht="16.5" thickBot="1">
      <c r="A68" s="1166" t="s">
        <v>1028</v>
      </c>
      <c r="B68" s="1167" t="s">
        <v>1479</v>
      </c>
      <c r="C68" s="346">
        <f ca="1">ROUND(C67*(1-((1+F70)/(1+F68))^F69)/(F68-F70),0)</f>
        <v>-12207</v>
      </c>
      <c r="D68" s="1184" t="s">
        <v>1463</v>
      </c>
      <c r="E68" s="1169" t="s">
        <v>1464</v>
      </c>
      <c r="F68" s="357">
        <f ca="1">F40</f>
        <v>0.05</v>
      </c>
      <c r="O68" s="1894" t="s">
        <v>1039</v>
      </c>
      <c r="P68" s="1933" t="s">
        <v>1577</v>
      </c>
      <c r="Q68" s="1886">
        <f ca="1">ROUND(Q69-Q70*Q71,0)</f>
        <v>1035</v>
      </c>
      <c r="R68" s="1886" t="s">
        <v>1047</v>
      </c>
    </row>
    <row r="69" spans="1:18" s="1842" customFormat="1" ht="13.5" thickBot="1">
      <c r="A69" s="1170"/>
      <c r="B69" s="1171"/>
      <c r="C69" s="351"/>
      <c r="D69" s="1189" t="s">
        <v>1467</v>
      </c>
      <c r="E69" s="1169" t="s">
        <v>1468</v>
      </c>
      <c r="F69" s="379">
        <f ca="1">F41</f>
        <v>42.32</v>
      </c>
      <c r="O69" s="1894" t="s">
        <v>1044</v>
      </c>
      <c r="P69" s="1933" t="s">
        <v>1578</v>
      </c>
      <c r="Q69" s="1886">
        <f ca="1">C39</f>
        <v>1552</v>
      </c>
      <c r="R69" s="1886" t="s">
        <v>1523</v>
      </c>
    </row>
    <row r="70" spans="1:18" s="1842" customFormat="1" ht="13.5" thickBot="1">
      <c r="A70" s="1173"/>
      <c r="B70" s="1174"/>
      <c r="C70" s="355"/>
      <c r="D70" s="1185"/>
      <c r="E70" s="1169" t="s">
        <v>1471</v>
      </c>
      <c r="F70" s="1275"/>
      <c r="O70" s="1894" t="s">
        <v>1045</v>
      </c>
      <c r="P70" s="1933" t="s">
        <v>1579</v>
      </c>
      <c r="Q70" s="1886">
        <f ca="1">C13</f>
        <v>6464</v>
      </c>
      <c r="R70" s="1886" t="s">
        <v>1523</v>
      </c>
    </row>
    <row r="71" spans="1:18" s="1842" customFormat="1" ht="13.5" thickBot="1">
      <c r="A71" s="1190" t="s">
        <v>1029</v>
      </c>
      <c r="B71" s="1191" t="s">
        <v>1481</v>
      </c>
      <c r="C71" s="382">
        <f ca="1">ROUND(C68*10000/F71,0)</f>
        <v>-7540</v>
      </c>
      <c r="D71" s="1192" t="s">
        <v>1482</v>
      </c>
      <c r="E71" s="1193" t="s">
        <v>1483</v>
      </c>
      <c r="F71" s="385">
        <f ca="1">F43</f>
        <v>16188.670000000002</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517</v>
      </c>
      <c r="D75" s="1842"/>
      <c r="E75" s="1842"/>
      <c r="F75" s="1842"/>
      <c r="K75" s="1868"/>
      <c r="L75" s="1842"/>
      <c r="O75" s="1884" t="s">
        <v>1042</v>
      </c>
      <c r="P75" s="1885" t="s">
        <v>1543</v>
      </c>
      <c r="Q75" s="1886">
        <f ca="1">Q65+Q66</f>
        <v>47188</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0.66700000000000004</v>
      </c>
    </row>
    <row r="80" spans="1:18">
      <c r="B80" s="386" t="s">
        <v>1505</v>
      </c>
      <c r="C80" s="318">
        <f ca="1">ROUND(C75/C39,3)</f>
        <v>0.33300000000000002</v>
      </c>
    </row>
    <row r="81" spans="2:3">
      <c r="B81" s="314" t="s">
        <v>1506</v>
      </c>
      <c r="C81" s="282"/>
    </row>
    <row r="82" spans="2:3">
      <c r="B82" s="317" t="s">
        <v>1507</v>
      </c>
      <c r="C82" s="319">
        <f ca="1">1-C83</f>
        <v>0.86299999999999999</v>
      </c>
    </row>
    <row r="83" spans="2:3">
      <c r="B83" s="317" t="s">
        <v>1508</v>
      </c>
      <c r="C83" s="318">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70" t="s">
        <v>1397</v>
      </c>
      <c r="C6" s="1296">
        <f ca="1">ROUND(F6*F8*F7*(1-F9),0)</f>
        <v>0</v>
      </c>
      <c r="D6" s="164" t="s">
        <v>3025</v>
      </c>
      <c r="E6" s="347" t="s">
        <v>1399</v>
      </c>
      <c r="F6" s="348">
        <f ca="1">INDIRECT("'数据-取费表'!u"&amp;$G$1)</f>
        <v>0</v>
      </c>
      <c r="G6" s="1851"/>
      <c r="H6" s="1291" t="s">
        <v>1031</v>
      </c>
      <c r="I6" s="3170" t="s">
        <v>1397</v>
      </c>
      <c r="J6" s="346">
        <f ca="1">ROUND(M6*M8*M7*(1-M9),0)</f>
        <v>0</v>
      </c>
      <c r="K6" s="1834" t="s">
        <v>3026</v>
      </c>
      <c r="L6" s="347" t="s">
        <v>1399</v>
      </c>
      <c r="M6" s="348">
        <f ca="1">INDIRECT("'数据-取费表'!z"&amp;$G$1)</f>
        <v>0</v>
      </c>
    </row>
    <row r="7" spans="1:37" ht="18" customHeight="1">
      <c r="A7" s="1295"/>
      <c r="B7" s="3171"/>
      <c r="C7" s="1297"/>
      <c r="D7" s="352"/>
      <c r="E7" s="1298" t="s">
        <v>1400</v>
      </c>
      <c r="F7" s="348">
        <f ca="1">IF(INDIRECT("'数据-取费表'!ah"&amp;$G$1)="",INDIRECT("'数据-取费表'!k"&amp;$G$1),INDIRECT("'数据-取费表'!ah"&amp;$G$1))</f>
        <v>0</v>
      </c>
      <c r="G7" s="1851"/>
      <c r="H7" s="349"/>
      <c r="I7" s="3171"/>
      <c r="J7" s="351"/>
      <c r="K7" s="352"/>
      <c r="L7" s="347" t="s">
        <v>1400</v>
      </c>
      <c r="M7" s="348">
        <f ca="1">F7</f>
        <v>0</v>
      </c>
    </row>
    <row r="8" spans="1:37" ht="18" customHeight="1">
      <c r="A8" s="349"/>
      <c r="B8" s="3171"/>
      <c r="C8" s="351"/>
      <c r="D8" s="352"/>
      <c r="E8" s="347" t="s">
        <v>1401</v>
      </c>
      <c r="F8" s="348">
        <f ca="1">INDIRECT("'数据-取费表'!ai"&amp;$G$1)</f>
        <v>0</v>
      </c>
      <c r="G8" s="1851"/>
      <c r="H8" s="349"/>
      <c r="I8" s="3171"/>
      <c r="J8" s="351"/>
      <c r="K8" s="352"/>
      <c r="L8" s="347" t="s">
        <v>1401</v>
      </c>
      <c r="M8" s="348">
        <f ca="1">INDIRECT("'数据-取费表'!ai"&amp;$G$1)</f>
        <v>0</v>
      </c>
    </row>
    <row r="9" spans="1:37" ht="18" customHeight="1">
      <c r="A9" s="349"/>
      <c r="B9" s="3172"/>
      <c r="C9" s="351"/>
      <c r="D9" s="352"/>
      <c r="E9" s="347" t="s">
        <v>1402</v>
      </c>
      <c r="F9" s="357">
        <f ca="1">INDIRECT("'数据-取费表'!w"&amp;$G$1)</f>
        <v>0</v>
      </c>
      <c r="G9" s="1851"/>
      <c r="H9" s="349"/>
      <c r="I9" s="3172"/>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0</v>
      </c>
      <c r="K53" s="3168" t="s">
        <v>1542</v>
      </c>
      <c r="L53" s="3169"/>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2523</v>
      </c>
      <c r="B1" s="2564"/>
      <c r="C1" s="2564"/>
      <c r="D1" s="2564"/>
      <c r="E1" s="2565"/>
    </row>
    <row r="2" spans="1:6" ht="15.75">
      <c r="A2" s="2566" t="s">
        <v>2324</v>
      </c>
      <c r="B2" s="2567">
        <f ca="1">SUMIF(B6:B13,"&lt;&gt;#ref!",B6:B13)</f>
        <v>47276</v>
      </c>
      <c r="C2" s="2568" t="s">
        <v>2516</v>
      </c>
      <c r="D2" s="2569" t="s">
        <v>2517</v>
      </c>
      <c r="E2" s="2570">
        <f>SUM(E6:E13)</f>
        <v>16188.670000000002</v>
      </c>
    </row>
    <row r="3" spans="1:6" ht="15.75">
      <c r="A3" s="2566" t="s">
        <v>1389</v>
      </c>
      <c r="B3" s="2567">
        <f ca="1">ROUND(B2*10000/E2,0)</f>
        <v>29203</v>
      </c>
      <c r="C3" s="2568" t="s">
        <v>2524</v>
      </c>
      <c r="D3" s="2571"/>
      <c r="E3" s="2572"/>
    </row>
    <row r="4" spans="1:6" ht="15.75">
      <c r="A4" s="2573"/>
      <c r="B4" s="2571"/>
      <c r="C4" s="2571"/>
      <c r="D4" s="2571"/>
      <c r="E4" s="2572"/>
    </row>
    <row r="5" spans="1:6" ht="15">
      <c r="A5" s="2574" t="s">
        <v>2518</v>
      </c>
      <c r="B5" s="3173" t="s">
        <v>2519</v>
      </c>
      <c r="C5" s="3173"/>
      <c r="D5" s="2575"/>
      <c r="E5" s="2576" t="s">
        <v>2520</v>
      </c>
      <c r="F5" s="2577" t="s">
        <v>2521</v>
      </c>
    </row>
    <row r="6" spans="1:6">
      <c r="A6" s="2578" t="str">
        <f>'数据-取费表'!AN6</f>
        <v>收益法</v>
      </c>
      <c r="B6" s="2577">
        <f ca="1">IF(F6="是",'数据-取费表'!AO6,0)</f>
        <v>47276</v>
      </c>
      <c r="C6" s="2568" t="s">
        <v>2516</v>
      </c>
      <c r="D6" s="2571"/>
      <c r="E6" s="2579">
        <f>IF(OR(A6=0,F6="否"),0,'数据-取费表'!K6+'数据-取费表'!S6)</f>
        <v>16188.670000000002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0" t="s">
        <v>1072</v>
      </c>
      <c r="B1" s="3191"/>
      <c r="C1" s="3192"/>
      <c r="D1" s="3193">
        <f>SUM(I10,I15,I20,I21,I23)</f>
        <v>0</v>
      </c>
      <c r="E1" s="3193"/>
      <c r="F1" s="3193"/>
      <c r="G1" s="3193"/>
      <c r="H1" s="3193"/>
      <c r="I1" s="3194"/>
    </row>
    <row r="2" spans="1:9">
      <c r="A2" s="3180" t="s">
        <v>1073</v>
      </c>
      <c r="B2" s="3181" t="s">
        <v>1074</v>
      </c>
      <c r="C2" s="3181"/>
      <c r="D2" s="1301" t="s">
        <v>1075</v>
      </c>
      <c r="E2" s="1301" t="s">
        <v>1076</v>
      </c>
      <c r="F2" s="1301" t="s">
        <v>1077</v>
      </c>
      <c r="G2" s="1301" t="s">
        <v>1078</v>
      </c>
      <c r="H2" s="1301" t="s">
        <v>1079</v>
      </c>
      <c r="I2" s="1302" t="s">
        <v>1080</v>
      </c>
    </row>
    <row r="3" spans="1:9">
      <c r="A3" s="3180"/>
      <c r="B3" s="3181" t="s">
        <v>1081</v>
      </c>
      <c r="C3" s="3181"/>
      <c r="D3" s="1303"/>
      <c r="E3" s="1301"/>
      <c r="F3" s="1304"/>
      <c r="G3" s="1304"/>
      <c r="H3" s="1305"/>
      <c r="I3" s="1306">
        <f>ROUND(D3*E3*F3*G3*H3/10000,0)</f>
        <v>0</v>
      </c>
    </row>
    <row r="4" spans="1:9">
      <c r="A4" s="3180"/>
      <c r="B4" s="3181" t="s">
        <v>1082</v>
      </c>
      <c r="C4" s="3181"/>
      <c r="D4" s="1303"/>
      <c r="E4" s="1301"/>
      <c r="F4" s="1304"/>
      <c r="G4" s="1304"/>
      <c r="H4" s="1305"/>
      <c r="I4" s="1306">
        <f t="shared" ref="I4:I9" si="0">ROUND(D4*E4*F4*G4*H4/10000,0)</f>
        <v>0</v>
      </c>
    </row>
    <row r="5" spans="1:9">
      <c r="A5" s="3180"/>
      <c r="B5" s="3181" t="s">
        <v>1083</v>
      </c>
      <c r="C5" s="3181"/>
      <c r="D5" s="1303"/>
      <c r="E5" s="1301"/>
      <c r="F5" s="1304"/>
      <c r="G5" s="1304"/>
      <c r="H5" s="1305"/>
      <c r="I5" s="1306">
        <f t="shared" si="0"/>
        <v>0</v>
      </c>
    </row>
    <row r="6" spans="1:9">
      <c r="A6" s="3180"/>
      <c r="B6" s="3181" t="s">
        <v>1084</v>
      </c>
      <c r="C6" s="3181"/>
      <c r="D6" s="1303"/>
      <c r="E6" s="1301"/>
      <c r="F6" s="1304"/>
      <c r="G6" s="1304"/>
      <c r="H6" s="1305"/>
      <c r="I6" s="1306">
        <f t="shared" si="0"/>
        <v>0</v>
      </c>
    </row>
    <row r="7" spans="1:9">
      <c r="A7" s="3180"/>
      <c r="B7" s="3181" t="s">
        <v>1085</v>
      </c>
      <c r="C7" s="3181"/>
      <c r="D7" s="1303"/>
      <c r="E7" s="1301"/>
      <c r="F7" s="1304"/>
      <c r="G7" s="1304"/>
      <c r="H7" s="1305"/>
      <c r="I7" s="1306">
        <f t="shared" si="0"/>
        <v>0</v>
      </c>
    </row>
    <row r="8" spans="1:9">
      <c r="A8" s="3180"/>
      <c r="B8" s="3181" t="s">
        <v>1086</v>
      </c>
      <c r="C8" s="3181"/>
      <c r="D8" s="1303"/>
      <c r="E8" s="1301"/>
      <c r="F8" s="1304"/>
      <c r="G8" s="1304"/>
      <c r="H8" s="1305"/>
      <c r="I8" s="1306">
        <f t="shared" si="0"/>
        <v>0</v>
      </c>
    </row>
    <row r="9" spans="1:9">
      <c r="A9" s="3180"/>
      <c r="B9" s="3181" t="s">
        <v>1087</v>
      </c>
      <c r="C9" s="3181"/>
      <c r="D9" s="1303"/>
      <c r="E9" s="1301"/>
      <c r="F9" s="1304"/>
      <c r="G9" s="1304"/>
      <c r="H9" s="1305"/>
      <c r="I9" s="1306">
        <f t="shared" si="0"/>
        <v>0</v>
      </c>
    </row>
    <row r="10" spans="1:9">
      <c r="A10" s="3180"/>
      <c r="B10" s="3182" t="s">
        <v>1088</v>
      </c>
      <c r="C10" s="3182"/>
      <c r="D10" s="1307"/>
      <c r="E10" s="1307" t="e">
        <f>ROUND(D1*10000/D10/H9,0)</f>
        <v>#DIV/0!</v>
      </c>
      <c r="F10" s="1308"/>
      <c r="G10" s="1308"/>
      <c r="H10" s="1309"/>
      <c r="I10" s="1310">
        <f>SUM(I3:I9)</f>
        <v>0</v>
      </c>
    </row>
    <row r="11" spans="1:9" ht="14.25">
      <c r="A11" s="3180" t="s">
        <v>1089</v>
      </c>
      <c r="B11" s="3181" t="s">
        <v>1090</v>
      </c>
      <c r="C11" s="3181"/>
      <c r="D11" s="1303" t="s">
        <v>1091</v>
      </c>
      <c r="E11" s="1303" t="s">
        <v>1092</v>
      </c>
      <c r="F11" s="1304" t="s">
        <v>1093</v>
      </c>
      <c r="G11" s="1304" t="s">
        <v>1079</v>
      </c>
      <c r="H11" s="1311" t="s">
        <v>1094</v>
      </c>
      <c r="I11" s="1302" t="s">
        <v>1080</v>
      </c>
    </row>
    <row r="12" spans="1:9">
      <c r="A12" s="3180"/>
      <c r="B12" s="3181" t="s">
        <v>1095</v>
      </c>
      <c r="C12" s="3181"/>
      <c r="D12" s="1303"/>
      <c r="E12" s="1303"/>
      <c r="F12" s="1304"/>
      <c r="G12" s="1305"/>
      <c r="H12" s="1312"/>
      <c r="I12" s="1302">
        <f>ROUND(D12*E12*F12*G12/10000,0)</f>
        <v>0</v>
      </c>
    </row>
    <row r="13" spans="1:9">
      <c r="A13" s="3180"/>
      <c r="B13" s="3181" t="s">
        <v>1096</v>
      </c>
      <c r="C13" s="3181"/>
      <c r="D13" s="1303"/>
      <c r="E13" s="1303"/>
      <c r="F13" s="1304"/>
      <c r="G13" s="1305"/>
      <c r="H13" s="1312"/>
      <c r="I13" s="1302">
        <f>ROUND(D13*E13*F13*G13/10000,0)</f>
        <v>0</v>
      </c>
    </row>
    <row r="14" spans="1:9">
      <c r="A14" s="3180"/>
      <c r="B14" s="3181" t="s">
        <v>1097</v>
      </c>
      <c r="C14" s="3181"/>
      <c r="D14" s="1303"/>
      <c r="E14" s="1303"/>
      <c r="F14" s="1304"/>
      <c r="G14" s="1305"/>
      <c r="H14" s="1312"/>
      <c r="I14" s="1302">
        <f>ROUND(D14*E14*F14*G14/10000,0)</f>
        <v>0</v>
      </c>
    </row>
    <row r="15" spans="1:9">
      <c r="A15" s="3180"/>
      <c r="B15" s="3182" t="s">
        <v>1088</v>
      </c>
      <c r="C15" s="3182"/>
      <c r="D15" s="1307"/>
      <c r="E15" s="1307">
        <f>SUM(E12:E14)</f>
        <v>0</v>
      </c>
      <c r="F15" s="1308"/>
      <c r="G15" s="1305"/>
      <c r="H15" s="1312"/>
      <c r="I15" s="1313">
        <f>SUM(I12:I14)</f>
        <v>0</v>
      </c>
    </row>
    <row r="16" spans="1:9" ht="24">
      <c r="A16" s="3180" t="s">
        <v>1098</v>
      </c>
      <c r="B16" s="3181" t="s">
        <v>1099</v>
      </c>
      <c r="C16" s="3181"/>
      <c r="D16" s="1303" t="s">
        <v>1075</v>
      </c>
      <c r="E16" s="1314" t="s">
        <v>1100</v>
      </c>
      <c r="F16" s="1304" t="s">
        <v>1101</v>
      </c>
      <c r="G16" s="1305" t="s">
        <v>1079</v>
      </c>
      <c r="H16" s="1311" t="s">
        <v>1094</v>
      </c>
      <c r="I16" s="1302" t="s">
        <v>1080</v>
      </c>
    </row>
    <row r="17" spans="1:9" ht="14.25">
      <c r="A17" s="3180"/>
      <c r="B17" s="3181" t="s">
        <v>1102</v>
      </c>
      <c r="C17" s="3181"/>
      <c r="D17" s="1303"/>
      <c r="E17" s="1303"/>
      <c r="F17" s="1304"/>
      <c r="G17" s="1305"/>
      <c r="H17" s="1315"/>
      <c r="I17" s="1316">
        <f>ROUND(D17*E17*F17*G17/10000,0)</f>
        <v>0</v>
      </c>
    </row>
    <row r="18" spans="1:9" ht="14.25">
      <c r="A18" s="3180"/>
      <c r="B18" s="3181" t="s">
        <v>1103</v>
      </c>
      <c r="C18" s="3181"/>
      <c r="D18" s="1303"/>
      <c r="E18" s="1303"/>
      <c r="F18" s="1304"/>
      <c r="G18" s="1305"/>
      <c r="H18" s="1315"/>
      <c r="I18" s="1316">
        <f>ROUND(D18*E18*F18*G18/10000,0)</f>
        <v>0</v>
      </c>
    </row>
    <row r="19" spans="1:9" ht="14.25">
      <c r="A19" s="3180"/>
      <c r="B19" s="3181" t="s">
        <v>1104</v>
      </c>
      <c r="C19" s="3181"/>
      <c r="D19" s="1303"/>
      <c r="E19" s="1303"/>
      <c r="F19" s="1304"/>
      <c r="G19" s="1305"/>
      <c r="H19" s="1315"/>
      <c r="I19" s="1316">
        <f>ROUND(D19*E19*F19*G19/10000,0)</f>
        <v>0</v>
      </c>
    </row>
    <row r="20" spans="1:9">
      <c r="A20" s="3180"/>
      <c r="B20" s="3182" t="s">
        <v>1088</v>
      </c>
      <c r="C20" s="3182"/>
      <c r="D20" s="1307">
        <f>SUM(D17:D19)</f>
        <v>0</v>
      </c>
      <c r="E20" s="1307"/>
      <c r="F20" s="1308"/>
      <c r="G20" s="1305"/>
      <c r="H20" s="1312"/>
      <c r="I20" s="1313">
        <f>SUM(I17:I19)</f>
        <v>0</v>
      </c>
    </row>
    <row r="21" spans="1:9">
      <c r="A21" s="3180" t="s">
        <v>1105</v>
      </c>
      <c r="B21" s="3183"/>
      <c r="C21" s="3183"/>
      <c r="D21" s="3183"/>
      <c r="E21" s="3183"/>
      <c r="F21" s="3183"/>
      <c r="G21" s="3183"/>
      <c r="H21" s="1765">
        <v>0.1</v>
      </c>
      <c r="I21" s="1310">
        <f>ROUND(I10*H21,0)</f>
        <v>0</v>
      </c>
    </row>
    <row r="22" spans="1:9" ht="14.25">
      <c r="A22" s="3184" t="s">
        <v>1106</v>
      </c>
      <c r="B22" s="3185"/>
      <c r="C22" s="3186"/>
      <c r="D22" s="1317" t="s">
        <v>1107</v>
      </c>
      <c r="E22" s="1317" t="s">
        <v>1108</v>
      </c>
      <c r="F22" s="1318" t="s">
        <v>1109</v>
      </c>
      <c r="G22" s="1318" t="s">
        <v>1110</v>
      </c>
      <c r="H22" s="1311" t="s">
        <v>1111</v>
      </c>
      <c r="I22" s="1302" t="s">
        <v>1112</v>
      </c>
    </row>
    <row r="23" spans="1:9" ht="14.25" thickBot="1">
      <c r="A23" s="3187"/>
      <c r="B23" s="3188"/>
      <c r="C23" s="3189"/>
      <c r="D23" s="1319"/>
      <c r="E23" s="1319"/>
      <c r="F23" s="1319"/>
      <c r="G23" s="1320"/>
      <c r="H23" s="1321"/>
      <c r="I23" s="1322">
        <f>ROUND(E23*D23*F23*(1-G23)/10000,0)</f>
        <v>0</v>
      </c>
    </row>
    <row r="26" spans="1:9">
      <c r="A26" s="1323" t="s">
        <v>1113</v>
      </c>
      <c r="B26" s="1323"/>
      <c r="C26" s="1323"/>
      <c r="D26" s="1323"/>
      <c r="E26" s="3177">
        <f>C27-C30-C31-C32</f>
        <v>0</v>
      </c>
      <c r="F26" s="3177"/>
      <c r="G26" s="3177"/>
      <c r="H26" s="1737" t="s">
        <v>1335</v>
      </c>
    </row>
    <row r="27" spans="1:9">
      <c r="A27" s="1324">
        <v>1</v>
      </c>
      <c r="B27" s="1325" t="s">
        <v>1114</v>
      </c>
      <c r="C27" s="1325">
        <f>C28+C29</f>
        <v>0</v>
      </c>
      <c r="D27" s="1325"/>
      <c r="E27" s="3178"/>
      <c r="F27" s="3178"/>
      <c r="G27" s="3178"/>
    </row>
    <row r="28" spans="1:9">
      <c r="A28" s="1326" t="s">
        <v>1115</v>
      </c>
      <c r="B28" s="1325" t="s">
        <v>1116</v>
      </c>
      <c r="C28" s="1325"/>
      <c r="D28" s="1325"/>
      <c r="E28" s="3178"/>
      <c r="F28" s="3178"/>
      <c r="G28" s="317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9"/>
      <c r="F32" s="3179"/>
      <c r="G32" s="3179"/>
    </row>
    <row r="33" spans="1:7" hidden="1">
      <c r="A33" s="3174" t="s">
        <v>1125</v>
      </c>
      <c r="B33" s="3175"/>
      <c r="C33" s="3175"/>
      <c r="D33" s="3176"/>
      <c r="E33" s="3177"/>
      <c r="F33" s="3177"/>
      <c r="G33" s="3177"/>
    </row>
    <row r="34" spans="1:7" hidden="1">
      <c r="A34" s="1328">
        <v>1</v>
      </c>
      <c r="B34" s="1325" t="s">
        <v>1126</v>
      </c>
      <c r="C34" s="1325"/>
      <c r="D34" s="1325"/>
      <c r="E34" s="3178"/>
      <c r="F34" s="3178"/>
      <c r="G34" s="3178"/>
    </row>
    <row r="35" spans="1:7" hidden="1">
      <c r="A35" s="1328">
        <v>2</v>
      </c>
      <c r="B35" s="1325" t="s">
        <v>1127</v>
      </c>
      <c r="C35" s="1325"/>
      <c r="D35" s="1325"/>
      <c r="E35" s="3178"/>
      <c r="F35" s="3178"/>
      <c r="G35" s="3178"/>
    </row>
    <row r="36" spans="1:7" hidden="1">
      <c r="A36" s="1328">
        <v>3</v>
      </c>
      <c r="B36" s="1325" t="s">
        <v>1128</v>
      </c>
      <c r="C36" s="1325"/>
      <c r="D36" s="1325"/>
      <c r="E36" s="3178"/>
      <c r="F36" s="3178"/>
      <c r="G36" s="3178"/>
    </row>
    <row r="37" spans="1:7" hidden="1">
      <c r="A37" s="1328">
        <v>4</v>
      </c>
      <c r="B37" s="1325" t="s">
        <v>1129</v>
      </c>
      <c r="C37" s="1325"/>
      <c r="D37" s="1325"/>
      <c r="E37" s="3178"/>
      <c r="F37" s="3178"/>
      <c r="G37" s="3178"/>
    </row>
    <row r="38" spans="1:7" hidden="1">
      <c r="A38" s="3174" t="s">
        <v>1130</v>
      </c>
      <c r="B38" s="3175"/>
      <c r="C38" s="3175"/>
      <c r="D38" s="3176"/>
      <c r="E38" s="3177"/>
      <c r="F38" s="3177"/>
      <c r="G38" s="31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2526</v>
      </c>
      <c r="C1" s="1634" t="s">
        <v>2527</v>
      </c>
      <c r="D1" s="1621"/>
      <c r="E1" s="2585"/>
      <c r="F1" s="2586" t="s">
        <v>2528</v>
      </c>
      <c r="G1" s="1631" t="s">
        <v>2529</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2530</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2531</v>
      </c>
      <c r="D3" s="399">
        <f>IF(D1="",'数据-汇总表'!E3,SUMIF('数据-汇总表'!$C19:$C33,D1,'数据-汇总表'!$E19:$E33))</f>
        <v>16188.669999999998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2532</v>
      </c>
      <c r="B4" s="402"/>
      <c r="C4" s="3213" t="s">
        <v>2533</v>
      </c>
      <c r="D4" s="3214"/>
      <c r="E4" s="3215" t="s">
        <v>2534</v>
      </c>
      <c r="F4" s="3216"/>
      <c r="G4" s="3213" t="s">
        <v>2535</v>
      </c>
      <c r="H4" s="3214"/>
      <c r="I4" s="3213" t="s">
        <v>2536</v>
      </c>
      <c r="J4" s="3214"/>
      <c r="K4" s="2598" t="s">
        <v>2537</v>
      </c>
      <c r="L4" s="1130"/>
      <c r="M4" s="1131"/>
      <c r="N4" s="1131"/>
      <c r="O4" s="1131"/>
      <c r="P4" s="3217" t="s">
        <v>2538</v>
      </c>
      <c r="Q4" s="3218"/>
      <c r="R4" s="3223" t="s">
        <v>2534</v>
      </c>
      <c r="S4" s="3224"/>
      <c r="T4" s="3223" t="s">
        <v>2535</v>
      </c>
      <c r="U4" s="3224"/>
      <c r="V4" s="3229" t="s">
        <v>2536</v>
      </c>
      <c r="W4" s="3229"/>
      <c r="X4" s="1813"/>
      <c r="Y4" s="3223" t="s">
        <v>2538</v>
      </c>
      <c r="Z4" s="3224"/>
      <c r="AA4" s="3210" t="s">
        <v>2534</v>
      </c>
      <c r="AB4" s="3210" t="s">
        <v>2535</v>
      </c>
      <c r="AC4" s="3210" t="s">
        <v>2536</v>
      </c>
    </row>
    <row r="5" spans="1:29" ht="15">
      <c r="A5" s="404"/>
      <c r="B5" s="405"/>
      <c r="C5" s="3232" t="s">
        <v>2539</v>
      </c>
      <c r="D5" s="3233"/>
      <c r="E5" s="3239" t="s">
        <v>2540</v>
      </c>
      <c r="F5" s="3240"/>
      <c r="G5" s="3232" t="s">
        <v>2541</v>
      </c>
      <c r="H5" s="3233"/>
      <c r="I5" s="3232" t="s">
        <v>2542</v>
      </c>
      <c r="J5" s="3233"/>
      <c r="K5" s="2599"/>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2543</v>
      </c>
      <c r="D6" s="3231"/>
      <c r="E6" s="3237" t="s">
        <v>2543</v>
      </c>
      <c r="F6" s="3238"/>
      <c r="G6" s="3230" t="s">
        <v>2543</v>
      </c>
      <c r="H6" s="3231"/>
      <c r="I6" s="3230" t="s">
        <v>2543</v>
      </c>
      <c r="J6" s="3231"/>
      <c r="K6" s="2599" t="s">
        <v>2544</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2545</v>
      </c>
      <c r="B7" s="409"/>
      <c r="C7" s="410">
        <f>'数据-取费表'!B2</f>
        <v>43929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4" t="s">
        <v>2546</v>
      </c>
      <c r="Q7" s="3236"/>
      <c r="R7" s="770" t="s">
        <v>23</v>
      </c>
      <c r="S7" s="771">
        <f t="shared" ref="S7:S15" si="0">F7</f>
        <v>0</v>
      </c>
      <c r="T7" s="770" t="s">
        <v>23</v>
      </c>
      <c r="U7" s="771">
        <f t="shared" ref="U7:U15" si="1">H7</f>
        <v>0</v>
      </c>
      <c r="V7" s="770" t="s">
        <v>23</v>
      </c>
      <c r="W7" s="771">
        <f t="shared" ref="W7:W15" si="2">J7</f>
        <v>0</v>
      </c>
      <c r="X7" s="772"/>
      <c r="Y7" s="3234" t="s">
        <v>2546</v>
      </c>
      <c r="Z7" s="3235"/>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4" t="s">
        <v>2549</v>
      </c>
      <c r="Q8" s="3235"/>
      <c r="R8" s="770" t="s">
        <v>23</v>
      </c>
      <c r="S8" s="771">
        <f t="shared" si="0"/>
        <v>0</v>
      </c>
      <c r="T8" s="770" t="s">
        <v>23</v>
      </c>
      <c r="U8" s="771">
        <f t="shared" si="1"/>
        <v>0</v>
      </c>
      <c r="V8" s="770" t="s">
        <v>23</v>
      </c>
      <c r="W8" s="771">
        <f t="shared" si="2"/>
        <v>0</v>
      </c>
      <c r="X8" s="772"/>
      <c r="Y8" s="3234" t="s">
        <v>2549</v>
      </c>
      <c r="Z8" s="3235"/>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09"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09"/>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09"/>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09"/>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7" t="s">
        <v>2557</v>
      </c>
      <c r="Q15" s="1810" t="str">
        <f t="shared" si="6"/>
        <v>居住社区成熟度</v>
      </c>
      <c r="R15" s="774" t="s">
        <v>21</v>
      </c>
      <c r="S15" s="775">
        <f t="shared" si="0"/>
        <v>100</v>
      </c>
      <c r="T15" s="774" t="s">
        <v>21</v>
      </c>
      <c r="U15" s="775">
        <f t="shared" si="1"/>
        <v>100</v>
      </c>
      <c r="V15" s="774" t="s">
        <v>21</v>
      </c>
      <c r="W15" s="775">
        <f t="shared" si="2"/>
        <v>100</v>
      </c>
      <c r="X15" s="1813"/>
      <c r="Y15" s="3200" t="s">
        <v>2557</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08"/>
      <c r="Q16" s="1810"/>
      <c r="R16" s="774"/>
      <c r="S16" s="775"/>
      <c r="T16" s="774"/>
      <c r="U16" s="775"/>
      <c r="V16" s="774"/>
      <c r="W16" s="775"/>
      <c r="X16" s="1813"/>
      <c r="Y16" s="3201"/>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8"/>
      <c r="Q17" s="1810" t="str">
        <f>B17</f>
        <v>交通便捷度</v>
      </c>
      <c r="R17" s="774" t="s">
        <v>21</v>
      </c>
      <c r="S17" s="775">
        <f>F17</f>
        <v>100</v>
      </c>
      <c r="T17" s="774" t="s">
        <v>21</v>
      </c>
      <c r="U17" s="775">
        <f>H17</f>
        <v>100</v>
      </c>
      <c r="V17" s="774" t="s">
        <v>21</v>
      </c>
      <c r="W17" s="775">
        <f>J17</f>
        <v>100</v>
      </c>
      <c r="X17" s="1813"/>
      <c r="Y17" s="3201"/>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08"/>
      <c r="Q18" s="1810"/>
      <c r="R18" s="774"/>
      <c r="S18" s="775"/>
      <c r="T18" s="774"/>
      <c r="U18" s="775"/>
      <c r="V18" s="774"/>
      <c r="W18" s="775"/>
      <c r="X18" s="1813"/>
      <c r="Y18" s="3201"/>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8"/>
      <c r="Q19" s="1810" t="str">
        <f>B19</f>
        <v>公共配套设施</v>
      </c>
      <c r="R19" s="774" t="s">
        <v>21</v>
      </c>
      <c r="S19" s="775">
        <f>F19</f>
        <v>100</v>
      </c>
      <c r="T19" s="774" t="s">
        <v>21</v>
      </c>
      <c r="U19" s="775">
        <f>H19</f>
        <v>100</v>
      </c>
      <c r="V19" s="774" t="s">
        <v>21</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08"/>
      <c r="Q20" s="1810"/>
      <c r="R20" s="774"/>
      <c r="S20" s="775"/>
      <c r="T20" s="774"/>
      <c r="U20" s="775"/>
      <c r="V20" s="774"/>
      <c r="W20" s="775"/>
      <c r="X20" s="1813"/>
      <c r="Y20" s="3201"/>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8"/>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08"/>
      <c r="Q22" s="1810"/>
      <c r="R22" s="774"/>
      <c r="S22" s="775"/>
      <c r="T22" s="774"/>
      <c r="U22" s="775"/>
      <c r="V22" s="774"/>
      <c r="W22" s="775"/>
      <c r="X22" s="1813"/>
      <c r="Y22" s="3201"/>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8"/>
      <c r="Q23" s="1810" t="str">
        <f>B23</f>
        <v>自然及人文环境</v>
      </c>
      <c r="R23" s="774" t="s">
        <v>21</v>
      </c>
      <c r="S23" s="775">
        <f>F23</f>
        <v>100</v>
      </c>
      <c r="T23" s="774" t="s">
        <v>21</v>
      </c>
      <c r="U23" s="775">
        <f>H23</f>
        <v>100</v>
      </c>
      <c r="V23" s="774" t="s">
        <v>21</v>
      </c>
      <c r="W23" s="775">
        <f>J23</f>
        <v>100</v>
      </c>
      <c r="X23" s="1813"/>
      <c r="Y23" s="3201"/>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08"/>
      <c r="Q24" s="1810"/>
      <c r="R24" s="774"/>
      <c r="S24" s="775"/>
      <c r="T24" s="774"/>
      <c r="U24" s="775"/>
      <c r="V24" s="774"/>
      <c r="W24" s="775"/>
      <c r="X24" s="1813"/>
      <c r="Y24" s="3201"/>
      <c r="Z24" s="1814"/>
      <c r="AA24" s="1811">
        <v>1</v>
      </c>
      <c r="AB24" s="1811">
        <v>1</v>
      </c>
      <c r="AC24" s="1811">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0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1"/>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08"/>
      <c r="Q26" s="1810" t="str">
        <f t="shared" si="11"/>
        <v>朝向</v>
      </c>
      <c r="R26" s="774" t="s">
        <v>21</v>
      </c>
      <c r="S26" s="775">
        <f t="shared" si="12"/>
        <v>100</v>
      </c>
      <c r="T26" s="774" t="s">
        <v>21</v>
      </c>
      <c r="U26" s="775">
        <f t="shared" si="13"/>
        <v>100</v>
      </c>
      <c r="V26" s="774" t="s">
        <v>21</v>
      </c>
      <c r="W26" s="775">
        <f t="shared" si="14"/>
        <v>100</v>
      </c>
      <c r="X26" s="1813"/>
      <c r="Y26" s="320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08"/>
      <c r="Q27" s="1795">
        <f t="shared" si="11"/>
        <v>111</v>
      </c>
      <c r="R27" s="770" t="s">
        <v>21</v>
      </c>
      <c r="S27" s="771">
        <f t="shared" si="12"/>
        <v>100</v>
      </c>
      <c r="T27" s="770" t="s">
        <v>21</v>
      </c>
      <c r="U27" s="771">
        <f t="shared" si="13"/>
        <v>100</v>
      </c>
      <c r="V27" s="770" t="s">
        <v>21</v>
      </c>
      <c r="W27" s="771">
        <f t="shared" si="14"/>
        <v>100</v>
      </c>
      <c r="X27" s="772"/>
      <c r="Y27" s="320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08"/>
      <c r="Q28" s="1810">
        <f t="shared" si="11"/>
        <v>111</v>
      </c>
      <c r="R28" s="774" t="s">
        <v>21</v>
      </c>
      <c r="S28" s="775">
        <f t="shared" si="12"/>
        <v>100</v>
      </c>
      <c r="T28" s="774" t="s">
        <v>21</v>
      </c>
      <c r="U28" s="775">
        <f t="shared" si="13"/>
        <v>100</v>
      </c>
      <c r="V28" s="774" t="s">
        <v>21</v>
      </c>
      <c r="W28" s="775">
        <f t="shared" si="14"/>
        <v>100</v>
      </c>
      <c r="X28" s="1813"/>
      <c r="Y28" s="320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08"/>
      <c r="Q29" s="1810">
        <f t="shared" si="11"/>
        <v>111</v>
      </c>
      <c r="R29" s="774" t="s">
        <v>21</v>
      </c>
      <c r="S29" s="775">
        <f t="shared" si="12"/>
        <v>100</v>
      </c>
      <c r="T29" s="774" t="s">
        <v>21</v>
      </c>
      <c r="U29" s="775">
        <f t="shared" si="13"/>
        <v>100</v>
      </c>
      <c r="V29" s="774" t="s">
        <v>21</v>
      </c>
      <c r="W29" s="775">
        <f t="shared" si="14"/>
        <v>100</v>
      </c>
      <c r="X29" s="1813"/>
      <c r="Y29" s="320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08"/>
      <c r="Q30" s="1810">
        <f t="shared" si="11"/>
        <v>111</v>
      </c>
      <c r="R30" s="774" t="s">
        <v>21</v>
      </c>
      <c r="S30" s="775">
        <f t="shared" si="12"/>
        <v>100</v>
      </c>
      <c r="T30" s="774" t="s">
        <v>21</v>
      </c>
      <c r="U30" s="775">
        <f t="shared" si="13"/>
        <v>100</v>
      </c>
      <c r="V30" s="774" t="s">
        <v>21</v>
      </c>
      <c r="W30" s="775">
        <f t="shared" si="14"/>
        <v>100</v>
      </c>
      <c r="X30" s="1813"/>
      <c r="Y30" s="320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08"/>
      <c r="Q31" s="1810">
        <f t="shared" si="11"/>
        <v>111</v>
      </c>
      <c r="R31" s="774" t="s">
        <v>21</v>
      </c>
      <c r="S31" s="775">
        <f t="shared" si="12"/>
        <v>100</v>
      </c>
      <c r="T31" s="774" t="s">
        <v>21</v>
      </c>
      <c r="U31" s="775">
        <f t="shared" si="13"/>
        <v>100</v>
      </c>
      <c r="V31" s="774" t="s">
        <v>21</v>
      </c>
      <c r="W31" s="775">
        <f t="shared" si="14"/>
        <v>100</v>
      </c>
      <c r="X31" s="1813"/>
      <c r="Y31" s="3201"/>
      <c r="Z31" s="1814">
        <f t="shared" si="18"/>
        <v>111</v>
      </c>
      <c r="AA31" s="1811">
        <f t="shared" si="15"/>
        <v>1</v>
      </c>
      <c r="AB31" s="1811">
        <f t="shared" si="16"/>
        <v>1</v>
      </c>
      <c r="AC31" s="1811">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2" t="s">
        <v>2562</v>
      </c>
      <c r="Q32" s="1810" t="str">
        <f t="shared" si="11"/>
        <v>建筑类型</v>
      </c>
      <c r="R32" s="774" t="s">
        <v>21</v>
      </c>
      <c r="S32" s="775">
        <f t="shared" si="12"/>
        <v>100</v>
      </c>
      <c r="T32" s="774" t="s">
        <v>21</v>
      </c>
      <c r="U32" s="775">
        <f t="shared" si="13"/>
        <v>100</v>
      </c>
      <c r="V32" s="774" t="s">
        <v>21</v>
      </c>
      <c r="W32" s="775">
        <f t="shared" si="14"/>
        <v>100</v>
      </c>
      <c r="X32" s="1813"/>
      <c r="Y32" s="3205"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3"/>
      <c r="Q33" s="776" t="str">
        <f t="shared" si="11"/>
        <v>项目建筑规模</v>
      </c>
      <c r="R33" s="777" t="s">
        <v>21</v>
      </c>
      <c r="S33" s="778" t="e">
        <f t="shared" si="12"/>
        <v>#N/A</v>
      </c>
      <c r="T33" s="777" t="s">
        <v>21</v>
      </c>
      <c r="U33" s="778" t="e">
        <f t="shared" si="13"/>
        <v>#N/A</v>
      </c>
      <c r="V33" s="777" t="s">
        <v>21</v>
      </c>
      <c r="W33" s="778" t="e">
        <f t="shared" si="14"/>
        <v>#N/A</v>
      </c>
      <c r="X33" s="779"/>
      <c r="Y33" s="3205"/>
      <c r="Z33" s="780" t="str">
        <f t="shared" si="18"/>
        <v>项目建筑规模</v>
      </c>
      <c r="AA33" s="1811" t="e">
        <f t="shared" si="15"/>
        <v>#N/A</v>
      </c>
      <c r="AB33" s="1811" t="e">
        <f t="shared" si="16"/>
        <v>#N/A</v>
      </c>
      <c r="AC33" s="1811"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3"/>
      <c r="Q34" s="1810" t="str">
        <f t="shared" si="11"/>
        <v>建筑结构</v>
      </c>
      <c r="R34" s="774" t="s">
        <v>21</v>
      </c>
      <c r="S34" s="775">
        <f t="shared" si="12"/>
        <v>100</v>
      </c>
      <c r="T34" s="774" t="s">
        <v>21</v>
      </c>
      <c r="U34" s="775">
        <f t="shared" si="13"/>
        <v>100</v>
      </c>
      <c r="V34" s="774" t="s">
        <v>21</v>
      </c>
      <c r="W34" s="775">
        <f t="shared" si="14"/>
        <v>100</v>
      </c>
      <c r="X34" s="1813"/>
      <c r="Y34" s="3205"/>
      <c r="Z34" s="1814" t="str">
        <f t="shared" si="18"/>
        <v>建筑结构</v>
      </c>
      <c r="AA34" s="1811">
        <f t="shared" si="15"/>
        <v>1</v>
      </c>
      <c r="AB34" s="1811">
        <f t="shared" si="16"/>
        <v>1</v>
      </c>
      <c r="AC34" s="1811">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3"/>
      <c r="Q35" s="1810" t="str">
        <f t="shared" si="11"/>
        <v>建筑品质</v>
      </c>
      <c r="R35" s="774" t="s">
        <v>21</v>
      </c>
      <c r="S35" s="775">
        <f t="shared" si="12"/>
        <v>100</v>
      </c>
      <c r="T35" s="774" t="s">
        <v>21</v>
      </c>
      <c r="U35" s="775">
        <f t="shared" si="13"/>
        <v>100</v>
      </c>
      <c r="V35" s="774" t="s">
        <v>21</v>
      </c>
      <c r="W35" s="775">
        <f t="shared" si="14"/>
        <v>100</v>
      </c>
      <c r="X35" s="1813"/>
      <c r="Y35" s="3205"/>
      <c r="Z35" s="1814" t="str">
        <f t="shared" si="18"/>
        <v>建筑品质</v>
      </c>
      <c r="AA35" s="1811">
        <f t="shared" si="15"/>
        <v>1</v>
      </c>
      <c r="AB35" s="1811">
        <f t="shared" si="16"/>
        <v>1</v>
      </c>
      <c r="AC35" s="1811">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3"/>
      <c r="Q36" s="1810" t="str">
        <f t="shared" si="11"/>
        <v>公共部分装修</v>
      </c>
      <c r="R36" s="774" t="s">
        <v>21</v>
      </c>
      <c r="S36" s="775">
        <f t="shared" si="12"/>
        <v>100</v>
      </c>
      <c r="T36" s="774" t="s">
        <v>21</v>
      </c>
      <c r="U36" s="775">
        <f t="shared" si="13"/>
        <v>100</v>
      </c>
      <c r="V36" s="774" t="s">
        <v>21</v>
      </c>
      <c r="W36" s="775">
        <f t="shared" si="14"/>
        <v>100</v>
      </c>
      <c r="X36" s="1813"/>
      <c r="Y36" s="3205"/>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3"/>
      <c r="Q37" s="1795" t="str">
        <f t="shared" si="11"/>
        <v>成新度</v>
      </c>
      <c r="R37" s="770" t="s">
        <v>21</v>
      </c>
      <c r="S37" s="771" t="e">
        <f t="shared" si="12"/>
        <v>#N/A</v>
      </c>
      <c r="T37" s="770" t="s">
        <v>21</v>
      </c>
      <c r="U37" s="771" t="e">
        <f t="shared" si="13"/>
        <v>#N/A</v>
      </c>
      <c r="V37" s="770" t="s">
        <v>21</v>
      </c>
      <c r="W37" s="771" t="e">
        <f t="shared" si="14"/>
        <v>#N/A</v>
      </c>
      <c r="X37" s="772"/>
      <c r="Y37" s="3205"/>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3" t="s">
        <v>2562</v>
      </c>
      <c r="Q38" s="1810" t="str">
        <f t="shared" si="11"/>
        <v>物业管理</v>
      </c>
      <c r="R38" s="774" t="s">
        <v>21</v>
      </c>
      <c r="S38" s="775">
        <f t="shared" si="12"/>
        <v>100</v>
      </c>
      <c r="T38" s="774" t="s">
        <v>21</v>
      </c>
      <c r="U38" s="775">
        <f t="shared" si="13"/>
        <v>100</v>
      </c>
      <c r="V38" s="774" t="s">
        <v>21</v>
      </c>
      <c r="W38" s="775">
        <f t="shared" si="14"/>
        <v>100</v>
      </c>
      <c r="X38" s="1813"/>
      <c r="Y38" s="3205" t="s">
        <v>2562</v>
      </c>
      <c r="Z38" s="1814" t="str">
        <f t="shared" si="18"/>
        <v>物业管理</v>
      </c>
      <c r="AA38" s="1811">
        <f t="shared" si="15"/>
        <v>1</v>
      </c>
      <c r="AB38" s="1811">
        <f t="shared" si="16"/>
        <v>1</v>
      </c>
      <c r="AC38" s="1811">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3"/>
      <c r="Q39" s="1810" t="str">
        <f t="shared" si="11"/>
        <v>市政基础设施</v>
      </c>
      <c r="R39" s="774" t="s">
        <v>21</v>
      </c>
      <c r="S39" s="775">
        <f t="shared" si="12"/>
        <v>100</v>
      </c>
      <c r="T39" s="774" t="s">
        <v>21</v>
      </c>
      <c r="U39" s="775">
        <f t="shared" si="13"/>
        <v>100</v>
      </c>
      <c r="V39" s="774" t="s">
        <v>21</v>
      </c>
      <c r="W39" s="775">
        <f t="shared" si="14"/>
        <v>100</v>
      </c>
      <c r="X39" s="1813"/>
      <c r="Y39" s="3205"/>
      <c r="Z39" s="1814" t="str">
        <f t="shared" si="18"/>
        <v>市政基础设施</v>
      </c>
      <c r="AA39" s="1811">
        <f t="shared" si="15"/>
        <v>1</v>
      </c>
      <c r="AB39" s="1811">
        <f t="shared" si="16"/>
        <v>1</v>
      </c>
      <c r="AC39" s="1811">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3"/>
      <c r="Q40" s="1810" t="str">
        <f t="shared" si="11"/>
        <v>房型</v>
      </c>
      <c r="R40" s="774" t="s">
        <v>21</v>
      </c>
      <c r="S40" s="775">
        <f t="shared" si="12"/>
        <v>100</v>
      </c>
      <c r="T40" s="774" t="s">
        <v>21</v>
      </c>
      <c r="U40" s="775">
        <f t="shared" si="13"/>
        <v>100</v>
      </c>
      <c r="V40" s="774" t="s">
        <v>21</v>
      </c>
      <c r="W40" s="775">
        <f t="shared" si="14"/>
        <v>100</v>
      </c>
      <c r="X40" s="1813"/>
      <c r="Y40" s="3205"/>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3"/>
      <c r="Q41" s="776" t="str">
        <f t="shared" si="11"/>
        <v>单套/主力户型建筑面积</v>
      </c>
      <c r="R41" s="777" t="s">
        <v>21</v>
      </c>
      <c r="S41" s="778">
        <f t="shared" si="12"/>
        <v>100</v>
      </c>
      <c r="T41" s="777" t="s">
        <v>21</v>
      </c>
      <c r="U41" s="778">
        <f t="shared" si="13"/>
        <v>100</v>
      </c>
      <c r="V41" s="777" t="s">
        <v>21</v>
      </c>
      <c r="W41" s="778">
        <f t="shared" si="14"/>
        <v>100</v>
      </c>
      <c r="X41" s="779"/>
      <c r="Y41" s="3205"/>
      <c r="Z41" s="780" t="str">
        <f t="shared" si="18"/>
        <v>单套/主力户型建筑面积</v>
      </c>
      <c r="AA41" s="1811">
        <f t="shared" si="15"/>
        <v>1</v>
      </c>
      <c r="AB41" s="1811">
        <f t="shared" si="16"/>
        <v>1</v>
      </c>
      <c r="AC41" s="1811">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3"/>
      <c r="Q42" s="1810" t="str">
        <f t="shared" si="11"/>
        <v>内部装修</v>
      </c>
      <c r="R42" s="774" t="s">
        <v>21</v>
      </c>
      <c r="S42" s="775">
        <f t="shared" si="12"/>
        <v>100</v>
      </c>
      <c r="T42" s="774" t="s">
        <v>21</v>
      </c>
      <c r="U42" s="775">
        <f t="shared" si="13"/>
        <v>100</v>
      </c>
      <c r="V42" s="774" t="s">
        <v>21</v>
      </c>
      <c r="W42" s="775">
        <f t="shared" si="14"/>
        <v>100</v>
      </c>
      <c r="X42" s="1813"/>
      <c r="Y42" s="3205"/>
      <c r="Z42" s="1814" t="str">
        <f t="shared" si="18"/>
        <v>内部装修</v>
      </c>
      <c r="AA42" s="1811">
        <f t="shared" si="15"/>
        <v>1</v>
      </c>
      <c r="AB42" s="1811">
        <f t="shared" si="16"/>
        <v>1</v>
      </c>
      <c r="AC42" s="1811">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3"/>
      <c r="Q43" s="1810" t="str">
        <f t="shared" si="11"/>
        <v>内部装修维护情况</v>
      </c>
      <c r="R43" s="774" t="s">
        <v>21</v>
      </c>
      <c r="S43" s="775">
        <f t="shared" si="12"/>
        <v>100</v>
      </c>
      <c r="T43" s="774" t="s">
        <v>21</v>
      </c>
      <c r="U43" s="775">
        <f t="shared" si="13"/>
        <v>100</v>
      </c>
      <c r="V43" s="774" t="s">
        <v>21</v>
      </c>
      <c r="W43" s="775">
        <f t="shared" si="14"/>
        <v>100</v>
      </c>
      <c r="X43" s="1813"/>
      <c r="Y43" s="320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3"/>
      <c r="Q44" s="1795">
        <f t="shared" si="11"/>
        <v>111</v>
      </c>
      <c r="R44" s="770" t="s">
        <v>21</v>
      </c>
      <c r="S44" s="771">
        <f t="shared" si="12"/>
        <v>100</v>
      </c>
      <c r="T44" s="770" t="s">
        <v>21</v>
      </c>
      <c r="U44" s="771">
        <f t="shared" si="13"/>
        <v>100</v>
      </c>
      <c r="V44" s="770" t="s">
        <v>21</v>
      </c>
      <c r="W44" s="771">
        <f t="shared" si="14"/>
        <v>100</v>
      </c>
      <c r="X44" s="772"/>
      <c r="Y44" s="320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3"/>
      <c r="Q45" s="1810">
        <f t="shared" si="11"/>
        <v>111</v>
      </c>
      <c r="R45" s="774" t="s">
        <v>21</v>
      </c>
      <c r="S45" s="775">
        <f t="shared" si="12"/>
        <v>100</v>
      </c>
      <c r="T45" s="774" t="s">
        <v>21</v>
      </c>
      <c r="U45" s="775">
        <f t="shared" si="13"/>
        <v>100</v>
      </c>
      <c r="V45" s="774" t="s">
        <v>21</v>
      </c>
      <c r="W45" s="775">
        <f t="shared" si="14"/>
        <v>100</v>
      </c>
      <c r="X45" s="1813"/>
      <c r="Y45" s="3205"/>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4"/>
      <c r="Q46" s="1810">
        <f t="shared" si="11"/>
        <v>111</v>
      </c>
      <c r="R46" s="774" t="s">
        <v>20</v>
      </c>
      <c r="S46" s="775">
        <f t="shared" si="12"/>
        <v>100</v>
      </c>
      <c r="T46" s="774" t="s">
        <v>20</v>
      </c>
      <c r="U46" s="775">
        <f t="shared" si="13"/>
        <v>100</v>
      </c>
      <c r="V46" s="774" t="s">
        <v>20</v>
      </c>
      <c r="W46" s="775">
        <f t="shared" si="14"/>
        <v>100</v>
      </c>
      <c r="X46" s="1813"/>
      <c r="Y46" s="3206"/>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3"/>
      <c r="L47" s="1143"/>
      <c r="M47" s="1144"/>
      <c r="N47" s="1131"/>
      <c r="O47" s="1144"/>
      <c r="P47" s="3198" t="str">
        <f>A47</f>
        <v>成交单价（元/平方米）</v>
      </c>
      <c r="Q47" s="3198"/>
      <c r="R47" s="3199">
        <f>E47</f>
        <v>0</v>
      </c>
      <c r="S47" s="3199"/>
      <c r="T47" s="3199">
        <f>G47</f>
        <v>0</v>
      </c>
      <c r="U47" s="3199"/>
      <c r="V47" s="3199">
        <f>I47</f>
        <v>0</v>
      </c>
      <c r="W47" s="3199"/>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4"/>
      <c r="L48" s="1143"/>
      <c r="M48" s="1144"/>
      <c r="N48" s="1144"/>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5"/>
      <c r="L49" s="1143"/>
      <c r="M49" s="1144"/>
      <c r="N49" s="1144"/>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8"/>
      <c r="Q57" s="504"/>
    </row>
    <row r="58" spans="1:29" s="508" customFormat="1" ht="15">
      <c r="A58" s="505" t="s">
        <v>2581</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2601</v>
      </c>
      <c r="D82" s="539" t="s">
        <v>2602</v>
      </c>
      <c r="E82" s="539" t="s">
        <v>2603</v>
      </c>
      <c r="F82" s="539" t="s">
        <v>2604</v>
      </c>
      <c r="G82" s="539" t="s">
        <v>2605</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2608</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2560</v>
      </c>
      <c r="B100" s="528" t="s">
        <v>2609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2612</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2613</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2616</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4">
        <v>6</v>
      </c>
      <c r="C139" s="1085">
        <v>96</v>
      </c>
      <c r="D139" s="2650" t="s">
        <v>2628</v>
      </c>
      <c r="E139" s="1086">
        <v>100</v>
      </c>
      <c r="F139" s="1087">
        <v>102.5</v>
      </c>
      <c r="G139" s="2650" t="s">
        <v>2628</v>
      </c>
      <c r="H139" s="1088">
        <v>105</v>
      </c>
      <c r="I139" s="2651" t="s">
        <v>2629</v>
      </c>
      <c r="J139" s="1085">
        <v>20</v>
      </c>
      <c r="K139" s="1089">
        <f>C145/(J139-2)</f>
        <v>4.0555555555555553E-3</v>
      </c>
    </row>
    <row r="140" spans="1:17" ht="15">
      <c r="B140" s="1090">
        <v>5</v>
      </c>
      <c r="C140" s="1091">
        <v>100</v>
      </c>
      <c r="D140" s="1091"/>
      <c r="E140" s="1092"/>
      <c r="F140" s="1093">
        <v>102</v>
      </c>
      <c r="G140" s="1091"/>
      <c r="H140" s="1094"/>
      <c r="I140" s="2652" t="s">
        <v>2630</v>
      </c>
      <c r="J140" s="315">
        <f>ROUNDUP((J139-1)/2,0)</f>
        <v>10</v>
      </c>
      <c r="K140" s="1095">
        <v>100</v>
      </c>
    </row>
    <row r="141" spans="1:17" ht="15">
      <c r="B141" s="1090">
        <v>4</v>
      </c>
      <c r="C141" s="1091">
        <v>102</v>
      </c>
      <c r="D141" s="1091"/>
      <c r="E141" s="1092"/>
      <c r="F141" s="1093">
        <v>101.5</v>
      </c>
      <c r="G141" s="1091"/>
      <c r="H141" s="1094"/>
      <c r="I141" s="2652" t="s">
        <v>2631</v>
      </c>
      <c r="J141" s="315">
        <v>1</v>
      </c>
      <c r="K141" s="1096">
        <f>ROUND(100+(J141-J140)*K139*100,1)</f>
        <v>96.4</v>
      </c>
    </row>
    <row r="142" spans="1:17" ht="15">
      <c r="B142" s="1090">
        <v>3</v>
      </c>
      <c r="C142" s="1091">
        <v>103</v>
      </c>
      <c r="D142" s="1091"/>
      <c r="E142" s="1092"/>
      <c r="F142" s="1093">
        <v>101</v>
      </c>
      <c r="G142" s="1091"/>
      <c r="H142" s="1094"/>
      <c r="I142" s="2652" t="s">
        <v>2632</v>
      </c>
      <c r="J142" s="315">
        <f>J139</f>
        <v>20</v>
      </c>
      <c r="K142" s="1097">
        <v>95</v>
      </c>
    </row>
    <row r="143" spans="1:17" ht="15">
      <c r="B143" s="1090">
        <v>2</v>
      </c>
      <c r="C143" s="1091">
        <v>100</v>
      </c>
      <c r="D143" s="1091"/>
      <c r="E143" s="1092"/>
      <c r="F143" s="1093">
        <v>100.5</v>
      </c>
      <c r="G143" s="1091"/>
      <c r="H143" s="1094"/>
      <c r="I143" s="2652" t="s">
        <v>2633</v>
      </c>
      <c r="J143" s="1091">
        <v>15</v>
      </c>
      <c r="K143" s="1096">
        <f>ROUND(100+(J143-J140)*K139*100,1)</f>
        <v>102</v>
      </c>
    </row>
    <row r="144" spans="1:17" ht="15">
      <c r="B144" s="1090">
        <v>1</v>
      </c>
      <c r="C144" s="1091">
        <v>98</v>
      </c>
      <c r="D144" s="2653" t="s">
        <v>2634</v>
      </c>
      <c r="E144" s="1092">
        <v>102</v>
      </c>
      <c r="F144" s="1098">
        <v>100</v>
      </c>
      <c r="G144" s="2653" t="s">
        <v>2634</v>
      </c>
      <c r="H144" s="1094">
        <v>105</v>
      </c>
      <c r="I144" s="2652" t="s">
        <v>2633</v>
      </c>
      <c r="J144" s="1091">
        <v>18</v>
      </c>
      <c r="K144" s="1096">
        <f>ROUND(100+(J144-J140)*K139*100,1)</f>
        <v>103.2</v>
      </c>
    </row>
    <row r="145" spans="2:11" ht="15.75" thickBot="1">
      <c r="B145" s="2654" t="s">
        <v>2635</v>
      </c>
      <c r="C145" s="1099">
        <f>ROUND(MAX(C139:C144)/MIN(C139:C144)-1,3)</f>
        <v>7.2999999999999995E-2</v>
      </c>
      <c r="D145" s="1100"/>
      <c r="E145" s="1100"/>
      <c r="F145" s="2655" t="s">
        <v>2636</v>
      </c>
      <c r="G145" s="2656"/>
      <c r="H145" s="2657"/>
      <c r="I145" s="2658" t="s">
        <v>2633</v>
      </c>
      <c r="J145" s="1101">
        <v>8</v>
      </c>
      <c r="K145" s="1102">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2639</v>
      </c>
      <c r="C1" s="1634" t="s">
        <v>2527</v>
      </c>
      <c r="D1" s="1621"/>
      <c r="E1" s="2659"/>
      <c r="F1" s="2586"/>
      <c r="G1" s="1631" t="s">
        <v>2640</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2324</v>
      </c>
      <c r="B2" s="1418" t="e">
        <f ca="1">IF(C2="——",ROUND(C49*D3/10000,0),ROUND(C49*D3/10000,0)-D2)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2326</v>
      </c>
      <c r="B3" s="609" t="e">
        <f ca="1">IF(C2="——",C49,ROUND(B2*10000/D3,0))</f>
        <v>#DIV/0!</v>
      </c>
      <c r="C3" s="400" t="s">
        <v>2641</v>
      </c>
      <c r="D3" s="399">
        <f>IF(D1="",'数据-汇总表'!E3,SUMIF('数据-汇总表'!$C19:$C33,D1,'数据-汇总表'!$E19:$E33))</f>
        <v>16188.669999999998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29" t="s">
        <v>2645</v>
      </c>
      <c r="AC4" s="3210" t="s">
        <v>2646</v>
      </c>
    </row>
    <row r="5" spans="1:29"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29"/>
      <c r="AC5" s="3211"/>
    </row>
    <row r="6" spans="1:29" ht="15.75" thickBot="1">
      <c r="A6" s="406"/>
      <c r="B6" s="407"/>
      <c r="C6" s="3230" t="s">
        <v>2543</v>
      </c>
      <c r="D6" s="3231"/>
      <c r="E6" s="3237" t="s">
        <v>2543</v>
      </c>
      <c r="F6" s="3238"/>
      <c r="G6" s="3230" t="s">
        <v>2543</v>
      </c>
      <c r="H6" s="3231"/>
      <c r="I6" s="3230" t="s">
        <v>2543</v>
      </c>
      <c r="J6" s="3231"/>
      <c r="K6" s="610" t="s">
        <v>2544</v>
      </c>
      <c r="L6" s="1130"/>
      <c r="M6" s="1131"/>
      <c r="N6" s="1131"/>
      <c r="O6" s="1131"/>
      <c r="P6" s="3221"/>
      <c r="Q6" s="3222"/>
      <c r="R6" s="3225"/>
      <c r="S6" s="3226"/>
      <c r="T6" s="3227"/>
      <c r="U6" s="3228"/>
      <c r="V6" s="3229"/>
      <c r="W6" s="3229"/>
      <c r="X6" s="1813"/>
      <c r="Y6" s="3227"/>
      <c r="Z6" s="3228"/>
      <c r="AA6" s="3212"/>
      <c r="AB6" s="3229"/>
      <c r="AC6" s="3212"/>
    </row>
    <row r="7" spans="1:29" s="117" customFormat="1" ht="15.75" thickBot="1">
      <c r="A7" s="408" t="s">
        <v>2545</v>
      </c>
      <c r="B7" s="409"/>
      <c r="C7" s="410">
        <f>'数据-取费表'!B2</f>
        <v>43929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4" t="s">
        <v>2546</v>
      </c>
      <c r="Q7" s="3236"/>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7" t="s">
        <v>2557</v>
      </c>
      <c r="Q15" s="1810" t="str">
        <f t="shared" si="6"/>
        <v>商业繁华度</v>
      </c>
      <c r="R15" s="774" t="s">
        <v>17</v>
      </c>
      <c r="S15" s="775">
        <f t="shared" si="0"/>
        <v>100</v>
      </c>
      <c r="T15" s="774" t="s">
        <v>17</v>
      </c>
      <c r="U15" s="775">
        <f t="shared" si="1"/>
        <v>100</v>
      </c>
      <c r="V15" s="774" t="s">
        <v>17</v>
      </c>
      <c r="W15" s="775">
        <f t="shared" si="2"/>
        <v>100</v>
      </c>
      <c r="X15" s="1813"/>
      <c r="Y15" s="3200"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8"/>
      <c r="Q16" s="1810"/>
      <c r="R16" s="774"/>
      <c r="S16" s="775"/>
      <c r="T16" s="774"/>
      <c r="U16" s="775"/>
      <c r="V16" s="774"/>
      <c r="W16" s="775"/>
      <c r="X16" s="1813"/>
      <c r="Y16" s="3201"/>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8"/>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08"/>
      <c r="Q18" s="1810"/>
      <c r="R18" s="774"/>
      <c r="S18" s="775"/>
      <c r="T18" s="774"/>
      <c r="U18" s="775"/>
      <c r="V18" s="774"/>
      <c r="W18" s="775"/>
      <c r="X18" s="1813"/>
      <c r="Y18" s="3201"/>
      <c r="Z18" s="1814"/>
      <c r="AA18" s="1811">
        <v>1</v>
      </c>
      <c r="AB18" s="1811">
        <v>1</v>
      </c>
      <c r="AC18" s="1811">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8"/>
      <c r="Q19" s="1810" t="str">
        <f>B19</f>
        <v>公共配套设施</v>
      </c>
      <c r="R19" s="774" t="s">
        <v>17</v>
      </c>
      <c r="S19" s="775">
        <f>F19</f>
        <v>100</v>
      </c>
      <c r="T19" s="774" t="s">
        <v>17</v>
      </c>
      <c r="U19" s="775">
        <f>H19</f>
        <v>100</v>
      </c>
      <c r="V19" s="774" t="s">
        <v>17</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08"/>
      <c r="Q20" s="1810"/>
      <c r="R20" s="774"/>
      <c r="S20" s="775"/>
      <c r="T20" s="774"/>
      <c r="U20" s="775"/>
      <c r="V20" s="774"/>
      <c r="W20" s="775"/>
      <c r="X20" s="1813"/>
      <c r="Y20" s="3201"/>
      <c r="Z20" s="1814"/>
      <c r="AA20" s="1811">
        <v>1</v>
      </c>
      <c r="AB20" s="1811">
        <v>1</v>
      </c>
      <c r="AC20" s="1811">
        <v>1</v>
      </c>
    </row>
    <row r="21" spans="1:29" ht="28.5">
      <c r="A21" s="428"/>
      <c r="B21" s="1384"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8"/>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08"/>
      <c r="Q22" s="1810"/>
      <c r="R22" s="774"/>
      <c r="S22" s="775"/>
      <c r="T22" s="774"/>
      <c r="U22" s="775"/>
      <c r="V22" s="774"/>
      <c r="W22" s="775"/>
      <c r="X22" s="1813"/>
      <c r="Y22" s="3201"/>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8"/>
      <c r="Q23" s="1810" t="str">
        <f>B23</f>
        <v>自然及人文环境</v>
      </c>
      <c r="R23" s="774" t="s">
        <v>17</v>
      </c>
      <c r="S23" s="775">
        <f>F23</f>
        <v>100</v>
      </c>
      <c r="T23" s="774" t="s">
        <v>17</v>
      </c>
      <c r="U23" s="775">
        <f>H23</f>
        <v>100</v>
      </c>
      <c r="V23" s="774" t="s">
        <v>17</v>
      </c>
      <c r="W23" s="775">
        <f>J23</f>
        <v>100</v>
      </c>
      <c r="X23" s="1813"/>
      <c r="Y23" s="3201"/>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08"/>
      <c r="Q24" s="1810"/>
      <c r="R24" s="774"/>
      <c r="S24" s="775"/>
      <c r="T24" s="774"/>
      <c r="U24" s="775"/>
      <c r="V24" s="774"/>
      <c r="W24" s="775"/>
      <c r="X24" s="1813"/>
      <c r="Y24" s="3201"/>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8"/>
      <c r="Q25" s="1810" t="str">
        <f t="shared" ref="Q25:Q46" si="11">B25</f>
        <v>临街状况</v>
      </c>
      <c r="R25" s="774" t="s">
        <v>17</v>
      </c>
      <c r="S25" s="775">
        <f>F25</f>
        <v>100</v>
      </c>
      <c r="T25" s="774" t="s">
        <v>17</v>
      </c>
      <c r="U25" s="775">
        <f>H25</f>
        <v>100</v>
      </c>
      <c r="V25" s="774" t="s">
        <v>17</v>
      </c>
      <c r="W25" s="775">
        <f>J25</f>
        <v>100</v>
      </c>
      <c r="X25" s="1813"/>
      <c r="Y25" s="3201"/>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8"/>
      <c r="Q26" s="1810" t="str">
        <f t="shared" si="11"/>
        <v>平面位置/可视性</v>
      </c>
      <c r="R26" s="774" t="s">
        <v>17</v>
      </c>
      <c r="S26" s="775">
        <f>F26</f>
        <v>100</v>
      </c>
      <c r="T26" s="774" t="s">
        <v>17</v>
      </c>
      <c r="U26" s="775">
        <f>H26</f>
        <v>100</v>
      </c>
      <c r="V26" s="774" t="s">
        <v>17</v>
      </c>
      <c r="W26" s="775">
        <f>J26</f>
        <v>100</v>
      </c>
      <c r="X26" s="1813"/>
      <c r="Y26" s="3201"/>
      <c r="Z26" s="1814" t="str">
        <f>Q26</f>
        <v>平面位置/可视性</v>
      </c>
      <c r="AA26" s="1811">
        <f t="shared" si="3"/>
        <v>1</v>
      </c>
      <c r="AB26" s="1811">
        <f t="shared" si="4"/>
        <v>1</v>
      </c>
      <c r="AC26" s="181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08"/>
      <c r="Q27" s="1795" t="str">
        <f t="shared" si="11"/>
        <v>人流量</v>
      </c>
      <c r="R27" s="770" t="s">
        <v>17</v>
      </c>
      <c r="S27" s="771">
        <f>F27</f>
        <v>100</v>
      </c>
      <c r="T27" s="770" t="s">
        <v>17</v>
      </c>
      <c r="U27" s="771">
        <f>H27</f>
        <v>100</v>
      </c>
      <c r="V27" s="770" t="s">
        <v>17</v>
      </c>
      <c r="W27" s="771">
        <f>J27</f>
        <v>100</v>
      </c>
      <c r="X27" s="772"/>
      <c r="Y27" s="3201"/>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8"/>
      <c r="Q29" s="1810">
        <f t="shared" si="11"/>
        <v>111</v>
      </c>
      <c r="R29" s="774" t="s">
        <v>17</v>
      </c>
      <c r="S29" s="775">
        <f t="shared" si="12"/>
        <v>100</v>
      </c>
      <c r="T29" s="774" t="s">
        <v>17</v>
      </c>
      <c r="U29" s="775">
        <f t="shared" si="13"/>
        <v>100</v>
      </c>
      <c r="V29" s="774" t="s">
        <v>17</v>
      </c>
      <c r="W29" s="775">
        <f t="shared" si="14"/>
        <v>100</v>
      </c>
      <c r="X29" s="1813"/>
      <c r="Y29" s="320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8"/>
      <c r="Q30" s="1810">
        <f t="shared" si="11"/>
        <v>111</v>
      </c>
      <c r="R30" s="774" t="s">
        <v>17</v>
      </c>
      <c r="S30" s="775">
        <f t="shared" si="12"/>
        <v>100</v>
      </c>
      <c r="T30" s="774" t="s">
        <v>17</v>
      </c>
      <c r="U30" s="775">
        <f t="shared" si="13"/>
        <v>100</v>
      </c>
      <c r="V30" s="774" t="s">
        <v>17</v>
      </c>
      <c r="W30" s="775">
        <f t="shared" si="14"/>
        <v>100</v>
      </c>
      <c r="X30" s="1813"/>
      <c r="Y30" s="320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8"/>
      <c r="Q31" s="1810">
        <f t="shared" si="11"/>
        <v>111</v>
      </c>
      <c r="R31" s="774" t="s">
        <v>17</v>
      </c>
      <c r="S31" s="775">
        <f t="shared" si="12"/>
        <v>100</v>
      </c>
      <c r="T31" s="774" t="s">
        <v>17</v>
      </c>
      <c r="U31" s="775">
        <f t="shared" si="13"/>
        <v>100</v>
      </c>
      <c r="V31" s="774" t="s">
        <v>17</v>
      </c>
      <c r="W31" s="775">
        <f t="shared" si="14"/>
        <v>100</v>
      </c>
      <c r="X31" s="1813"/>
      <c r="Y31" s="3201"/>
      <c r="Z31" s="1814">
        <f t="shared" si="15"/>
        <v>111</v>
      </c>
      <c r="AA31" s="1811">
        <f t="shared" si="3"/>
        <v>1</v>
      </c>
      <c r="AB31" s="1811">
        <f t="shared" si="4"/>
        <v>1</v>
      </c>
      <c r="AC31" s="181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2" t="s">
        <v>2562</v>
      </c>
      <c r="Q32" s="1810" t="str">
        <f t="shared" si="11"/>
        <v>商业类型</v>
      </c>
      <c r="R32" s="774" t="s">
        <v>17</v>
      </c>
      <c r="S32" s="775">
        <f t="shared" si="12"/>
        <v>100</v>
      </c>
      <c r="T32" s="774" t="s">
        <v>17</v>
      </c>
      <c r="U32" s="775">
        <f t="shared" si="13"/>
        <v>100</v>
      </c>
      <c r="V32" s="774" t="s">
        <v>17</v>
      </c>
      <c r="W32" s="775">
        <f t="shared" si="14"/>
        <v>100</v>
      </c>
      <c r="X32" s="1813"/>
      <c r="Y32" s="3205"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3"/>
      <c r="Q33" s="776" t="str">
        <f t="shared" si="11"/>
        <v>项目建筑规模</v>
      </c>
      <c r="R33" s="777" t="s">
        <v>17</v>
      </c>
      <c r="S33" s="778" t="e">
        <f t="shared" si="12"/>
        <v>#N/A</v>
      </c>
      <c r="T33" s="777" t="s">
        <v>17</v>
      </c>
      <c r="U33" s="778" t="e">
        <f t="shared" si="13"/>
        <v>#N/A</v>
      </c>
      <c r="V33" s="777" t="s">
        <v>17</v>
      </c>
      <c r="W33" s="778" t="e">
        <f t="shared" si="14"/>
        <v>#N/A</v>
      </c>
      <c r="X33" s="779"/>
      <c r="Y33" s="3205"/>
      <c r="Z33" s="780" t="str">
        <f t="shared" si="15"/>
        <v>项目建筑规模</v>
      </c>
      <c r="AA33" s="1811" t="e">
        <f t="shared" si="3"/>
        <v>#N/A</v>
      </c>
      <c r="AB33" s="1811" t="e">
        <f t="shared" si="4"/>
        <v>#N/A</v>
      </c>
      <c r="AC33" s="1811"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3"/>
      <c r="Q34" s="1810" t="str">
        <f t="shared" si="11"/>
        <v>建筑结构</v>
      </c>
      <c r="R34" s="774" t="s">
        <v>17</v>
      </c>
      <c r="S34" s="775">
        <f t="shared" si="12"/>
        <v>100</v>
      </c>
      <c r="T34" s="774" t="s">
        <v>17</v>
      </c>
      <c r="U34" s="775">
        <f t="shared" si="13"/>
        <v>100</v>
      </c>
      <c r="V34" s="774" t="s">
        <v>17</v>
      </c>
      <c r="W34" s="775">
        <f t="shared" si="14"/>
        <v>100</v>
      </c>
      <c r="X34" s="1813"/>
      <c r="Y34" s="3205"/>
      <c r="Z34" s="1814" t="str">
        <f t="shared" si="15"/>
        <v>建筑结构</v>
      </c>
      <c r="AA34" s="1811">
        <f t="shared" si="3"/>
        <v>1</v>
      </c>
      <c r="AB34" s="1811">
        <f t="shared" si="4"/>
        <v>1</v>
      </c>
      <c r="AC34" s="1811">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3"/>
      <c r="Q35" s="1810" t="str">
        <f t="shared" si="11"/>
        <v>公共部分装修</v>
      </c>
      <c r="R35" s="774" t="s">
        <v>17</v>
      </c>
      <c r="S35" s="775">
        <f t="shared" si="12"/>
        <v>100</v>
      </c>
      <c r="T35" s="774" t="s">
        <v>17</v>
      </c>
      <c r="U35" s="775">
        <f t="shared" si="13"/>
        <v>100</v>
      </c>
      <c r="V35" s="774" t="s">
        <v>17</v>
      </c>
      <c r="W35" s="775">
        <f t="shared" si="14"/>
        <v>100</v>
      </c>
      <c r="X35" s="1813"/>
      <c r="Y35" s="3205"/>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3"/>
      <c r="Q36" s="1810" t="str">
        <f t="shared" si="11"/>
        <v>成新度</v>
      </c>
      <c r="R36" s="774" t="s">
        <v>17</v>
      </c>
      <c r="S36" s="775" t="e">
        <f t="shared" si="12"/>
        <v>#N/A</v>
      </c>
      <c r="T36" s="774" t="s">
        <v>17</v>
      </c>
      <c r="U36" s="775" t="e">
        <f t="shared" si="13"/>
        <v>#N/A</v>
      </c>
      <c r="V36" s="774" t="s">
        <v>17</v>
      </c>
      <c r="W36" s="775" t="e">
        <f t="shared" si="14"/>
        <v>#N/A</v>
      </c>
      <c r="X36" s="1813"/>
      <c r="Y36" s="3205"/>
      <c r="Z36" s="1814" t="str">
        <f t="shared" si="15"/>
        <v>成新度</v>
      </c>
      <c r="AA36" s="1811" t="e">
        <f t="shared" si="3"/>
        <v>#N/A</v>
      </c>
      <c r="AB36" s="1811" t="e">
        <f t="shared" si="4"/>
        <v>#N/A</v>
      </c>
      <c r="AC36" s="1811"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3"/>
      <c r="Q37" s="1795" t="str">
        <f t="shared" si="11"/>
        <v>市政基础设施</v>
      </c>
      <c r="R37" s="770" t="s">
        <v>17</v>
      </c>
      <c r="S37" s="771">
        <f t="shared" si="12"/>
        <v>100</v>
      </c>
      <c r="T37" s="770" t="s">
        <v>17</v>
      </c>
      <c r="U37" s="771">
        <f t="shared" si="13"/>
        <v>100</v>
      </c>
      <c r="V37" s="770" t="s">
        <v>17</v>
      </c>
      <c r="W37" s="771">
        <f t="shared" si="14"/>
        <v>100</v>
      </c>
      <c r="X37" s="772"/>
      <c r="Y37" s="3205"/>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3" t="s">
        <v>2562</v>
      </c>
      <c r="Q38" s="1810" t="str">
        <f t="shared" si="11"/>
        <v>业态</v>
      </c>
      <c r="R38" s="774" t="s">
        <v>17</v>
      </c>
      <c r="S38" s="775">
        <f t="shared" si="12"/>
        <v>100</v>
      </c>
      <c r="T38" s="774" t="s">
        <v>17</v>
      </c>
      <c r="U38" s="775">
        <f t="shared" si="13"/>
        <v>100</v>
      </c>
      <c r="V38" s="774" t="s">
        <v>17</v>
      </c>
      <c r="W38" s="775">
        <f t="shared" si="14"/>
        <v>100</v>
      </c>
      <c r="X38" s="1813"/>
      <c r="Y38" s="3205" t="s">
        <v>2562</v>
      </c>
      <c r="Z38" s="1814" t="str">
        <f t="shared" si="15"/>
        <v>业态</v>
      </c>
      <c r="AA38" s="1811">
        <f t="shared" si="3"/>
        <v>1</v>
      </c>
      <c r="AB38" s="1811">
        <f t="shared" si="4"/>
        <v>1</v>
      </c>
      <c r="AC38" s="1811">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3"/>
      <c r="Q39" s="1810" t="str">
        <f t="shared" si="11"/>
        <v>层高</v>
      </c>
      <c r="R39" s="774" t="s">
        <v>17</v>
      </c>
      <c r="S39" s="775">
        <f t="shared" si="12"/>
        <v>100</v>
      </c>
      <c r="T39" s="774" t="s">
        <v>17</v>
      </c>
      <c r="U39" s="775">
        <f t="shared" si="13"/>
        <v>100</v>
      </c>
      <c r="V39" s="774" t="s">
        <v>17</v>
      </c>
      <c r="W39" s="775">
        <f t="shared" si="14"/>
        <v>100</v>
      </c>
      <c r="X39" s="1813"/>
      <c r="Y39" s="3205"/>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3"/>
      <c r="Q40" s="1810" t="str">
        <f t="shared" si="11"/>
        <v>单套建筑面积</v>
      </c>
      <c r="R40" s="774" t="s">
        <v>17</v>
      </c>
      <c r="S40" s="775">
        <f t="shared" si="12"/>
        <v>100</v>
      </c>
      <c r="T40" s="774" t="s">
        <v>17</v>
      </c>
      <c r="U40" s="775">
        <f t="shared" si="13"/>
        <v>100</v>
      </c>
      <c r="V40" s="774" t="s">
        <v>17</v>
      </c>
      <c r="W40" s="775">
        <f t="shared" si="14"/>
        <v>100</v>
      </c>
      <c r="X40" s="1813"/>
      <c r="Y40" s="3205"/>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3"/>
      <c r="Q41" s="776" t="str">
        <f t="shared" si="11"/>
        <v>进深比</v>
      </c>
      <c r="R41" s="777" t="s">
        <v>17</v>
      </c>
      <c r="S41" s="778">
        <f t="shared" si="12"/>
        <v>100</v>
      </c>
      <c r="T41" s="777" t="s">
        <v>17</v>
      </c>
      <c r="U41" s="778">
        <f t="shared" si="13"/>
        <v>100</v>
      </c>
      <c r="V41" s="777" t="s">
        <v>17</v>
      </c>
      <c r="W41" s="778">
        <f t="shared" si="14"/>
        <v>100</v>
      </c>
      <c r="X41" s="779"/>
      <c r="Y41" s="3205"/>
      <c r="Z41" s="780" t="str">
        <f t="shared" si="15"/>
        <v>进深比</v>
      </c>
      <c r="AA41" s="1811">
        <f t="shared" si="3"/>
        <v>1</v>
      </c>
      <c r="AB41" s="1811">
        <f t="shared" si="4"/>
        <v>1</v>
      </c>
      <c r="AC41" s="1811">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3"/>
      <c r="Q42" s="1810" t="str">
        <f t="shared" si="11"/>
        <v>内部装修</v>
      </c>
      <c r="R42" s="774" t="s">
        <v>17</v>
      </c>
      <c r="S42" s="775">
        <f t="shared" si="12"/>
        <v>100</v>
      </c>
      <c r="T42" s="774" t="s">
        <v>17</v>
      </c>
      <c r="U42" s="775">
        <f t="shared" si="13"/>
        <v>100</v>
      </c>
      <c r="V42" s="774" t="s">
        <v>17</v>
      </c>
      <c r="W42" s="775">
        <f t="shared" si="14"/>
        <v>100</v>
      </c>
      <c r="X42" s="1813"/>
      <c r="Y42" s="3205"/>
      <c r="Z42" s="1814" t="str">
        <f t="shared" si="15"/>
        <v>内部装修</v>
      </c>
      <c r="AA42" s="1811">
        <f t="shared" si="3"/>
        <v>1</v>
      </c>
      <c r="AB42" s="1811">
        <f t="shared" si="4"/>
        <v>1</v>
      </c>
      <c r="AC42" s="1811">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3"/>
      <c r="Q43" s="1810" t="str">
        <f t="shared" si="11"/>
        <v>内部装修维护情况</v>
      </c>
      <c r="R43" s="774" t="s">
        <v>17</v>
      </c>
      <c r="S43" s="775">
        <f t="shared" si="12"/>
        <v>100</v>
      </c>
      <c r="T43" s="774" t="s">
        <v>17</v>
      </c>
      <c r="U43" s="775">
        <f t="shared" si="13"/>
        <v>100</v>
      </c>
      <c r="V43" s="774" t="s">
        <v>17</v>
      </c>
      <c r="W43" s="775">
        <f t="shared" si="14"/>
        <v>100</v>
      </c>
      <c r="X43" s="1813"/>
      <c r="Y43" s="320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3"/>
      <c r="Q44" s="1795">
        <f t="shared" si="11"/>
        <v>111</v>
      </c>
      <c r="R44" s="770" t="s">
        <v>17</v>
      </c>
      <c r="S44" s="771">
        <f t="shared" si="12"/>
        <v>100</v>
      </c>
      <c r="T44" s="770" t="s">
        <v>17</v>
      </c>
      <c r="U44" s="771">
        <f t="shared" si="13"/>
        <v>100</v>
      </c>
      <c r="V44" s="770" t="s">
        <v>17</v>
      </c>
      <c r="W44" s="771">
        <f t="shared" si="14"/>
        <v>100</v>
      </c>
      <c r="X44" s="772"/>
      <c r="Y44" s="320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3"/>
      <c r="Q45" s="1810">
        <f t="shared" si="11"/>
        <v>111</v>
      </c>
      <c r="R45" s="774" t="s">
        <v>17</v>
      </c>
      <c r="S45" s="775">
        <f t="shared" si="12"/>
        <v>100</v>
      </c>
      <c r="T45" s="774" t="s">
        <v>17</v>
      </c>
      <c r="U45" s="775">
        <f t="shared" si="13"/>
        <v>100</v>
      </c>
      <c r="V45" s="774" t="s">
        <v>17</v>
      </c>
      <c r="W45" s="775">
        <f t="shared" si="14"/>
        <v>100</v>
      </c>
      <c r="X45" s="1813"/>
      <c r="Y45" s="3205"/>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4"/>
      <c r="Q46" s="1810">
        <f t="shared" si="11"/>
        <v>111</v>
      </c>
      <c r="R46" s="774" t="s">
        <v>17</v>
      </c>
      <c r="S46" s="775">
        <f t="shared" si="12"/>
        <v>100</v>
      </c>
      <c r="T46" s="774" t="s">
        <v>17</v>
      </c>
      <c r="U46" s="775">
        <f t="shared" si="13"/>
        <v>100</v>
      </c>
      <c r="V46" s="774" t="s">
        <v>17</v>
      </c>
      <c r="W46" s="775">
        <f t="shared" si="14"/>
        <v>100</v>
      </c>
      <c r="X46" s="1813"/>
      <c r="Y46" s="3206"/>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98" t="str">
        <f>A47</f>
        <v>成交单价（元/平方米）</v>
      </c>
      <c r="Q47" s="3198"/>
      <c r="R47" s="3229">
        <f>E47</f>
        <v>0</v>
      </c>
      <c r="S47" s="3229"/>
      <c r="T47" s="3229">
        <f>G47</f>
        <v>0</v>
      </c>
      <c r="U47" s="3229"/>
      <c r="V47" s="3229">
        <f>I47</f>
        <v>0</v>
      </c>
      <c r="W47" s="322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95" t="str">
        <f>A49</f>
        <v>估价对象XX用房的比较价值（楼面单价，元/平方米）</v>
      </c>
      <c r="Q49" s="3196"/>
      <c r="R49" s="3197" t="e">
        <f>IF(F1="售价",ROUND(AVERAGE(R48:V48),0),ROUND(AVERAGE(R48:V48),1))</f>
        <v>#DIV/0!</v>
      </c>
      <c r="S49" s="3197"/>
      <c r="T49" s="3197"/>
      <c r="U49" s="3197"/>
      <c r="V49" s="3197"/>
      <c r="W49" s="319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2545</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2560</v>
      </c>
      <c r="B100" s="528" t="s">
        <v>2678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2613</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2681</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2683</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16188.669999999998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47" t="s">
        <v>2648</v>
      </c>
      <c r="Q4" s="3248"/>
      <c r="R4" s="3251" t="s">
        <v>2644</v>
      </c>
      <c r="S4" s="3252"/>
      <c r="T4" s="3251" t="s">
        <v>2645</v>
      </c>
      <c r="U4" s="3252"/>
      <c r="V4" s="3253" t="s">
        <v>2646</v>
      </c>
      <c r="W4" s="3253"/>
      <c r="X4" s="2672"/>
      <c r="Y4" s="3251" t="s">
        <v>2648</v>
      </c>
      <c r="Z4" s="3252"/>
      <c r="AA4" s="3255" t="s">
        <v>2644</v>
      </c>
      <c r="AB4" s="3255" t="s">
        <v>2645</v>
      </c>
      <c r="AC4" s="3244" t="s">
        <v>2646</v>
      </c>
    </row>
    <row r="5" spans="1:29" ht="15">
      <c r="A5" s="404"/>
      <c r="B5" s="405"/>
      <c r="C5" s="3232" t="s">
        <v>2539</v>
      </c>
      <c r="D5" s="3233"/>
      <c r="E5" s="3239" t="s">
        <v>2540</v>
      </c>
      <c r="F5" s="3240"/>
      <c r="G5" s="3232" t="s">
        <v>2541</v>
      </c>
      <c r="H5" s="3233"/>
      <c r="I5" s="3232" t="s">
        <v>2542</v>
      </c>
      <c r="J5" s="3233"/>
      <c r="K5" s="610"/>
      <c r="L5" s="1130"/>
      <c r="M5" s="1131"/>
      <c r="N5" s="1131"/>
      <c r="O5" s="1131"/>
      <c r="P5" s="3249"/>
      <c r="Q5" s="3220"/>
      <c r="R5" s="3225"/>
      <c r="S5" s="3226"/>
      <c r="T5" s="3225"/>
      <c r="U5" s="3226"/>
      <c r="V5" s="3229"/>
      <c r="W5" s="3229"/>
      <c r="X5" s="1813"/>
      <c r="Y5" s="3225"/>
      <c r="Z5" s="3226"/>
      <c r="AA5" s="3211"/>
      <c r="AB5" s="3211"/>
      <c r="AC5" s="3245"/>
    </row>
    <row r="6" spans="1:29" ht="15.75" thickBot="1">
      <c r="A6" s="406"/>
      <c r="B6" s="407"/>
      <c r="C6" s="3230" t="s">
        <v>2543</v>
      </c>
      <c r="D6" s="3231"/>
      <c r="E6" s="3237" t="s">
        <v>2543</v>
      </c>
      <c r="F6" s="3238"/>
      <c r="G6" s="3230" t="s">
        <v>2543</v>
      </c>
      <c r="H6" s="3231"/>
      <c r="I6" s="3230" t="s">
        <v>2543</v>
      </c>
      <c r="J6" s="3231"/>
      <c r="K6" s="610" t="s">
        <v>2544</v>
      </c>
      <c r="L6" s="1130"/>
      <c r="M6" s="1131"/>
      <c r="N6" s="1131"/>
      <c r="O6" s="1131"/>
      <c r="P6" s="3250"/>
      <c r="Q6" s="3222"/>
      <c r="R6" s="3225"/>
      <c r="S6" s="3226"/>
      <c r="T6" s="3227"/>
      <c r="U6" s="3228"/>
      <c r="V6" s="3229"/>
      <c r="W6" s="3229"/>
      <c r="X6" s="1813"/>
      <c r="Y6" s="3227"/>
      <c r="Z6" s="3228"/>
      <c r="AA6" s="3212"/>
      <c r="AB6" s="3212"/>
      <c r="AC6" s="3246"/>
    </row>
    <row r="7" spans="1:29" s="117" customFormat="1" ht="15.75" thickBot="1">
      <c r="A7" s="408" t="s">
        <v>2545</v>
      </c>
      <c r="B7" s="409"/>
      <c r="C7" s="410">
        <f>'数据-取费表'!B2</f>
        <v>43929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4" t="s">
        <v>2546</v>
      </c>
      <c r="Q7" s="3236"/>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4" t="s">
        <v>2549</v>
      </c>
      <c r="Q8" s="3235"/>
      <c r="R8" s="770" t="s">
        <v>17</v>
      </c>
      <c r="S8" s="771">
        <f t="shared" si="0"/>
        <v>0</v>
      </c>
      <c r="T8" s="770" t="s">
        <v>17</v>
      </c>
      <c r="U8" s="771">
        <f t="shared" si="1"/>
        <v>0</v>
      </c>
      <c r="V8" s="770" t="s">
        <v>17</v>
      </c>
      <c r="W8" s="771">
        <f t="shared" si="2"/>
        <v>0</v>
      </c>
      <c r="X8" s="772"/>
      <c r="Y8" s="3234" t="s">
        <v>2549</v>
      </c>
      <c r="Z8" s="3235"/>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7" t="s">
        <v>2557</v>
      </c>
      <c r="Q15" s="1810" t="str">
        <f t="shared" si="6"/>
        <v>办公集聚程度</v>
      </c>
      <c r="R15" s="774" t="s">
        <v>17</v>
      </c>
      <c r="S15" s="775">
        <f t="shared" si="0"/>
        <v>100</v>
      </c>
      <c r="T15" s="774" t="s">
        <v>17</v>
      </c>
      <c r="U15" s="775">
        <f t="shared" si="1"/>
        <v>100</v>
      </c>
      <c r="V15" s="774" t="s">
        <v>17</v>
      </c>
      <c r="W15" s="775">
        <f t="shared" si="2"/>
        <v>100</v>
      </c>
      <c r="X15" s="1813"/>
      <c r="Y15" s="3200" t="s">
        <v>2557</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08"/>
      <c r="Q16" s="1810"/>
      <c r="R16" s="774"/>
      <c r="S16" s="775"/>
      <c r="T16" s="774"/>
      <c r="U16" s="775"/>
      <c r="V16" s="774"/>
      <c r="W16" s="775"/>
      <c r="X16" s="1813"/>
      <c r="Y16" s="3201"/>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8"/>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08"/>
      <c r="Q18" s="1810"/>
      <c r="R18" s="774"/>
      <c r="S18" s="775"/>
      <c r="T18" s="774"/>
      <c r="U18" s="775"/>
      <c r="V18" s="774"/>
      <c r="W18" s="775"/>
      <c r="X18" s="1813"/>
      <c r="Y18" s="3201"/>
      <c r="Z18" s="1814"/>
      <c r="AA18" s="1811">
        <v>1</v>
      </c>
      <c r="AB18" s="1811">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8"/>
      <c r="Q19" s="1810" t="str">
        <f>B19</f>
        <v>公共配套设施</v>
      </c>
      <c r="R19" s="774" t="s">
        <v>17</v>
      </c>
      <c r="S19" s="775">
        <f>F19</f>
        <v>100</v>
      </c>
      <c r="T19" s="774" t="s">
        <v>17</v>
      </c>
      <c r="U19" s="775">
        <f>H19</f>
        <v>100</v>
      </c>
      <c r="V19" s="774" t="s">
        <v>17</v>
      </c>
      <c r="W19" s="775">
        <f>J19</f>
        <v>100</v>
      </c>
      <c r="X19" s="1813"/>
      <c r="Y19" s="3201"/>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08"/>
      <c r="Q20" s="1810"/>
      <c r="R20" s="774"/>
      <c r="S20" s="775"/>
      <c r="T20" s="774"/>
      <c r="U20" s="775"/>
      <c r="V20" s="774"/>
      <c r="W20" s="775"/>
      <c r="X20" s="1813"/>
      <c r="Y20" s="3201"/>
      <c r="Z20" s="1814"/>
      <c r="AA20" s="1811">
        <v>1</v>
      </c>
      <c r="AB20" s="1811">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8"/>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08"/>
      <c r="Q22" s="1810"/>
      <c r="R22" s="774"/>
      <c r="S22" s="775"/>
      <c r="T22" s="774"/>
      <c r="U22" s="775"/>
      <c r="V22" s="774"/>
      <c r="W22" s="775"/>
      <c r="X22" s="1813"/>
      <c r="Y22" s="3201"/>
      <c r="Z22" s="1814"/>
      <c r="AA22" s="1811">
        <v>1</v>
      </c>
      <c r="AB22" s="1811">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8"/>
      <c r="Q23" s="1810" t="str">
        <f>B23</f>
        <v>环境质量</v>
      </c>
      <c r="R23" s="774" t="s">
        <v>17</v>
      </c>
      <c r="S23" s="775">
        <f>F23</f>
        <v>100</v>
      </c>
      <c r="T23" s="774" t="s">
        <v>17</v>
      </c>
      <c r="U23" s="775">
        <f>H23</f>
        <v>100</v>
      </c>
      <c r="V23" s="774" t="s">
        <v>17</v>
      </c>
      <c r="W23" s="775">
        <f>J23</f>
        <v>100</v>
      </c>
      <c r="X23" s="1813"/>
      <c r="Y23" s="3201"/>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08"/>
      <c r="Q24" s="1810"/>
      <c r="R24" s="774"/>
      <c r="S24" s="775"/>
      <c r="T24" s="774"/>
      <c r="U24" s="775"/>
      <c r="V24" s="774"/>
      <c r="W24" s="775"/>
      <c r="X24" s="1813"/>
      <c r="Y24" s="3201"/>
      <c r="Z24" s="1814"/>
      <c r="AA24" s="1811">
        <v>1</v>
      </c>
      <c r="AB24" s="1811">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08"/>
      <c r="Q25" s="1810" t="str">
        <f>B25</f>
        <v>毗邻道路的类型与等级</v>
      </c>
      <c r="R25" s="774" t="s">
        <v>17</v>
      </c>
      <c r="S25" s="775">
        <f>F25</f>
        <v>100</v>
      </c>
      <c r="T25" s="774" t="s">
        <v>17</v>
      </c>
      <c r="U25" s="775">
        <f>H25</f>
        <v>100</v>
      </c>
      <c r="V25" s="774" t="s">
        <v>17</v>
      </c>
      <c r="W25" s="775">
        <f>J25</f>
        <v>100</v>
      </c>
      <c r="X25" s="1813"/>
      <c r="Y25" s="3201"/>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08"/>
      <c r="Q26" s="1810"/>
      <c r="R26" s="774"/>
      <c r="S26" s="775"/>
      <c r="T26" s="774"/>
      <c r="U26" s="775"/>
      <c r="V26" s="774"/>
      <c r="W26" s="775"/>
      <c r="X26" s="1813"/>
      <c r="Y26" s="3201"/>
      <c r="Z26" s="1814"/>
      <c r="AA26" s="1811">
        <v>1</v>
      </c>
      <c r="AB26" s="1811">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8"/>
      <c r="Q27" s="1810" t="str">
        <f t="shared" ref="Q27:Q47" si="11">B27</f>
        <v>楼层</v>
      </c>
      <c r="R27" s="774" t="s">
        <v>17</v>
      </c>
      <c r="S27" s="775">
        <f>F27</f>
        <v>100</v>
      </c>
      <c r="T27" s="774" t="s">
        <v>17</v>
      </c>
      <c r="U27" s="775">
        <f>H27</f>
        <v>100</v>
      </c>
      <c r="V27" s="774" t="s">
        <v>17</v>
      </c>
      <c r="W27" s="775">
        <f>J27</f>
        <v>100</v>
      </c>
      <c r="X27" s="1813"/>
      <c r="Y27" s="3201"/>
      <c r="Z27" s="1814" t="str">
        <f>Q27</f>
        <v>楼层</v>
      </c>
      <c r="AA27" s="1811">
        <f t="shared" si="3"/>
        <v>1</v>
      </c>
      <c r="AB27" s="1811">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08"/>
      <c r="Q28" s="1795" t="str">
        <f t="shared" si="11"/>
        <v>朝向</v>
      </c>
      <c r="R28" s="770" t="s">
        <v>17</v>
      </c>
      <c r="S28" s="771">
        <f>F28</f>
        <v>100</v>
      </c>
      <c r="T28" s="770" t="s">
        <v>17</v>
      </c>
      <c r="U28" s="771">
        <f>H28</f>
        <v>100</v>
      </c>
      <c r="V28" s="770" t="s">
        <v>17</v>
      </c>
      <c r="W28" s="771">
        <f>J28</f>
        <v>100</v>
      </c>
      <c r="X28" s="772"/>
      <c r="Y28" s="3201"/>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08"/>
      <c r="Q29" s="1810">
        <f t="shared" si="11"/>
        <v>111</v>
      </c>
      <c r="R29" s="774" t="s">
        <v>17</v>
      </c>
      <c r="S29" s="775">
        <f t="shared" ref="S29:S47" si="12">F29</f>
        <v>100</v>
      </c>
      <c r="T29" s="774" t="s">
        <v>17</v>
      </c>
      <c r="U29" s="775">
        <f t="shared" ref="U29:U47" si="13">H29</f>
        <v>100</v>
      </c>
      <c r="V29" s="774" t="s">
        <v>17</v>
      </c>
      <c r="W29" s="775">
        <f t="shared" ref="W29:W47" si="14">J29</f>
        <v>100</v>
      </c>
      <c r="X29" s="1813"/>
      <c r="Y29" s="3201"/>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08"/>
      <c r="Q30" s="1810">
        <f t="shared" si="11"/>
        <v>111</v>
      </c>
      <c r="R30" s="774" t="s">
        <v>17</v>
      </c>
      <c r="S30" s="775">
        <f t="shared" si="12"/>
        <v>100</v>
      </c>
      <c r="T30" s="774" t="s">
        <v>17</v>
      </c>
      <c r="U30" s="775">
        <f t="shared" si="13"/>
        <v>100</v>
      </c>
      <c r="V30" s="774" t="s">
        <v>17</v>
      </c>
      <c r="W30" s="775">
        <f t="shared" si="14"/>
        <v>100</v>
      </c>
      <c r="X30" s="1813"/>
      <c r="Y30" s="3201"/>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08"/>
      <c r="Q31" s="1810">
        <f t="shared" si="11"/>
        <v>111</v>
      </c>
      <c r="R31" s="774" t="s">
        <v>17</v>
      </c>
      <c r="S31" s="775">
        <f t="shared" si="12"/>
        <v>100</v>
      </c>
      <c r="T31" s="774" t="s">
        <v>17</v>
      </c>
      <c r="U31" s="775">
        <f t="shared" si="13"/>
        <v>100</v>
      </c>
      <c r="V31" s="774" t="s">
        <v>17</v>
      </c>
      <c r="W31" s="775">
        <f t="shared" si="14"/>
        <v>100</v>
      </c>
      <c r="X31" s="1813"/>
      <c r="Y31" s="3201"/>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08"/>
      <c r="Q32" s="1810">
        <f t="shared" si="11"/>
        <v>111</v>
      </c>
      <c r="R32" s="774" t="s">
        <v>17</v>
      </c>
      <c r="S32" s="775">
        <f t="shared" si="12"/>
        <v>100</v>
      </c>
      <c r="T32" s="774" t="s">
        <v>17</v>
      </c>
      <c r="U32" s="775">
        <f t="shared" si="13"/>
        <v>100</v>
      </c>
      <c r="V32" s="774" t="s">
        <v>17</v>
      </c>
      <c r="W32" s="775">
        <f t="shared" si="14"/>
        <v>100</v>
      </c>
      <c r="X32" s="1813"/>
      <c r="Y32" s="3201"/>
      <c r="Z32" s="1814">
        <f t="shared" si="15"/>
        <v>111</v>
      </c>
      <c r="AA32" s="1811">
        <f t="shared" si="3"/>
        <v>1</v>
      </c>
      <c r="AB32" s="1811">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2" t="s">
        <v>2562</v>
      </c>
      <c r="Q33" s="1810" t="str">
        <f t="shared" si="11"/>
        <v>建筑类型</v>
      </c>
      <c r="R33" s="774" t="s">
        <v>17</v>
      </c>
      <c r="S33" s="775">
        <f t="shared" si="12"/>
        <v>100</v>
      </c>
      <c r="T33" s="774" t="s">
        <v>17</v>
      </c>
      <c r="U33" s="775">
        <f t="shared" si="13"/>
        <v>100</v>
      </c>
      <c r="V33" s="774" t="s">
        <v>17</v>
      </c>
      <c r="W33" s="775">
        <f t="shared" si="14"/>
        <v>100</v>
      </c>
      <c r="X33" s="1813"/>
      <c r="Y33" s="3205" t="s">
        <v>2562</v>
      </c>
      <c r="Z33" s="1814" t="str">
        <f t="shared" si="15"/>
        <v>建筑类型</v>
      </c>
      <c r="AA33" s="1811">
        <f t="shared" si="3"/>
        <v>1</v>
      </c>
      <c r="AB33" s="1811">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3"/>
      <c r="Q34" s="776" t="str">
        <f t="shared" si="11"/>
        <v>项目建筑规模</v>
      </c>
      <c r="R34" s="777" t="s">
        <v>17</v>
      </c>
      <c r="S34" s="778" t="e">
        <f t="shared" si="12"/>
        <v>#N/A</v>
      </c>
      <c r="T34" s="777" t="s">
        <v>17</v>
      </c>
      <c r="U34" s="778" t="e">
        <f t="shared" si="13"/>
        <v>#N/A</v>
      </c>
      <c r="V34" s="777" t="s">
        <v>17</v>
      </c>
      <c r="W34" s="778" t="e">
        <f t="shared" si="14"/>
        <v>#N/A</v>
      </c>
      <c r="X34" s="779"/>
      <c r="Y34" s="3205"/>
      <c r="Z34" s="780" t="str">
        <f t="shared" si="15"/>
        <v>项目建筑规模</v>
      </c>
      <c r="AA34" s="1811" t="e">
        <f t="shared" si="3"/>
        <v>#N/A</v>
      </c>
      <c r="AB34" s="1811"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3"/>
      <c r="Q35" s="1810" t="str">
        <f t="shared" si="11"/>
        <v>建筑结构</v>
      </c>
      <c r="R35" s="774" t="s">
        <v>17</v>
      </c>
      <c r="S35" s="775">
        <f t="shared" si="12"/>
        <v>100</v>
      </c>
      <c r="T35" s="774" t="s">
        <v>17</v>
      </c>
      <c r="U35" s="775">
        <f t="shared" si="13"/>
        <v>100</v>
      </c>
      <c r="V35" s="774" t="s">
        <v>17</v>
      </c>
      <c r="W35" s="775">
        <f t="shared" si="14"/>
        <v>100</v>
      </c>
      <c r="X35" s="1813"/>
      <c r="Y35" s="3205"/>
      <c r="Z35" s="1814" t="str">
        <f t="shared" si="15"/>
        <v>建筑结构</v>
      </c>
      <c r="AA35" s="1811">
        <f t="shared" si="3"/>
        <v>1</v>
      </c>
      <c r="AB35" s="1811">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3"/>
      <c r="Q36" s="1810" t="str">
        <f t="shared" si="11"/>
        <v>公共部分装修</v>
      </c>
      <c r="R36" s="774" t="s">
        <v>17</v>
      </c>
      <c r="S36" s="775">
        <f t="shared" si="12"/>
        <v>100</v>
      </c>
      <c r="T36" s="774" t="s">
        <v>17</v>
      </c>
      <c r="U36" s="775">
        <f t="shared" si="13"/>
        <v>100</v>
      </c>
      <c r="V36" s="774" t="s">
        <v>17</v>
      </c>
      <c r="W36" s="775">
        <f t="shared" si="14"/>
        <v>100</v>
      </c>
      <c r="X36" s="1813"/>
      <c r="Y36" s="3205"/>
      <c r="Z36" s="1814" t="str">
        <f t="shared" si="15"/>
        <v>公共部分装修</v>
      </c>
      <c r="AA36" s="1811">
        <f t="shared" si="3"/>
        <v>1</v>
      </c>
      <c r="AB36" s="1811">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3"/>
      <c r="Q37" s="1810" t="str">
        <f t="shared" si="11"/>
        <v>成新度</v>
      </c>
      <c r="R37" s="774" t="s">
        <v>17</v>
      </c>
      <c r="S37" s="775" t="e">
        <f t="shared" si="12"/>
        <v>#N/A</v>
      </c>
      <c r="T37" s="774" t="s">
        <v>17</v>
      </c>
      <c r="U37" s="775" t="e">
        <f t="shared" si="13"/>
        <v>#N/A</v>
      </c>
      <c r="V37" s="774" t="s">
        <v>17</v>
      </c>
      <c r="W37" s="775" t="e">
        <f t="shared" si="14"/>
        <v>#N/A</v>
      </c>
      <c r="X37" s="1813"/>
      <c r="Y37" s="3205"/>
      <c r="Z37" s="1814" t="str">
        <f t="shared" si="15"/>
        <v>成新度</v>
      </c>
      <c r="AA37" s="1811" t="e">
        <f t="shared" si="3"/>
        <v>#N/A</v>
      </c>
      <c r="AB37" s="1811"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3"/>
      <c r="Q38" s="1795" t="str">
        <f t="shared" si="11"/>
        <v>写字楼等级</v>
      </c>
      <c r="R38" s="770" t="s">
        <v>17</v>
      </c>
      <c r="S38" s="771">
        <f t="shared" si="12"/>
        <v>100</v>
      </c>
      <c r="T38" s="770" t="s">
        <v>17</v>
      </c>
      <c r="U38" s="771">
        <f t="shared" si="13"/>
        <v>100</v>
      </c>
      <c r="V38" s="770" t="s">
        <v>17</v>
      </c>
      <c r="W38" s="771">
        <f t="shared" si="14"/>
        <v>100</v>
      </c>
      <c r="X38" s="772"/>
      <c r="Y38" s="3205"/>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3" t="s">
        <v>2562</v>
      </c>
      <c r="Q39" s="1810" t="str">
        <f t="shared" si="11"/>
        <v>物业管理</v>
      </c>
      <c r="R39" s="774" t="s">
        <v>17</v>
      </c>
      <c r="S39" s="775">
        <f t="shared" si="12"/>
        <v>100</v>
      </c>
      <c r="T39" s="774" t="s">
        <v>17</v>
      </c>
      <c r="U39" s="775">
        <f t="shared" si="13"/>
        <v>100</v>
      </c>
      <c r="V39" s="774" t="s">
        <v>17</v>
      </c>
      <c r="W39" s="775">
        <f t="shared" si="14"/>
        <v>100</v>
      </c>
      <c r="X39" s="1813"/>
      <c r="Y39" s="3205" t="s">
        <v>2562</v>
      </c>
      <c r="Z39" s="1814" t="str">
        <f t="shared" si="15"/>
        <v>物业管理</v>
      </c>
      <c r="AA39" s="1811">
        <f t="shared" si="3"/>
        <v>1</v>
      </c>
      <c r="AB39" s="1811">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3"/>
      <c r="Q40" s="1810" t="str">
        <f t="shared" si="11"/>
        <v>市政基础设施</v>
      </c>
      <c r="R40" s="774" t="s">
        <v>17</v>
      </c>
      <c r="S40" s="775">
        <f t="shared" si="12"/>
        <v>100</v>
      </c>
      <c r="T40" s="774" t="s">
        <v>17</v>
      </c>
      <c r="U40" s="775">
        <f t="shared" si="13"/>
        <v>100</v>
      </c>
      <c r="V40" s="774" t="s">
        <v>17</v>
      </c>
      <c r="W40" s="775">
        <f t="shared" si="14"/>
        <v>100</v>
      </c>
      <c r="X40" s="1813"/>
      <c r="Y40" s="3205"/>
      <c r="Z40" s="1814" t="str">
        <f t="shared" si="15"/>
        <v>市政基础设施</v>
      </c>
      <c r="AA40" s="1811">
        <f t="shared" si="3"/>
        <v>1</v>
      </c>
      <c r="AB40" s="1811">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3"/>
      <c r="Q41" s="1810" t="str">
        <f t="shared" si="11"/>
        <v>层高</v>
      </c>
      <c r="R41" s="774" t="s">
        <v>17</v>
      </c>
      <c r="S41" s="775">
        <f t="shared" si="12"/>
        <v>100</v>
      </c>
      <c r="T41" s="774" t="s">
        <v>17</v>
      </c>
      <c r="U41" s="775">
        <f t="shared" si="13"/>
        <v>100</v>
      </c>
      <c r="V41" s="774" t="s">
        <v>17</v>
      </c>
      <c r="W41" s="775">
        <f t="shared" si="14"/>
        <v>100</v>
      </c>
      <c r="X41" s="1813"/>
      <c r="Y41" s="3205"/>
      <c r="Z41" s="1814" t="str">
        <f t="shared" si="15"/>
        <v>层高</v>
      </c>
      <c r="AA41" s="1811">
        <f t="shared" si="3"/>
        <v>1</v>
      </c>
      <c r="AB41" s="1811">
        <f t="shared" si="4"/>
        <v>1</v>
      </c>
      <c r="AC41" s="2676">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3"/>
      <c r="Q42" s="776" t="str">
        <f t="shared" si="11"/>
        <v>单套建筑面积</v>
      </c>
      <c r="R42" s="777" t="s">
        <v>17</v>
      </c>
      <c r="S42" s="778">
        <f t="shared" si="12"/>
        <v>100</v>
      </c>
      <c r="T42" s="777" t="s">
        <v>17</v>
      </c>
      <c r="U42" s="778">
        <f t="shared" si="13"/>
        <v>100</v>
      </c>
      <c r="V42" s="777" t="s">
        <v>17</v>
      </c>
      <c r="W42" s="778">
        <f t="shared" si="14"/>
        <v>100</v>
      </c>
      <c r="X42" s="779"/>
      <c r="Y42" s="3205"/>
      <c r="Z42" s="780" t="str">
        <f t="shared" si="15"/>
        <v>单套建筑面积</v>
      </c>
      <c r="AA42" s="1811">
        <f t="shared" si="3"/>
        <v>1</v>
      </c>
      <c r="AB42" s="1811">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3"/>
      <c r="Q43" s="1810" t="str">
        <f t="shared" si="11"/>
        <v>内部装修</v>
      </c>
      <c r="R43" s="774" t="s">
        <v>17</v>
      </c>
      <c r="S43" s="775">
        <f t="shared" si="12"/>
        <v>100</v>
      </c>
      <c r="T43" s="774" t="s">
        <v>17</v>
      </c>
      <c r="U43" s="775">
        <f t="shared" si="13"/>
        <v>100</v>
      </c>
      <c r="V43" s="774" t="s">
        <v>17</v>
      </c>
      <c r="W43" s="775">
        <f t="shared" si="14"/>
        <v>100</v>
      </c>
      <c r="X43" s="1813"/>
      <c r="Y43" s="3205"/>
      <c r="Z43" s="1814" t="str">
        <f t="shared" si="15"/>
        <v>内部装修</v>
      </c>
      <c r="AA43" s="1811">
        <f t="shared" si="3"/>
        <v>1</v>
      </c>
      <c r="AB43" s="1811">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3"/>
      <c r="Q44" s="1810" t="str">
        <f t="shared" si="11"/>
        <v>内部装修维护情况</v>
      </c>
      <c r="R44" s="774" t="s">
        <v>17</v>
      </c>
      <c r="S44" s="775">
        <f t="shared" si="12"/>
        <v>100</v>
      </c>
      <c r="T44" s="774" t="s">
        <v>17</v>
      </c>
      <c r="U44" s="775">
        <f t="shared" si="13"/>
        <v>100</v>
      </c>
      <c r="V44" s="774" t="s">
        <v>17</v>
      </c>
      <c r="W44" s="775">
        <f t="shared" si="14"/>
        <v>100</v>
      </c>
      <c r="X44" s="1813"/>
      <c r="Y44" s="3205"/>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3"/>
      <c r="Q45" s="1795">
        <f t="shared" si="11"/>
        <v>111</v>
      </c>
      <c r="R45" s="770" t="s">
        <v>17</v>
      </c>
      <c r="S45" s="771">
        <f t="shared" si="12"/>
        <v>100</v>
      </c>
      <c r="T45" s="770" t="s">
        <v>17</v>
      </c>
      <c r="U45" s="771">
        <f t="shared" si="13"/>
        <v>100</v>
      </c>
      <c r="V45" s="770" t="s">
        <v>17</v>
      </c>
      <c r="W45" s="771">
        <f t="shared" si="14"/>
        <v>100</v>
      </c>
      <c r="X45" s="772"/>
      <c r="Y45" s="3205"/>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3"/>
      <c r="Q46" s="1810">
        <f t="shared" si="11"/>
        <v>111</v>
      </c>
      <c r="R46" s="774" t="s">
        <v>17</v>
      </c>
      <c r="S46" s="775">
        <f t="shared" si="12"/>
        <v>100</v>
      </c>
      <c r="T46" s="774" t="s">
        <v>17</v>
      </c>
      <c r="U46" s="775">
        <f t="shared" si="13"/>
        <v>100</v>
      </c>
      <c r="V46" s="774" t="s">
        <v>17</v>
      </c>
      <c r="W46" s="775">
        <f t="shared" si="14"/>
        <v>100</v>
      </c>
      <c r="X46" s="1813"/>
      <c r="Y46" s="3205"/>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4"/>
      <c r="Q47" s="1810">
        <f t="shared" si="11"/>
        <v>111</v>
      </c>
      <c r="R47" s="774" t="s">
        <v>17</v>
      </c>
      <c r="S47" s="775">
        <f t="shared" si="12"/>
        <v>100</v>
      </c>
      <c r="T47" s="774" t="s">
        <v>17</v>
      </c>
      <c r="U47" s="775">
        <f t="shared" si="13"/>
        <v>100</v>
      </c>
      <c r="V47" s="774" t="s">
        <v>17</v>
      </c>
      <c r="W47" s="775">
        <f t="shared" si="14"/>
        <v>100</v>
      </c>
      <c r="X47" s="1813"/>
      <c r="Y47" s="3206"/>
      <c r="Z47" s="1814">
        <f t="shared" si="15"/>
        <v>111</v>
      </c>
      <c r="AA47" s="1811">
        <f t="shared" si="3"/>
        <v>1</v>
      </c>
      <c r="AB47" s="1811">
        <f t="shared" si="4"/>
        <v>1</v>
      </c>
      <c r="AC47" s="2676">
        <f t="shared" si="5"/>
        <v>1</v>
      </c>
    </row>
    <row r="48" spans="1:29" ht="15">
      <c r="A48" s="479" t="s">
        <v>2574</v>
      </c>
      <c r="B48" s="480"/>
      <c r="C48" s="1407" t="s">
        <v>1</v>
      </c>
      <c r="D48" s="1408"/>
      <c r="E48" s="1409"/>
      <c r="F48" s="1410"/>
      <c r="G48" s="1411"/>
      <c r="H48" s="1412"/>
      <c r="I48" s="1409"/>
      <c r="J48" s="485"/>
      <c r="K48" s="783"/>
      <c r="L48" s="1143"/>
      <c r="M48" s="1131"/>
      <c r="N48" s="1131"/>
      <c r="O48" s="1131"/>
      <c r="P48" s="3209" t="str">
        <f>A48</f>
        <v>成交单价（元/平方米）</v>
      </c>
      <c r="Q48" s="3198"/>
      <c r="R48" s="3199">
        <f>E48</f>
        <v>0</v>
      </c>
      <c r="S48" s="3199"/>
      <c r="T48" s="3199">
        <f>G48</f>
        <v>0</v>
      </c>
      <c r="U48" s="3199"/>
      <c r="V48" s="3199">
        <f>I48</f>
        <v>0</v>
      </c>
      <c r="W48" s="3199"/>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41" t="str">
        <f>A50</f>
        <v>估价对象XX用房的比较价值（楼面单价，元/平方米）</v>
      </c>
      <c r="Q50" s="3242"/>
      <c r="R50" s="3243" t="e">
        <f>IF(F1="售价",ROUND(AVERAGE(R49:V49),0),ROUND(AVERAGE(R49:V49),1))</f>
        <v>#DIV/0!</v>
      </c>
      <c r="S50" s="3243"/>
      <c r="T50" s="3243"/>
      <c r="U50" s="3243"/>
      <c r="V50" s="3243"/>
      <c r="W50" s="3243"/>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3"/>
      <c r="Q58" s="504"/>
    </row>
    <row r="59" spans="1:29" s="508" customFormat="1" ht="15">
      <c r="A59" s="505" t="s">
        <v>2545</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2585</v>
      </c>
      <c r="B64" s="528" t="s">
        <v>2551</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2696</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2560</v>
      </c>
      <c r="B101" s="528" t="s">
        <v>2609</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2611</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2613</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2614</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2615</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2698</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2617</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2699</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8"/>
      <c r="D2" s="1124"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16188.669999999998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11" t="s">
        <v>2645</v>
      </c>
      <c r="AC4" s="3210" t="s">
        <v>2646</v>
      </c>
    </row>
    <row r="5" spans="1:29"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2543</v>
      </c>
      <c r="D6" s="3231"/>
      <c r="E6" s="3237" t="s">
        <v>2543</v>
      </c>
      <c r="F6" s="3238"/>
      <c r="G6" s="3230" t="s">
        <v>2543</v>
      </c>
      <c r="H6" s="3231"/>
      <c r="I6" s="3230" t="s">
        <v>2543</v>
      </c>
      <c r="J6" s="3231"/>
      <c r="K6" s="610" t="s">
        <v>2544</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2545</v>
      </c>
      <c r="B7" s="409"/>
      <c r="C7" s="410">
        <f>'数据-取费表'!B2</f>
        <v>43929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4" t="s">
        <v>2546</v>
      </c>
      <c r="Q7" s="3236"/>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0" t="s">
        <v>2557</v>
      </c>
      <c r="Q15" s="1810" t="str">
        <f t="shared" si="6"/>
        <v>产业集聚程度</v>
      </c>
      <c r="R15" s="774" t="s">
        <v>17</v>
      </c>
      <c r="S15" s="775">
        <f t="shared" si="0"/>
        <v>100</v>
      </c>
      <c r="T15" s="774" t="s">
        <v>17</v>
      </c>
      <c r="U15" s="775">
        <f t="shared" si="1"/>
        <v>100</v>
      </c>
      <c r="V15" s="774" t="s">
        <v>17</v>
      </c>
      <c r="W15" s="775">
        <f t="shared" si="2"/>
        <v>100</v>
      </c>
      <c r="X15" s="1813"/>
      <c r="Y15" s="3200"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1"/>
      <c r="Q16" s="1810"/>
      <c r="R16" s="774"/>
      <c r="S16" s="775"/>
      <c r="T16" s="774"/>
      <c r="U16" s="775"/>
      <c r="V16" s="774"/>
      <c r="W16" s="775"/>
      <c r="X16" s="1813"/>
      <c r="Y16" s="3201"/>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1"/>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1"/>
      <c r="Q18" s="1810"/>
      <c r="R18" s="774"/>
      <c r="S18" s="775"/>
      <c r="T18" s="774"/>
      <c r="U18" s="775"/>
      <c r="V18" s="774"/>
      <c r="W18" s="775"/>
      <c r="X18" s="1813"/>
      <c r="Y18" s="3201"/>
      <c r="Z18" s="1814"/>
      <c r="AA18" s="1811">
        <v>1</v>
      </c>
      <c r="AB18" s="1811">
        <v>1</v>
      </c>
      <c r="AC18" s="1811">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1"/>
      <c r="Q19" s="1810" t="str">
        <f>B19</f>
        <v>公共配套设施</v>
      </c>
      <c r="R19" s="774" t="s">
        <v>17</v>
      </c>
      <c r="S19" s="775">
        <f>F19</f>
        <v>100</v>
      </c>
      <c r="T19" s="774" t="s">
        <v>17</v>
      </c>
      <c r="U19" s="775">
        <f>H19</f>
        <v>100</v>
      </c>
      <c r="V19" s="774" t="s">
        <v>17</v>
      </c>
      <c r="W19" s="775">
        <f>J19</f>
        <v>100</v>
      </c>
      <c r="X19" s="1813"/>
      <c r="Y19" s="3201"/>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1"/>
      <c r="Q20" s="1810"/>
      <c r="R20" s="774"/>
      <c r="S20" s="775"/>
      <c r="T20" s="774"/>
      <c r="U20" s="775"/>
      <c r="V20" s="774"/>
      <c r="W20" s="775"/>
      <c r="X20" s="1813"/>
      <c r="Y20" s="3201"/>
      <c r="Z20" s="1814"/>
      <c r="AA20" s="1811">
        <v>1</v>
      </c>
      <c r="AB20" s="1811">
        <v>1</v>
      </c>
      <c r="AC20" s="1811">
        <v>1</v>
      </c>
    </row>
    <row r="21" spans="1:29" ht="28.5">
      <c r="A21" s="428"/>
      <c r="B21" s="1384"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1"/>
      <c r="Q21" s="1810" t="str">
        <f>B21</f>
        <v>基础设施水平</v>
      </c>
      <c r="R21" s="774" t="s">
        <v>17</v>
      </c>
      <c r="S21" s="775">
        <f>F21</f>
        <v>100</v>
      </c>
      <c r="T21" s="774" t="s">
        <v>17</v>
      </c>
      <c r="U21" s="775">
        <f>H21</f>
        <v>100</v>
      </c>
      <c r="V21" s="774" t="s">
        <v>17</v>
      </c>
      <c r="W21" s="775">
        <f>J21</f>
        <v>100</v>
      </c>
      <c r="X21" s="1813"/>
      <c r="Y21" s="3201"/>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1"/>
      <c r="Q22" s="1810"/>
      <c r="R22" s="774"/>
      <c r="S22" s="775"/>
      <c r="T22" s="774"/>
      <c r="U22" s="775"/>
      <c r="V22" s="774"/>
      <c r="W22" s="775"/>
      <c r="X22" s="1813"/>
      <c r="Y22" s="3201"/>
      <c r="Z22" s="1814"/>
      <c r="AA22" s="1811">
        <v>1</v>
      </c>
      <c r="AB22" s="1811">
        <v>1</v>
      </c>
      <c r="AC22" s="1811">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1"/>
      <c r="Q23" s="1810" t="str">
        <f>B23</f>
        <v>环境质量</v>
      </c>
      <c r="R23" s="774" t="s">
        <v>17</v>
      </c>
      <c r="S23" s="775">
        <f>F23</f>
        <v>100</v>
      </c>
      <c r="T23" s="774" t="s">
        <v>17</v>
      </c>
      <c r="U23" s="775">
        <f>H23</f>
        <v>100</v>
      </c>
      <c r="V23" s="774" t="s">
        <v>17</v>
      </c>
      <c r="W23" s="775">
        <f>J23</f>
        <v>100</v>
      </c>
      <c r="X23" s="1813"/>
      <c r="Y23" s="3201"/>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1"/>
      <c r="Q24" s="1810"/>
      <c r="R24" s="774"/>
      <c r="S24" s="775"/>
      <c r="T24" s="774"/>
      <c r="U24" s="775"/>
      <c r="V24" s="774"/>
      <c r="W24" s="775"/>
      <c r="X24" s="1813"/>
      <c r="Y24" s="320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1"/>
      <c r="Q25" s="1810">
        <f>B25</f>
        <v>111</v>
      </c>
      <c r="R25" s="774" t="s">
        <v>17</v>
      </c>
      <c r="S25" s="775">
        <f>F25</f>
        <v>100</v>
      </c>
      <c r="T25" s="774" t="s">
        <v>17</v>
      </c>
      <c r="U25" s="775">
        <f>H25</f>
        <v>100</v>
      </c>
      <c r="V25" s="774" t="s">
        <v>17</v>
      </c>
      <c r="W25" s="775">
        <f>J25</f>
        <v>100</v>
      </c>
      <c r="X25" s="1813"/>
      <c r="Y25" s="320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1"/>
      <c r="Q26" s="1810">
        <f t="shared" ref="Q26:Q40" si="11">B26</f>
        <v>111</v>
      </c>
      <c r="R26" s="774" t="s">
        <v>17</v>
      </c>
      <c r="S26" s="775">
        <f>F26</f>
        <v>100</v>
      </c>
      <c r="T26" s="774" t="s">
        <v>17</v>
      </c>
      <c r="U26" s="775">
        <f>H26</f>
        <v>100</v>
      </c>
      <c r="V26" s="774" t="s">
        <v>17</v>
      </c>
      <c r="W26" s="775">
        <f>J26</f>
        <v>100</v>
      </c>
      <c r="X26" s="1813"/>
      <c r="Y26" s="320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1"/>
      <c r="Q27" s="1795">
        <f t="shared" si="11"/>
        <v>111</v>
      </c>
      <c r="R27" s="770" t="s">
        <v>17</v>
      </c>
      <c r="S27" s="771">
        <f>F27</f>
        <v>100</v>
      </c>
      <c r="T27" s="770" t="s">
        <v>17</v>
      </c>
      <c r="U27" s="771">
        <f>H27</f>
        <v>100</v>
      </c>
      <c r="V27" s="770" t="s">
        <v>17</v>
      </c>
      <c r="W27" s="771">
        <f>J27</f>
        <v>100</v>
      </c>
      <c r="X27" s="772"/>
      <c r="Y27" s="320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1"/>
      <c r="Q28" s="1810">
        <f t="shared" si="11"/>
        <v>111</v>
      </c>
      <c r="R28" s="774" t="s">
        <v>17</v>
      </c>
      <c r="S28" s="775">
        <f t="shared" ref="S28:S40" si="12">F28</f>
        <v>100</v>
      </c>
      <c r="T28" s="774" t="s">
        <v>17</v>
      </c>
      <c r="U28" s="775">
        <f t="shared" ref="U28:U40" si="13">H28</f>
        <v>100</v>
      </c>
      <c r="V28" s="774" t="s">
        <v>17</v>
      </c>
      <c r="W28" s="775">
        <f t="shared" ref="W28:W40" si="14">J28</f>
        <v>100</v>
      </c>
      <c r="X28" s="1813"/>
      <c r="Y28" s="3201"/>
      <c r="Z28" s="1814">
        <f t="shared" ref="Z28:Z40" si="15">Q28</f>
        <v>111</v>
      </c>
      <c r="AA28" s="1811">
        <f t="shared" si="3"/>
        <v>1</v>
      </c>
      <c r="AB28" s="1811">
        <f t="shared" si="4"/>
        <v>1</v>
      </c>
      <c r="AC28" s="1811">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6" t="s">
        <v>2562</v>
      </c>
      <c r="Q29" s="1810" t="str">
        <f t="shared" si="11"/>
        <v>建筑类型</v>
      </c>
      <c r="R29" s="774" t="s">
        <v>17</v>
      </c>
      <c r="S29" s="775">
        <f t="shared" si="12"/>
        <v>100</v>
      </c>
      <c r="T29" s="774" t="s">
        <v>17</v>
      </c>
      <c r="U29" s="775">
        <f t="shared" si="13"/>
        <v>100</v>
      </c>
      <c r="V29" s="774" t="s">
        <v>17</v>
      </c>
      <c r="W29" s="775">
        <f t="shared" si="14"/>
        <v>100</v>
      </c>
      <c r="X29" s="1813"/>
      <c r="Y29" s="3205"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5"/>
      <c r="Q30" s="776" t="str">
        <f t="shared" si="11"/>
        <v>项目建筑规模</v>
      </c>
      <c r="R30" s="777" t="s">
        <v>17</v>
      </c>
      <c r="S30" s="778" t="e">
        <f t="shared" si="12"/>
        <v>#N/A</v>
      </c>
      <c r="T30" s="777" t="s">
        <v>17</v>
      </c>
      <c r="U30" s="778" t="e">
        <f t="shared" si="13"/>
        <v>#N/A</v>
      </c>
      <c r="V30" s="777" t="s">
        <v>17</v>
      </c>
      <c r="W30" s="778" t="e">
        <f t="shared" si="14"/>
        <v>#N/A</v>
      </c>
      <c r="X30" s="779"/>
      <c r="Y30" s="3205"/>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5"/>
      <c r="Q31" s="1810" t="str">
        <f t="shared" si="11"/>
        <v>建筑结构</v>
      </c>
      <c r="R31" s="774" t="s">
        <v>17</v>
      </c>
      <c r="S31" s="775">
        <f t="shared" si="12"/>
        <v>100</v>
      </c>
      <c r="T31" s="774" t="s">
        <v>17</v>
      </c>
      <c r="U31" s="775">
        <f t="shared" si="13"/>
        <v>100</v>
      </c>
      <c r="V31" s="774" t="s">
        <v>17</v>
      </c>
      <c r="W31" s="775">
        <f t="shared" si="14"/>
        <v>100</v>
      </c>
      <c r="X31" s="1813"/>
      <c r="Y31" s="3205"/>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5"/>
      <c r="Q32" s="1810" t="str">
        <f t="shared" si="11"/>
        <v>公共部分装修</v>
      </c>
      <c r="R32" s="774" t="s">
        <v>17</v>
      </c>
      <c r="S32" s="775">
        <f t="shared" si="12"/>
        <v>100</v>
      </c>
      <c r="T32" s="774" t="s">
        <v>17</v>
      </c>
      <c r="U32" s="775">
        <f t="shared" si="13"/>
        <v>100</v>
      </c>
      <c r="V32" s="774" t="s">
        <v>17</v>
      </c>
      <c r="W32" s="775">
        <f t="shared" si="14"/>
        <v>100</v>
      </c>
      <c r="X32" s="1813"/>
      <c r="Y32" s="3205"/>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5"/>
      <c r="Q33" s="1810" t="str">
        <f t="shared" si="11"/>
        <v>成新度</v>
      </c>
      <c r="R33" s="774" t="s">
        <v>17</v>
      </c>
      <c r="S33" s="775" t="e">
        <f t="shared" si="12"/>
        <v>#N/A</v>
      </c>
      <c r="T33" s="774" t="s">
        <v>17</v>
      </c>
      <c r="U33" s="775" t="e">
        <f t="shared" si="13"/>
        <v>#N/A</v>
      </c>
      <c r="V33" s="774" t="s">
        <v>17</v>
      </c>
      <c r="W33" s="775" t="e">
        <f t="shared" si="14"/>
        <v>#N/A</v>
      </c>
      <c r="X33" s="1813"/>
      <c r="Y33" s="3205"/>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5"/>
      <c r="Q34" s="1795" t="str">
        <f t="shared" si="11"/>
        <v>物业管理</v>
      </c>
      <c r="R34" s="770" t="s">
        <v>17</v>
      </c>
      <c r="S34" s="771">
        <f t="shared" si="12"/>
        <v>100</v>
      </c>
      <c r="T34" s="770" t="s">
        <v>17</v>
      </c>
      <c r="U34" s="771">
        <f t="shared" si="13"/>
        <v>100</v>
      </c>
      <c r="V34" s="770" t="s">
        <v>17</v>
      </c>
      <c r="W34" s="771">
        <f t="shared" si="14"/>
        <v>100</v>
      </c>
      <c r="X34" s="772"/>
      <c r="Y34" s="3205"/>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5" t="s">
        <v>2562</v>
      </c>
      <c r="Q35" s="1810" t="str">
        <f t="shared" si="11"/>
        <v>市政基础设施</v>
      </c>
      <c r="R35" s="774" t="s">
        <v>17</v>
      </c>
      <c r="S35" s="775">
        <f t="shared" si="12"/>
        <v>100</v>
      </c>
      <c r="T35" s="774" t="s">
        <v>17</v>
      </c>
      <c r="U35" s="775">
        <f t="shared" si="13"/>
        <v>100</v>
      </c>
      <c r="V35" s="774" t="s">
        <v>17</v>
      </c>
      <c r="W35" s="775">
        <f t="shared" si="14"/>
        <v>100</v>
      </c>
      <c r="X35" s="1813"/>
      <c r="Y35" s="3205"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5"/>
      <c r="Q36" s="1810" t="str">
        <f t="shared" si="11"/>
        <v>内部装修</v>
      </c>
      <c r="R36" s="774" t="s">
        <v>17</v>
      </c>
      <c r="S36" s="775">
        <f t="shared" si="12"/>
        <v>100</v>
      </c>
      <c r="T36" s="774" t="s">
        <v>17</v>
      </c>
      <c r="U36" s="775">
        <f t="shared" si="13"/>
        <v>100</v>
      </c>
      <c r="V36" s="774" t="s">
        <v>17</v>
      </c>
      <c r="W36" s="775">
        <f t="shared" si="14"/>
        <v>100</v>
      </c>
      <c r="X36" s="1813"/>
      <c r="Y36" s="3205"/>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5"/>
      <c r="Q37" s="1810" t="str">
        <f t="shared" si="11"/>
        <v>内部装修状况</v>
      </c>
      <c r="R37" s="774" t="s">
        <v>17</v>
      </c>
      <c r="S37" s="775">
        <f t="shared" si="12"/>
        <v>100</v>
      </c>
      <c r="T37" s="774" t="s">
        <v>17</v>
      </c>
      <c r="U37" s="775">
        <f t="shared" si="13"/>
        <v>100</v>
      </c>
      <c r="V37" s="774" t="s">
        <v>17</v>
      </c>
      <c r="W37" s="775">
        <f t="shared" si="14"/>
        <v>100</v>
      </c>
      <c r="X37" s="1813"/>
      <c r="Y37" s="320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5"/>
      <c r="Q38" s="776">
        <f t="shared" si="11"/>
        <v>111</v>
      </c>
      <c r="R38" s="777" t="s">
        <v>17</v>
      </c>
      <c r="S38" s="778">
        <f t="shared" si="12"/>
        <v>100</v>
      </c>
      <c r="T38" s="777" t="s">
        <v>17</v>
      </c>
      <c r="U38" s="778">
        <f t="shared" si="13"/>
        <v>100</v>
      </c>
      <c r="V38" s="777" t="s">
        <v>17</v>
      </c>
      <c r="W38" s="778">
        <f t="shared" si="14"/>
        <v>100</v>
      </c>
      <c r="X38" s="779"/>
      <c r="Y38" s="320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5"/>
      <c r="Q39" s="1810">
        <f t="shared" si="11"/>
        <v>111</v>
      </c>
      <c r="R39" s="774" t="s">
        <v>17</v>
      </c>
      <c r="S39" s="775">
        <f t="shared" si="12"/>
        <v>100</v>
      </c>
      <c r="T39" s="774" t="s">
        <v>17</v>
      </c>
      <c r="U39" s="775">
        <f t="shared" si="13"/>
        <v>100</v>
      </c>
      <c r="V39" s="774" t="s">
        <v>17</v>
      </c>
      <c r="W39" s="775">
        <f t="shared" si="14"/>
        <v>100</v>
      </c>
      <c r="X39" s="1813"/>
      <c r="Y39" s="3205"/>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6"/>
      <c r="Q40" s="1810">
        <f t="shared" si="11"/>
        <v>111</v>
      </c>
      <c r="R40" s="774" t="s">
        <v>17</v>
      </c>
      <c r="S40" s="775">
        <f t="shared" si="12"/>
        <v>100</v>
      </c>
      <c r="T40" s="774" t="s">
        <v>17</v>
      </c>
      <c r="U40" s="775">
        <f t="shared" si="13"/>
        <v>100</v>
      </c>
      <c r="V40" s="774" t="s">
        <v>17</v>
      </c>
      <c r="W40" s="775">
        <f t="shared" si="14"/>
        <v>100</v>
      </c>
      <c r="X40" s="1813"/>
      <c r="Y40" s="3206"/>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98" t="str">
        <f>A41</f>
        <v>成交单价（元/平方米）</v>
      </c>
      <c r="Q41" s="3198"/>
      <c r="R41" s="3199">
        <f>E41</f>
        <v>0</v>
      </c>
      <c r="S41" s="3199"/>
      <c r="T41" s="3199">
        <f>G41</f>
        <v>0</v>
      </c>
      <c r="U41" s="3199"/>
      <c r="V41" s="3199">
        <f>I41</f>
        <v>0</v>
      </c>
      <c r="W41" s="3199"/>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95" t="str">
        <f>A43</f>
        <v>估价对象XX用房的比较价值（楼面单价，元/平方米）</v>
      </c>
      <c r="Q43" s="3196"/>
      <c r="R43" s="3197" t="e">
        <f>IF(F1="售价",ROUND(AVERAGE(R42:V42),0),ROUND(AVERAGE(R42:V42),1))</f>
        <v>#DIV/0!</v>
      </c>
      <c r="S43" s="3197"/>
      <c r="T43" s="3197"/>
      <c r="U43" s="3197"/>
      <c r="V43" s="3197"/>
      <c r="W43" s="319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估价对象为北京市出让国有建设用地使用权及在建建筑物房地产，为所有。根据《国有土地使用证》[]，估价对象（分摊）出让国有建设用地使用权面积为9192.5平方米，建筑面积为16188.67平方米。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9192.5平方米，规划建筑面积为16188.67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2020年4月8日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6"/>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11" t="s">
        <v>2645</v>
      </c>
      <c r="AC4" s="3210" t="s">
        <v>2646</v>
      </c>
    </row>
    <row r="5" spans="1:29"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2543</v>
      </c>
      <c r="D6" s="3231"/>
      <c r="E6" s="3237" t="s">
        <v>2543</v>
      </c>
      <c r="F6" s="3238"/>
      <c r="G6" s="3230" t="s">
        <v>2543</v>
      </c>
      <c r="H6" s="3231"/>
      <c r="I6" s="3230" t="s">
        <v>2543</v>
      </c>
      <c r="J6" s="3231"/>
      <c r="K6" s="610" t="s">
        <v>2544</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2545</v>
      </c>
      <c r="B7" s="409"/>
      <c r="C7" s="410">
        <f>'数据-取费表'!B2</f>
        <v>43929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4" t="s">
        <v>2546</v>
      </c>
      <c r="Q7" s="3236"/>
      <c r="R7" s="770" t="s">
        <v>17</v>
      </c>
      <c r="S7" s="771">
        <f t="shared" ref="S7:S14" si="0">F7</f>
        <v>0</v>
      </c>
      <c r="T7" s="770" t="s">
        <v>17</v>
      </c>
      <c r="U7" s="771">
        <f t="shared" ref="U7:U14" si="1">H7</f>
        <v>0</v>
      </c>
      <c r="V7" s="770" t="s">
        <v>17</v>
      </c>
      <c r="W7" s="771">
        <f t="shared" ref="W7:W14" si="2">J7</f>
        <v>0</v>
      </c>
      <c r="X7" s="772"/>
      <c r="Y7" s="3234" t="s">
        <v>2546</v>
      </c>
      <c r="Z7" s="3235"/>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2552</v>
      </c>
      <c r="Q9" s="1795" t="str">
        <f t="shared" ref="Q9:Q14" si="6">B9</f>
        <v>用途</v>
      </c>
      <c r="R9" s="770" t="s">
        <v>17</v>
      </c>
      <c r="S9" s="771">
        <f t="shared" si="0"/>
        <v>100</v>
      </c>
      <c r="T9" s="770" t="s">
        <v>17</v>
      </c>
      <c r="U9" s="771">
        <f t="shared" si="1"/>
        <v>100</v>
      </c>
      <c r="V9" s="770" t="s">
        <v>17</v>
      </c>
      <c r="W9" s="771">
        <f t="shared" si="2"/>
        <v>100</v>
      </c>
      <c r="X9" s="772"/>
      <c r="Y9" s="3023"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0" t="s">
        <v>2557</v>
      </c>
      <c r="Q14" s="1810" t="str">
        <f t="shared" si="6"/>
        <v>交通便捷度</v>
      </c>
      <c r="R14" s="774" t="s">
        <v>17</v>
      </c>
      <c r="S14" s="775">
        <f t="shared" si="0"/>
        <v>100</v>
      </c>
      <c r="T14" s="774" t="s">
        <v>17</v>
      </c>
      <c r="U14" s="775">
        <f t="shared" si="1"/>
        <v>100</v>
      </c>
      <c r="V14" s="774" t="s">
        <v>17</v>
      </c>
      <c r="W14" s="775">
        <f t="shared" si="2"/>
        <v>100</v>
      </c>
      <c r="X14" s="1813"/>
      <c r="Y14" s="3200"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1"/>
      <c r="Q15" s="1810"/>
      <c r="R15" s="774"/>
      <c r="S15" s="775"/>
      <c r="T15" s="774"/>
      <c r="U15" s="775"/>
      <c r="V15" s="774"/>
      <c r="W15" s="775"/>
      <c r="X15" s="1813"/>
      <c r="Y15" s="3201"/>
      <c r="Z15" s="1814"/>
      <c r="AA15" s="1811">
        <v>1</v>
      </c>
      <c r="AB15" s="1811">
        <v>1</v>
      </c>
      <c r="AC15" s="1811">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1"/>
      <c r="Q16" s="1810" t="str">
        <f>B16</f>
        <v>公共配套设施</v>
      </c>
      <c r="R16" s="774" t="s">
        <v>17</v>
      </c>
      <c r="S16" s="775">
        <f>F16</f>
        <v>100</v>
      </c>
      <c r="T16" s="774" t="s">
        <v>17</v>
      </c>
      <c r="U16" s="775">
        <f>H16</f>
        <v>100</v>
      </c>
      <c r="V16" s="774" t="s">
        <v>17</v>
      </c>
      <c r="W16" s="775">
        <f>J16</f>
        <v>100</v>
      </c>
      <c r="X16" s="1813"/>
      <c r="Y16" s="3201"/>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1"/>
      <c r="Q17" s="1810"/>
      <c r="R17" s="774"/>
      <c r="S17" s="775"/>
      <c r="T17" s="774"/>
      <c r="U17" s="775"/>
      <c r="V17" s="774"/>
      <c r="W17" s="775"/>
      <c r="X17" s="1813"/>
      <c r="Y17" s="3201"/>
      <c r="Z17" s="1814"/>
      <c r="AA17" s="1811">
        <v>1</v>
      </c>
      <c r="AB17" s="1811">
        <v>1</v>
      </c>
      <c r="AC17" s="1811">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1"/>
      <c r="Q18" s="1810" t="str">
        <f>B18</f>
        <v>基础设施水平</v>
      </c>
      <c r="R18" s="774" t="s">
        <v>17</v>
      </c>
      <c r="S18" s="775">
        <f>F18</f>
        <v>100</v>
      </c>
      <c r="T18" s="774" t="s">
        <v>17</v>
      </c>
      <c r="U18" s="775">
        <f>H18</f>
        <v>100</v>
      </c>
      <c r="V18" s="774" t="s">
        <v>17</v>
      </c>
      <c r="W18" s="775">
        <f>J18</f>
        <v>100</v>
      </c>
      <c r="X18" s="1813"/>
      <c r="Y18" s="3201"/>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1"/>
      <c r="Q19" s="1810"/>
      <c r="R19" s="774"/>
      <c r="S19" s="775"/>
      <c r="T19" s="774"/>
      <c r="U19" s="775"/>
      <c r="V19" s="774"/>
      <c r="W19" s="775"/>
      <c r="X19" s="1813"/>
      <c r="Y19" s="3201"/>
      <c r="Z19" s="1814"/>
      <c r="AA19" s="1811">
        <v>1</v>
      </c>
      <c r="AB19" s="1811">
        <v>1</v>
      </c>
      <c r="AC19" s="1811">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1"/>
      <c r="Q20" s="1810" t="str">
        <f>B20</f>
        <v>自然及人文环境</v>
      </c>
      <c r="R20" s="774" t="s">
        <v>17</v>
      </c>
      <c r="S20" s="775">
        <f>F20</f>
        <v>100</v>
      </c>
      <c r="T20" s="774" t="s">
        <v>17</v>
      </c>
      <c r="U20" s="775">
        <f>H20</f>
        <v>100</v>
      </c>
      <c r="V20" s="774" t="s">
        <v>17</v>
      </c>
      <c r="W20" s="775">
        <f>J20</f>
        <v>100</v>
      </c>
      <c r="X20" s="1813"/>
      <c r="Y20" s="320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1"/>
      <c r="Q21" s="1810"/>
      <c r="R21" s="774"/>
      <c r="S21" s="775"/>
      <c r="T21" s="774"/>
      <c r="U21" s="775"/>
      <c r="V21" s="774"/>
      <c r="W21" s="775"/>
      <c r="X21" s="1813"/>
      <c r="Y21" s="3201"/>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1"/>
      <c r="Q22" s="1810" t="str">
        <f>B22</f>
        <v>楼层</v>
      </c>
      <c r="R22" s="774" t="s">
        <v>17</v>
      </c>
      <c r="S22" s="775">
        <f>F22</f>
        <v>100</v>
      </c>
      <c r="T22" s="774" t="s">
        <v>17</v>
      </c>
      <c r="U22" s="775">
        <f>H22</f>
        <v>100</v>
      </c>
      <c r="V22" s="774" t="s">
        <v>17</v>
      </c>
      <c r="W22" s="775">
        <f>J22</f>
        <v>100</v>
      </c>
      <c r="X22" s="1813"/>
      <c r="Y22" s="320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1"/>
      <c r="Q23" s="1810">
        <f>B23</f>
        <v>111</v>
      </c>
      <c r="R23" s="774" t="s">
        <v>17</v>
      </c>
      <c r="S23" s="775">
        <f>F23</f>
        <v>100</v>
      </c>
      <c r="T23" s="774" t="s">
        <v>17</v>
      </c>
      <c r="U23" s="775">
        <f>H23</f>
        <v>100</v>
      </c>
      <c r="V23" s="774" t="s">
        <v>17</v>
      </c>
      <c r="W23" s="775">
        <f>J23</f>
        <v>100</v>
      </c>
      <c r="X23" s="1813"/>
      <c r="Y23" s="320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1"/>
      <c r="Q24" s="1810">
        <f t="shared" ref="Q24:Q36" si="11">B24</f>
        <v>111</v>
      </c>
      <c r="R24" s="774" t="s">
        <v>17</v>
      </c>
      <c r="S24" s="775">
        <f>F24</f>
        <v>100</v>
      </c>
      <c r="T24" s="774" t="s">
        <v>17</v>
      </c>
      <c r="U24" s="775">
        <f>H24</f>
        <v>100</v>
      </c>
      <c r="V24" s="774" t="s">
        <v>17</v>
      </c>
      <c r="W24" s="775">
        <f>J24</f>
        <v>100</v>
      </c>
      <c r="X24" s="1813"/>
      <c r="Y24" s="320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1"/>
      <c r="Q25" s="1795">
        <f t="shared" si="11"/>
        <v>111</v>
      </c>
      <c r="R25" s="770" t="s">
        <v>17</v>
      </c>
      <c r="S25" s="771">
        <f>F25</f>
        <v>100</v>
      </c>
      <c r="T25" s="770" t="s">
        <v>17</v>
      </c>
      <c r="U25" s="771">
        <f>H25</f>
        <v>100</v>
      </c>
      <c r="V25" s="770" t="s">
        <v>17</v>
      </c>
      <c r="W25" s="771">
        <f>J25</f>
        <v>100</v>
      </c>
      <c r="X25" s="772"/>
      <c r="Y25" s="3201"/>
      <c r="Z25" s="55">
        <f>Q25</f>
        <v>111</v>
      </c>
      <c r="AA25" s="1811">
        <f>D25/F25</f>
        <v>1</v>
      </c>
      <c r="AB25" s="1811">
        <f>D25/H25</f>
        <v>1</v>
      </c>
      <c r="AC25" s="1811">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6"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5"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5"/>
      <c r="Q27" s="776" t="str">
        <f t="shared" si="11"/>
        <v>项目停车位配比</v>
      </c>
      <c r="R27" s="777" t="s">
        <v>17</v>
      </c>
      <c r="S27" s="778">
        <f t="shared" si="12"/>
        <v>100</v>
      </c>
      <c r="T27" s="777" t="s">
        <v>17</v>
      </c>
      <c r="U27" s="778">
        <f t="shared" si="13"/>
        <v>100</v>
      </c>
      <c r="V27" s="777" t="s">
        <v>17</v>
      </c>
      <c r="W27" s="778">
        <f t="shared" si="14"/>
        <v>100</v>
      </c>
      <c r="X27" s="779"/>
      <c r="Y27" s="3205"/>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5"/>
      <c r="Q28" s="1810" t="str">
        <f t="shared" si="11"/>
        <v>公共部分装修</v>
      </c>
      <c r="R28" s="774" t="s">
        <v>17</v>
      </c>
      <c r="S28" s="775">
        <f t="shared" si="12"/>
        <v>100</v>
      </c>
      <c r="T28" s="774" t="s">
        <v>17</v>
      </c>
      <c r="U28" s="775">
        <f t="shared" si="13"/>
        <v>100</v>
      </c>
      <c r="V28" s="774" t="s">
        <v>17</v>
      </c>
      <c r="W28" s="775">
        <f t="shared" si="14"/>
        <v>100</v>
      </c>
      <c r="X28" s="1813"/>
      <c r="Y28" s="3205"/>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5"/>
      <c r="Q29" s="1810" t="str">
        <f t="shared" si="11"/>
        <v>成新率</v>
      </c>
      <c r="R29" s="774" t="s">
        <v>17</v>
      </c>
      <c r="S29" s="775" t="e">
        <f t="shared" si="12"/>
        <v>#N/A</v>
      </c>
      <c r="T29" s="774" t="s">
        <v>17</v>
      </c>
      <c r="U29" s="775" t="e">
        <f t="shared" si="13"/>
        <v>#N/A</v>
      </c>
      <c r="V29" s="774" t="s">
        <v>17</v>
      </c>
      <c r="W29" s="775" t="e">
        <f t="shared" si="14"/>
        <v>#N/A</v>
      </c>
      <c r="X29" s="1813"/>
      <c r="Y29" s="3205"/>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5"/>
      <c r="Q30" s="1810" t="str">
        <f t="shared" si="11"/>
        <v>物业等级</v>
      </c>
      <c r="R30" s="774" t="s">
        <v>17</v>
      </c>
      <c r="S30" s="775">
        <f t="shared" si="12"/>
        <v>100</v>
      </c>
      <c r="T30" s="774" t="s">
        <v>17</v>
      </c>
      <c r="U30" s="775">
        <f t="shared" si="13"/>
        <v>100</v>
      </c>
      <c r="V30" s="774" t="s">
        <v>17</v>
      </c>
      <c r="W30" s="775">
        <f t="shared" si="14"/>
        <v>100</v>
      </c>
      <c r="X30" s="1813"/>
      <c r="Y30" s="3205"/>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5"/>
      <c r="Q31" s="1795" t="str">
        <f t="shared" si="11"/>
        <v>停车位面积</v>
      </c>
      <c r="R31" s="770" t="s">
        <v>17</v>
      </c>
      <c r="S31" s="771" t="e">
        <f t="shared" si="12"/>
        <v>#N/A</v>
      </c>
      <c r="T31" s="770" t="s">
        <v>17</v>
      </c>
      <c r="U31" s="771" t="e">
        <f t="shared" si="13"/>
        <v>#N/A</v>
      </c>
      <c r="V31" s="770" t="s">
        <v>17</v>
      </c>
      <c r="W31" s="771" t="e">
        <f t="shared" si="14"/>
        <v>#N/A</v>
      </c>
      <c r="X31" s="772"/>
      <c r="Y31" s="3205"/>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5" t="s">
        <v>2562</v>
      </c>
      <c r="Q32" s="1810" t="str">
        <f t="shared" si="11"/>
        <v>车位类型</v>
      </c>
      <c r="R32" s="774" t="s">
        <v>17</v>
      </c>
      <c r="S32" s="775">
        <f t="shared" si="12"/>
        <v>100</v>
      </c>
      <c r="T32" s="774" t="s">
        <v>17</v>
      </c>
      <c r="U32" s="775">
        <f t="shared" si="13"/>
        <v>100</v>
      </c>
      <c r="V32" s="774" t="s">
        <v>17</v>
      </c>
      <c r="W32" s="775">
        <f t="shared" si="14"/>
        <v>100</v>
      </c>
      <c r="X32" s="1813"/>
      <c r="Y32" s="3205"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5"/>
      <c r="Q33" s="1810" t="str">
        <f t="shared" si="11"/>
        <v>是否直接入户</v>
      </c>
      <c r="R33" s="774" t="s">
        <v>17</v>
      </c>
      <c r="S33" s="775">
        <f t="shared" si="12"/>
        <v>100</v>
      </c>
      <c r="T33" s="774" t="s">
        <v>17</v>
      </c>
      <c r="U33" s="775">
        <f t="shared" si="13"/>
        <v>100</v>
      </c>
      <c r="V33" s="774" t="s">
        <v>17</v>
      </c>
      <c r="W33" s="775">
        <f t="shared" si="14"/>
        <v>100</v>
      </c>
      <c r="X33" s="1813"/>
      <c r="Y33" s="320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5"/>
      <c r="Q34" s="1810">
        <f t="shared" si="11"/>
        <v>111</v>
      </c>
      <c r="R34" s="774" t="s">
        <v>17</v>
      </c>
      <c r="S34" s="775">
        <f t="shared" si="12"/>
        <v>100</v>
      </c>
      <c r="T34" s="774" t="s">
        <v>17</v>
      </c>
      <c r="U34" s="775">
        <f t="shared" si="13"/>
        <v>100</v>
      </c>
      <c r="V34" s="774" t="s">
        <v>17</v>
      </c>
      <c r="W34" s="775">
        <f t="shared" si="14"/>
        <v>100</v>
      </c>
      <c r="X34" s="1813"/>
      <c r="Y34" s="320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5"/>
      <c r="Q35" s="776">
        <f t="shared" si="11"/>
        <v>111</v>
      </c>
      <c r="R35" s="777" t="s">
        <v>17</v>
      </c>
      <c r="S35" s="778">
        <f t="shared" si="12"/>
        <v>100</v>
      </c>
      <c r="T35" s="777" t="s">
        <v>17</v>
      </c>
      <c r="U35" s="778">
        <f t="shared" si="13"/>
        <v>100</v>
      </c>
      <c r="V35" s="777" t="s">
        <v>17</v>
      </c>
      <c r="W35" s="778">
        <f t="shared" si="14"/>
        <v>100</v>
      </c>
      <c r="X35" s="779"/>
      <c r="Y35" s="320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5"/>
      <c r="Q36" s="1810">
        <f t="shared" si="11"/>
        <v>111</v>
      </c>
      <c r="R36" s="774" t="s">
        <v>17</v>
      </c>
      <c r="S36" s="775">
        <f t="shared" si="12"/>
        <v>100</v>
      </c>
      <c r="T36" s="774" t="s">
        <v>17</v>
      </c>
      <c r="U36" s="775">
        <f t="shared" si="13"/>
        <v>100</v>
      </c>
      <c r="V36" s="774" t="s">
        <v>17</v>
      </c>
      <c r="W36" s="775">
        <f t="shared" si="14"/>
        <v>100</v>
      </c>
      <c r="X36" s="1813"/>
      <c r="Y36" s="3205"/>
      <c r="Z36" s="1814">
        <f t="shared" si="15"/>
        <v>111</v>
      </c>
      <c r="AA36" s="1811">
        <f t="shared" si="3"/>
        <v>1</v>
      </c>
      <c r="AB36" s="1811">
        <f t="shared" si="4"/>
        <v>1</v>
      </c>
      <c r="AC36" s="1811">
        <f t="shared" si="5"/>
        <v>1</v>
      </c>
    </row>
    <row r="37" spans="1:29" ht="15">
      <c r="A37" s="479" t="s">
        <v>2717</v>
      </c>
      <c r="B37" s="2697" t="s">
        <v>2718</v>
      </c>
      <c r="C37" s="1407" t="s">
        <v>1</v>
      </c>
      <c r="D37" s="1408"/>
      <c r="E37" s="1409"/>
      <c r="F37" s="1410"/>
      <c r="G37" s="1411"/>
      <c r="H37" s="1412"/>
      <c r="I37" s="1409"/>
      <c r="J37" s="1412"/>
      <c r="K37" s="619"/>
      <c r="L37" s="1143"/>
      <c r="M37" s="1144"/>
      <c r="N37" s="1131"/>
      <c r="O37" s="1144"/>
      <c r="P37" s="3198" t="str">
        <f>A37</f>
        <v>成交单价</v>
      </c>
      <c r="Q37" s="3198"/>
      <c r="R37" s="3199">
        <f>E37</f>
        <v>0</v>
      </c>
      <c r="S37" s="3199"/>
      <c r="T37" s="3199">
        <f>G37</f>
        <v>0</v>
      </c>
      <c r="U37" s="3199"/>
      <c r="V37" s="3199">
        <f>I37</f>
        <v>0</v>
      </c>
      <c r="W37" s="3199"/>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197" t="e">
        <f>IF(F1="售价",ROUND(AVERAGE(R38:V38),0),ROUND(AVERAGE(R38:V38),1))</f>
        <v>#DIV/0!</v>
      </c>
      <c r="S39" s="3197"/>
      <c r="T39" s="3197"/>
      <c r="U39" s="3197"/>
      <c r="V39" s="3197"/>
      <c r="W39" s="319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11" t="s">
        <v>2645</v>
      </c>
      <c r="AC4" s="3210" t="s">
        <v>2646</v>
      </c>
    </row>
    <row r="5" spans="1:29"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30" t="s">
        <v>2543</v>
      </c>
      <c r="D6" s="3231"/>
      <c r="E6" s="3237" t="s">
        <v>2543</v>
      </c>
      <c r="F6" s="3238"/>
      <c r="G6" s="3230" t="s">
        <v>2543</v>
      </c>
      <c r="H6" s="3231"/>
      <c r="I6" s="3230" t="s">
        <v>2543</v>
      </c>
      <c r="J6" s="3231"/>
      <c r="K6" s="610" t="s">
        <v>2544</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2545</v>
      </c>
      <c r="B7" s="409"/>
      <c r="C7" s="410">
        <f>'数据-取费表'!B2</f>
        <v>43929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4" t="s">
        <v>2546</v>
      </c>
      <c r="Q7" s="3236"/>
      <c r="R7" s="770" t="s">
        <v>17</v>
      </c>
      <c r="S7" s="771">
        <f t="shared" ref="S7:S14" si="0">F7</f>
        <v>0</v>
      </c>
      <c r="T7" s="770" t="s">
        <v>17</v>
      </c>
      <c r="U7" s="771">
        <f t="shared" ref="U7:U14" si="1">H7</f>
        <v>0</v>
      </c>
      <c r="V7" s="770" t="s">
        <v>17</v>
      </c>
      <c r="W7" s="771">
        <f t="shared" ref="W7:W14" si="2">J7</f>
        <v>0</v>
      </c>
      <c r="X7" s="772"/>
      <c r="Y7" s="3234" t="s">
        <v>2546</v>
      </c>
      <c r="Z7" s="3235"/>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2552</v>
      </c>
      <c r="Q9" s="1795" t="str">
        <f t="shared" ref="Q9:Q14" si="6">B9</f>
        <v>用途</v>
      </c>
      <c r="R9" s="770" t="s">
        <v>17</v>
      </c>
      <c r="S9" s="771">
        <f t="shared" si="0"/>
        <v>100</v>
      </c>
      <c r="T9" s="770" t="s">
        <v>17</v>
      </c>
      <c r="U9" s="771">
        <f t="shared" si="1"/>
        <v>100</v>
      </c>
      <c r="V9" s="770" t="s">
        <v>17</v>
      </c>
      <c r="W9" s="771">
        <f t="shared" si="2"/>
        <v>100</v>
      </c>
      <c r="X9" s="772"/>
      <c r="Y9" s="3023"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0" t="s">
        <v>2557</v>
      </c>
      <c r="Q14" s="1810" t="str">
        <f t="shared" si="6"/>
        <v>交通便捷度</v>
      </c>
      <c r="R14" s="774" t="s">
        <v>17</v>
      </c>
      <c r="S14" s="775">
        <f t="shared" si="0"/>
        <v>100</v>
      </c>
      <c r="T14" s="774" t="s">
        <v>17</v>
      </c>
      <c r="U14" s="775">
        <f t="shared" si="1"/>
        <v>100</v>
      </c>
      <c r="V14" s="774" t="s">
        <v>17</v>
      </c>
      <c r="W14" s="775">
        <f t="shared" si="2"/>
        <v>100</v>
      </c>
      <c r="X14" s="1813"/>
      <c r="Y14" s="3200"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1"/>
      <c r="Q15" s="1810"/>
      <c r="R15" s="774"/>
      <c r="S15" s="775"/>
      <c r="T15" s="774"/>
      <c r="U15" s="775"/>
      <c r="V15" s="774"/>
      <c r="W15" s="775"/>
      <c r="X15" s="1813"/>
      <c r="Y15" s="3201"/>
      <c r="Z15" s="1814"/>
      <c r="AA15" s="1811">
        <v>1</v>
      </c>
      <c r="AB15" s="1811">
        <v>1</v>
      </c>
      <c r="AC15" s="1811">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1"/>
      <c r="Q16" s="1810" t="str">
        <f>B16</f>
        <v>公共配套设施</v>
      </c>
      <c r="R16" s="774" t="s">
        <v>17</v>
      </c>
      <c r="S16" s="775">
        <f>F16</f>
        <v>100</v>
      </c>
      <c r="T16" s="774" t="s">
        <v>17</v>
      </c>
      <c r="U16" s="775">
        <f>H16</f>
        <v>100</v>
      </c>
      <c r="V16" s="774" t="s">
        <v>17</v>
      </c>
      <c r="W16" s="775">
        <f>J16</f>
        <v>100</v>
      </c>
      <c r="X16" s="1813"/>
      <c r="Y16" s="3201"/>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1"/>
      <c r="Q17" s="1810"/>
      <c r="R17" s="774"/>
      <c r="S17" s="775"/>
      <c r="T17" s="774"/>
      <c r="U17" s="775"/>
      <c r="V17" s="774"/>
      <c r="W17" s="775"/>
      <c r="X17" s="1813"/>
      <c r="Y17" s="3201"/>
      <c r="Z17" s="1814"/>
      <c r="AA17" s="1811">
        <v>1</v>
      </c>
      <c r="AB17" s="1811">
        <v>1</v>
      </c>
      <c r="AC17" s="1811">
        <v>1</v>
      </c>
    </row>
    <row r="18" spans="1:29" ht="28.5">
      <c r="A18" s="428"/>
      <c r="B18" s="1384"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1"/>
      <c r="Q18" s="1810" t="str">
        <f>B18</f>
        <v>基础设施水平</v>
      </c>
      <c r="R18" s="774" t="s">
        <v>17</v>
      </c>
      <c r="S18" s="775">
        <f>F18</f>
        <v>100</v>
      </c>
      <c r="T18" s="774" t="s">
        <v>17</v>
      </c>
      <c r="U18" s="775">
        <f>H18</f>
        <v>100</v>
      </c>
      <c r="V18" s="774" t="s">
        <v>17</v>
      </c>
      <c r="W18" s="775">
        <f>J18</f>
        <v>100</v>
      </c>
      <c r="X18" s="1813"/>
      <c r="Y18" s="3201"/>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1"/>
      <c r="Q19" s="1810"/>
      <c r="R19" s="774"/>
      <c r="S19" s="775"/>
      <c r="T19" s="774"/>
      <c r="U19" s="775"/>
      <c r="V19" s="774"/>
      <c r="W19" s="775"/>
      <c r="X19" s="1813"/>
      <c r="Y19" s="3201"/>
      <c r="Z19" s="1814"/>
      <c r="AA19" s="1811">
        <v>1</v>
      </c>
      <c r="AB19" s="1811">
        <v>1</v>
      </c>
      <c r="AC19" s="1811">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1"/>
      <c r="Q20" s="1810" t="str">
        <f>B20</f>
        <v>自然及人文环境</v>
      </c>
      <c r="R20" s="774" t="s">
        <v>17</v>
      </c>
      <c r="S20" s="775">
        <f>F20</f>
        <v>100</v>
      </c>
      <c r="T20" s="774" t="s">
        <v>17</v>
      </c>
      <c r="U20" s="775">
        <f>H20</f>
        <v>100</v>
      </c>
      <c r="V20" s="774" t="s">
        <v>17</v>
      </c>
      <c r="W20" s="775">
        <f>J20</f>
        <v>100</v>
      </c>
      <c r="X20" s="1813"/>
      <c r="Y20" s="320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1"/>
      <c r="Q21" s="1810"/>
      <c r="R21" s="774"/>
      <c r="S21" s="775"/>
      <c r="T21" s="774"/>
      <c r="U21" s="775"/>
      <c r="V21" s="774"/>
      <c r="W21" s="775"/>
      <c r="X21" s="1813"/>
      <c r="Y21" s="3201"/>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1"/>
      <c r="Q22" s="1810" t="str">
        <f>B22</f>
        <v>楼层</v>
      </c>
      <c r="R22" s="774" t="s">
        <v>17</v>
      </c>
      <c r="S22" s="775">
        <f>F22</f>
        <v>100</v>
      </c>
      <c r="T22" s="774" t="s">
        <v>17</v>
      </c>
      <c r="U22" s="775">
        <f>H22</f>
        <v>100</v>
      </c>
      <c r="V22" s="774" t="s">
        <v>17</v>
      </c>
      <c r="W22" s="775">
        <f>J22</f>
        <v>100</v>
      </c>
      <c r="X22" s="1813"/>
      <c r="Y22" s="3201"/>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1"/>
      <c r="Q23" s="1810">
        <f>B23</f>
        <v>111</v>
      </c>
      <c r="R23" s="774" t="s">
        <v>17</v>
      </c>
      <c r="S23" s="775">
        <f>F23</f>
        <v>100</v>
      </c>
      <c r="T23" s="774" t="s">
        <v>17</v>
      </c>
      <c r="U23" s="775">
        <f>H23</f>
        <v>100</v>
      </c>
      <c r="V23" s="774" t="s">
        <v>17</v>
      </c>
      <c r="W23" s="775">
        <f>J23</f>
        <v>100</v>
      </c>
      <c r="X23" s="1813"/>
      <c r="Y23" s="3201"/>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1"/>
      <c r="Q24" s="1810">
        <f t="shared" ref="Q24:Q34" si="11">B24</f>
        <v>111</v>
      </c>
      <c r="R24" s="774" t="s">
        <v>17</v>
      </c>
      <c r="S24" s="775">
        <f>F24</f>
        <v>100</v>
      </c>
      <c r="T24" s="774" t="s">
        <v>17</v>
      </c>
      <c r="U24" s="775">
        <f>H24</f>
        <v>100</v>
      </c>
      <c r="V24" s="774" t="s">
        <v>17</v>
      </c>
      <c r="W24" s="775">
        <f>J24</f>
        <v>100</v>
      </c>
      <c r="X24" s="1813"/>
      <c r="Y24" s="3201"/>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1"/>
      <c r="Q25" s="1795">
        <f t="shared" si="11"/>
        <v>111</v>
      </c>
      <c r="R25" s="770" t="s">
        <v>17</v>
      </c>
      <c r="S25" s="771">
        <f>F25</f>
        <v>100</v>
      </c>
      <c r="T25" s="770" t="s">
        <v>17</v>
      </c>
      <c r="U25" s="771">
        <f>H25</f>
        <v>100</v>
      </c>
      <c r="V25" s="770" t="s">
        <v>17</v>
      </c>
      <c r="W25" s="771">
        <f>J25</f>
        <v>100</v>
      </c>
      <c r="X25" s="772"/>
      <c r="Y25" s="3201"/>
      <c r="Z25" s="55">
        <f>Q25</f>
        <v>111</v>
      </c>
      <c r="AA25" s="1811">
        <f>D25/F25</f>
        <v>1</v>
      </c>
      <c r="AB25" s="1811">
        <f>D25/H25</f>
        <v>1</v>
      </c>
      <c r="AC25" s="1811">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6"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5"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5"/>
      <c r="Q27" s="776" t="str">
        <f t="shared" si="11"/>
        <v>成新率</v>
      </c>
      <c r="R27" s="777" t="s">
        <v>17</v>
      </c>
      <c r="S27" s="778" t="e">
        <f t="shared" si="12"/>
        <v>#N/A</v>
      </c>
      <c r="T27" s="777" t="s">
        <v>17</v>
      </c>
      <c r="U27" s="778" t="e">
        <f t="shared" si="13"/>
        <v>#N/A</v>
      </c>
      <c r="V27" s="777" t="s">
        <v>17</v>
      </c>
      <c r="W27" s="778" t="e">
        <f t="shared" si="14"/>
        <v>#N/A</v>
      </c>
      <c r="X27" s="779"/>
      <c r="Y27" s="3205"/>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5"/>
      <c r="Q28" s="1810" t="str">
        <f t="shared" si="11"/>
        <v>物业等级</v>
      </c>
      <c r="R28" s="774" t="s">
        <v>17</v>
      </c>
      <c r="S28" s="775">
        <f t="shared" si="12"/>
        <v>100</v>
      </c>
      <c r="T28" s="774" t="s">
        <v>17</v>
      </c>
      <c r="U28" s="775">
        <f t="shared" si="13"/>
        <v>100</v>
      </c>
      <c r="V28" s="774" t="s">
        <v>17</v>
      </c>
      <c r="W28" s="775">
        <f t="shared" si="14"/>
        <v>100</v>
      </c>
      <c r="X28" s="1813"/>
      <c r="Y28" s="3205"/>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5"/>
      <c r="Q29" s="1810" t="str">
        <f t="shared" si="11"/>
        <v>有无电梯</v>
      </c>
      <c r="R29" s="774" t="s">
        <v>17</v>
      </c>
      <c r="S29" s="775">
        <f t="shared" si="12"/>
        <v>100</v>
      </c>
      <c r="T29" s="774" t="s">
        <v>17</v>
      </c>
      <c r="U29" s="775">
        <f t="shared" si="13"/>
        <v>100</v>
      </c>
      <c r="V29" s="774" t="s">
        <v>17</v>
      </c>
      <c r="W29" s="775">
        <f t="shared" si="14"/>
        <v>100</v>
      </c>
      <c r="X29" s="1813"/>
      <c r="Y29" s="3205"/>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5"/>
      <c r="Q30" s="1810" t="str">
        <f t="shared" si="11"/>
        <v>建筑面积</v>
      </c>
      <c r="R30" s="774" t="s">
        <v>17</v>
      </c>
      <c r="S30" s="775" t="e">
        <f t="shared" si="12"/>
        <v>#N/A</v>
      </c>
      <c r="T30" s="774" t="s">
        <v>17</v>
      </c>
      <c r="U30" s="775" t="e">
        <f t="shared" si="13"/>
        <v>#N/A</v>
      </c>
      <c r="V30" s="774" t="s">
        <v>17</v>
      </c>
      <c r="W30" s="775" t="e">
        <f t="shared" si="14"/>
        <v>#N/A</v>
      </c>
      <c r="X30" s="1813"/>
      <c r="Y30" s="3205"/>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5"/>
      <c r="Q31" s="1795" t="str">
        <f t="shared" si="11"/>
        <v>是否封闭</v>
      </c>
      <c r="R31" s="770" t="s">
        <v>17</v>
      </c>
      <c r="S31" s="771">
        <f t="shared" si="12"/>
        <v>100</v>
      </c>
      <c r="T31" s="770" t="s">
        <v>17</v>
      </c>
      <c r="U31" s="771">
        <f t="shared" si="13"/>
        <v>100</v>
      </c>
      <c r="V31" s="770" t="s">
        <v>17</v>
      </c>
      <c r="W31" s="771">
        <f t="shared" si="14"/>
        <v>100</v>
      </c>
      <c r="X31" s="772"/>
      <c r="Y31" s="320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5" t="s">
        <v>2562</v>
      </c>
      <c r="Q32" s="1810">
        <f t="shared" si="11"/>
        <v>111</v>
      </c>
      <c r="R32" s="774" t="s">
        <v>17</v>
      </c>
      <c r="S32" s="775">
        <f t="shared" si="12"/>
        <v>100</v>
      </c>
      <c r="T32" s="774" t="s">
        <v>17</v>
      </c>
      <c r="U32" s="775">
        <f t="shared" si="13"/>
        <v>100</v>
      </c>
      <c r="V32" s="774" t="s">
        <v>17</v>
      </c>
      <c r="W32" s="775">
        <f t="shared" si="14"/>
        <v>100</v>
      </c>
      <c r="X32" s="1813"/>
      <c r="Y32" s="3205" t="s">
        <v>2562</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5"/>
      <c r="Q33" s="1810">
        <f t="shared" si="11"/>
        <v>111</v>
      </c>
      <c r="R33" s="774" t="s">
        <v>17</v>
      </c>
      <c r="S33" s="775">
        <f t="shared" si="12"/>
        <v>100</v>
      </c>
      <c r="T33" s="774" t="s">
        <v>17</v>
      </c>
      <c r="U33" s="775">
        <f t="shared" si="13"/>
        <v>100</v>
      </c>
      <c r="V33" s="774" t="s">
        <v>17</v>
      </c>
      <c r="W33" s="775">
        <f t="shared" si="14"/>
        <v>100</v>
      </c>
      <c r="X33" s="1813"/>
      <c r="Y33" s="3205"/>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5"/>
      <c r="Q34" s="1810">
        <f t="shared" si="11"/>
        <v>111</v>
      </c>
      <c r="R34" s="774" t="s">
        <v>17</v>
      </c>
      <c r="S34" s="775">
        <f t="shared" si="12"/>
        <v>100</v>
      </c>
      <c r="T34" s="774" t="s">
        <v>17</v>
      </c>
      <c r="U34" s="775">
        <f t="shared" si="13"/>
        <v>100</v>
      </c>
      <c r="V34" s="774" t="s">
        <v>17</v>
      </c>
      <c r="W34" s="775">
        <f t="shared" si="14"/>
        <v>100</v>
      </c>
      <c r="X34" s="1813"/>
      <c r="Y34" s="3205"/>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98" t="str">
        <f>A35</f>
        <v>成交单价（元/平方米）</v>
      </c>
      <c r="Q35" s="3198"/>
      <c r="R35" s="3199">
        <f>E35</f>
        <v>0</v>
      </c>
      <c r="S35" s="3199"/>
      <c r="T35" s="3199">
        <f>G35</f>
        <v>0</v>
      </c>
      <c r="U35" s="3199"/>
      <c r="V35" s="3199">
        <f>I35</f>
        <v>0</v>
      </c>
      <c r="W35" s="3199"/>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95" t="str">
        <f>A37</f>
        <v>估价对象XX用房的比较价值（楼面单价，元/平方米）</v>
      </c>
      <c r="Q37" s="3196"/>
      <c r="R37" s="3197" t="e">
        <f>IF(F1="售价",ROUND(AVERAGE(R36:V36),0),ROUND(AVERAGE(R36:V36),1))</f>
        <v>#DIV/0!</v>
      </c>
      <c r="S37" s="3197"/>
      <c r="T37" s="3197"/>
      <c r="U37" s="3197"/>
      <c r="V37" s="3197"/>
      <c r="W37" s="319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11" t="s">
        <v>2645</v>
      </c>
      <c r="AC4" s="3210" t="s">
        <v>2646</v>
      </c>
    </row>
    <row r="5" spans="1:30"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11"/>
      <c r="AC5" s="3211"/>
    </row>
    <row r="6" spans="1:30" ht="15.75" thickBot="1">
      <c r="A6" s="406"/>
      <c r="B6" s="407"/>
      <c r="C6" s="3230" t="s">
        <v>2543</v>
      </c>
      <c r="D6" s="3231"/>
      <c r="E6" s="3237" t="s">
        <v>2543</v>
      </c>
      <c r="F6" s="3238"/>
      <c r="G6" s="3230" t="s">
        <v>2543</v>
      </c>
      <c r="H6" s="3231"/>
      <c r="I6" s="3230" t="s">
        <v>2543</v>
      </c>
      <c r="J6" s="3231"/>
      <c r="K6" s="610" t="s">
        <v>2544</v>
      </c>
      <c r="L6" s="1130"/>
      <c r="M6" s="1131"/>
      <c r="N6" s="1131"/>
      <c r="O6" s="1131"/>
      <c r="P6" s="3221"/>
      <c r="Q6" s="3222"/>
      <c r="R6" s="3225"/>
      <c r="S6" s="3226"/>
      <c r="T6" s="3227"/>
      <c r="U6" s="3228"/>
      <c r="V6" s="3229"/>
      <c r="W6" s="3229"/>
      <c r="X6" s="1813"/>
      <c r="Y6" s="3227"/>
      <c r="Z6" s="3228"/>
      <c r="AA6" s="3212"/>
      <c r="AB6" s="3212"/>
      <c r="AC6" s="3212"/>
    </row>
    <row r="7" spans="1:30" s="117" customFormat="1" ht="15.75" thickBot="1">
      <c r="A7" s="408" t="s">
        <v>2545</v>
      </c>
      <c r="B7" s="409"/>
      <c r="C7" s="410">
        <f>'数据-取费表'!B2</f>
        <v>43929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4" t="s">
        <v>2546</v>
      </c>
      <c r="Q7" s="3236"/>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9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105</v>
      </c>
      <c r="G10" s="463"/>
      <c r="H10" s="136">
        <f ca="1">ROUND(100/'数据-取费表'!G16,0)</f>
        <v>105</v>
      </c>
      <c r="I10" s="463"/>
      <c r="J10" s="136">
        <f ca="1">ROUND(100/'数据-取费表'!G16,0)</f>
        <v>105</v>
      </c>
      <c r="K10" s="672"/>
      <c r="L10" s="1135"/>
      <c r="M10" s="1136"/>
      <c r="N10" s="1136"/>
      <c r="O10" s="1137"/>
      <c r="P10" s="3198"/>
      <c r="Q10" s="1795" t="str">
        <f t="shared" si="6"/>
        <v>土地使用年限（年）</v>
      </c>
      <c r="R10" s="770" t="s">
        <v>17</v>
      </c>
      <c r="S10" s="771">
        <f t="shared" ca="1" si="0"/>
        <v>105</v>
      </c>
      <c r="T10" s="770" t="s">
        <v>17</v>
      </c>
      <c r="U10" s="771">
        <f t="shared" ca="1" si="1"/>
        <v>105</v>
      </c>
      <c r="V10" s="770" t="s">
        <v>17</v>
      </c>
      <c r="W10" s="771">
        <f t="shared" ca="1" si="2"/>
        <v>105</v>
      </c>
      <c r="X10" s="772"/>
      <c r="Y10" s="3023"/>
      <c r="Z10" s="55" t="str">
        <f t="shared" si="7"/>
        <v>土地使用年限（年）</v>
      </c>
      <c r="AA10" s="773">
        <f t="shared" ca="1" si="3"/>
        <v>0.95238095238095233</v>
      </c>
      <c r="AB10" s="773">
        <f t="shared" ca="1" si="4"/>
        <v>0.95238095238095233</v>
      </c>
      <c r="AC10" s="773">
        <f t="shared" ca="1"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0" t="s">
        <v>2557</v>
      </c>
      <c r="Q15" s="1810" t="str">
        <f t="shared" si="6"/>
        <v>居住社区成熟度</v>
      </c>
      <c r="R15" s="774" t="s">
        <v>17</v>
      </c>
      <c r="S15" s="775">
        <f t="shared" si="0"/>
        <v>100</v>
      </c>
      <c r="T15" s="774" t="s">
        <v>17</v>
      </c>
      <c r="U15" s="775">
        <f t="shared" si="1"/>
        <v>100</v>
      </c>
      <c r="V15" s="774" t="s">
        <v>17</v>
      </c>
      <c r="W15" s="775">
        <f t="shared" si="2"/>
        <v>100</v>
      </c>
      <c r="X15" s="1813"/>
      <c r="Y15" s="3200" t="s">
        <v>2557</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1"/>
      <c r="Q16" s="1810"/>
      <c r="R16" s="774"/>
      <c r="S16" s="775"/>
      <c r="T16" s="774"/>
      <c r="U16" s="775"/>
      <c r="V16" s="774"/>
      <c r="W16" s="775"/>
      <c r="X16" s="1813"/>
      <c r="Y16" s="3201"/>
      <c r="Z16" s="1814"/>
      <c r="AA16" s="1811">
        <v>1</v>
      </c>
      <c r="AB16" s="1811">
        <v>1</v>
      </c>
      <c r="AC16" s="1811">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1"/>
      <c r="Q17" s="1810" t="str">
        <f>B17</f>
        <v>商业繁华度</v>
      </c>
      <c r="R17" s="774" t="s">
        <v>17</v>
      </c>
      <c r="S17" s="775">
        <f>F17</f>
        <v>100</v>
      </c>
      <c r="T17" s="774" t="s">
        <v>17</v>
      </c>
      <c r="U17" s="775">
        <f>H17</f>
        <v>100</v>
      </c>
      <c r="V17" s="774" t="s">
        <v>17</v>
      </c>
      <c r="W17" s="775">
        <f>J17</f>
        <v>100</v>
      </c>
      <c r="X17" s="1813"/>
      <c r="Y17" s="3201"/>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1"/>
      <c r="Q18" s="1810"/>
      <c r="R18" s="774"/>
      <c r="S18" s="775"/>
      <c r="T18" s="774"/>
      <c r="U18" s="775"/>
      <c r="V18" s="774"/>
      <c r="W18" s="775"/>
      <c r="X18" s="1813"/>
      <c r="Y18" s="3201"/>
      <c r="Z18" s="1814"/>
      <c r="AA18" s="1811">
        <v>1</v>
      </c>
      <c r="AB18" s="1811">
        <v>1</v>
      </c>
      <c r="AC18" s="1811">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1"/>
      <c r="Q19" s="1810" t="str">
        <f>B19</f>
        <v>办公集聚程度</v>
      </c>
      <c r="R19" s="774" t="s">
        <v>17</v>
      </c>
      <c r="S19" s="775">
        <f>F19</f>
        <v>100</v>
      </c>
      <c r="T19" s="774" t="s">
        <v>17</v>
      </c>
      <c r="U19" s="775">
        <f>H19</f>
        <v>100</v>
      </c>
      <c r="V19" s="774" t="s">
        <v>17</v>
      </c>
      <c r="W19" s="775">
        <f>J19</f>
        <v>100</v>
      </c>
      <c r="X19" s="1813"/>
      <c r="Y19" s="3201"/>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1"/>
      <c r="Q20" s="1810"/>
      <c r="R20" s="774"/>
      <c r="S20" s="775"/>
      <c r="T20" s="774"/>
      <c r="U20" s="775"/>
      <c r="V20" s="774"/>
      <c r="W20" s="775"/>
      <c r="X20" s="1813"/>
      <c r="Y20" s="3201"/>
      <c r="Z20" s="1814"/>
      <c r="AA20" s="1811">
        <v>1</v>
      </c>
      <c r="AB20" s="1811">
        <v>1</v>
      </c>
      <c r="AC20" s="1811">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1"/>
      <c r="Q21" s="1810" t="str">
        <f>B21</f>
        <v>交通便捷度</v>
      </c>
      <c r="R21" s="774" t="s">
        <v>17</v>
      </c>
      <c r="S21" s="775">
        <f>F21</f>
        <v>100</v>
      </c>
      <c r="T21" s="774" t="s">
        <v>17</v>
      </c>
      <c r="U21" s="775">
        <f>H21</f>
        <v>100</v>
      </c>
      <c r="V21" s="774" t="s">
        <v>17</v>
      </c>
      <c r="W21" s="775">
        <f>J21</f>
        <v>100</v>
      </c>
      <c r="X21" s="1813"/>
      <c r="Y21" s="3201"/>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1"/>
      <c r="Q22" s="1810"/>
      <c r="R22" s="774"/>
      <c r="S22" s="775"/>
      <c r="T22" s="774"/>
      <c r="U22" s="775"/>
      <c r="V22" s="774"/>
      <c r="W22" s="775"/>
      <c r="X22" s="1813"/>
      <c r="Y22" s="3201"/>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1"/>
      <c r="Q23" s="1810" t="str">
        <f t="shared" ref="Q23:Q37" si="8">B23</f>
        <v>区域土地利用方向</v>
      </c>
      <c r="R23" s="774" t="s">
        <v>17</v>
      </c>
      <c r="S23" s="775">
        <f>F23</f>
        <v>100</v>
      </c>
      <c r="T23" s="774" t="s">
        <v>17</v>
      </c>
      <c r="U23" s="775">
        <f>H23</f>
        <v>100</v>
      </c>
      <c r="V23" s="774" t="s">
        <v>17</v>
      </c>
      <c r="W23" s="775">
        <f>J23</f>
        <v>100</v>
      </c>
      <c r="X23" s="1813"/>
      <c r="Y23" s="3201"/>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1"/>
      <c r="Q24" s="1810"/>
      <c r="R24" s="774"/>
      <c r="S24" s="775"/>
      <c r="T24" s="774"/>
      <c r="U24" s="775"/>
      <c r="V24" s="774"/>
      <c r="W24" s="775"/>
      <c r="X24" s="1813"/>
      <c r="Y24" s="3201"/>
      <c r="Z24" s="1814"/>
      <c r="AA24" s="1811"/>
      <c r="AB24" s="1811"/>
      <c r="AC24" s="1811"/>
    </row>
    <row r="25" spans="1:29" ht="57">
      <c r="A25" s="404"/>
      <c r="B25" s="1384"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1"/>
      <c r="Q25" s="1810" t="str">
        <f t="shared" si="8"/>
        <v>自然及人文环境状况</v>
      </c>
      <c r="R25" s="774" t="s">
        <v>17</v>
      </c>
      <c r="S25" s="775">
        <f>F25</f>
        <v>100</v>
      </c>
      <c r="T25" s="774" t="s">
        <v>17</v>
      </c>
      <c r="U25" s="775">
        <f>H25</f>
        <v>100</v>
      </c>
      <c r="V25" s="774" t="s">
        <v>17</v>
      </c>
      <c r="W25" s="775">
        <f>J25</f>
        <v>100</v>
      </c>
      <c r="X25" s="1813"/>
      <c r="Y25" s="3201"/>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1"/>
      <c r="Q26" s="1810"/>
      <c r="R26" s="774"/>
      <c r="S26" s="775"/>
      <c r="T26" s="774"/>
      <c r="U26" s="775"/>
      <c r="V26" s="774"/>
      <c r="W26" s="775"/>
      <c r="X26" s="1813"/>
      <c r="Y26" s="3201"/>
      <c r="Z26" s="1814"/>
      <c r="AA26" s="1811">
        <v>1</v>
      </c>
      <c r="AB26" s="1811">
        <v>1</v>
      </c>
      <c r="AC26" s="1811">
        <v>1</v>
      </c>
    </row>
    <row r="27" spans="1:29" s="117" customFormat="1" ht="42.75">
      <c r="A27" s="649"/>
      <c r="B27" s="1384"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1"/>
      <c r="Q27" s="1795" t="str">
        <f t="shared" si="8"/>
        <v>公共配套设施</v>
      </c>
      <c r="R27" s="770" t="s">
        <v>17</v>
      </c>
      <c r="S27" s="771">
        <f>F27</f>
        <v>100</v>
      </c>
      <c r="T27" s="770" t="s">
        <v>17</v>
      </c>
      <c r="U27" s="771">
        <f>H27</f>
        <v>100</v>
      </c>
      <c r="V27" s="770" t="s">
        <v>17</v>
      </c>
      <c r="W27" s="771">
        <f>J27</f>
        <v>100</v>
      </c>
      <c r="X27" s="772"/>
      <c r="Y27" s="3201"/>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1"/>
      <c r="Q28" s="1795"/>
      <c r="R28" s="770"/>
      <c r="S28" s="771"/>
      <c r="T28" s="770"/>
      <c r="U28" s="771"/>
      <c r="V28" s="770"/>
      <c r="W28" s="771"/>
      <c r="X28" s="772"/>
      <c r="Y28" s="3201"/>
      <c r="Z28" s="55"/>
      <c r="AA28" s="1811">
        <v>1</v>
      </c>
      <c r="AB28" s="1811">
        <v>1</v>
      </c>
      <c r="AC28" s="1811">
        <v>1</v>
      </c>
    </row>
    <row r="29" spans="1:29" s="117" customFormat="1" ht="28.5">
      <c r="A29" s="649"/>
      <c r="B29" s="1384"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1"/>
      <c r="Q29" s="1795" t="str">
        <f t="shared" ref="Q29" si="9">B29</f>
        <v>基础设施水平</v>
      </c>
      <c r="R29" s="770" t="s">
        <v>17</v>
      </c>
      <c r="S29" s="771">
        <f>F29</f>
        <v>100</v>
      </c>
      <c r="T29" s="770" t="s">
        <v>17</v>
      </c>
      <c r="U29" s="771">
        <f>H29</f>
        <v>100</v>
      </c>
      <c r="V29" s="770" t="s">
        <v>17</v>
      </c>
      <c r="W29" s="771">
        <f>J29</f>
        <v>100</v>
      </c>
      <c r="X29" s="772"/>
      <c r="Y29" s="3201"/>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1"/>
      <c r="Q30" s="1795"/>
      <c r="R30" s="770"/>
      <c r="S30" s="771"/>
      <c r="T30" s="770"/>
      <c r="U30" s="771"/>
      <c r="V30" s="770"/>
      <c r="W30" s="771"/>
      <c r="X30" s="772"/>
      <c r="Y30" s="3201"/>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1"/>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1"/>
      <c r="Q32" s="1810" t="str">
        <f t="shared" si="8"/>
        <v>毗邻道路的类型与等级</v>
      </c>
      <c r="R32" s="774" t="s">
        <v>17</v>
      </c>
      <c r="S32" s="775">
        <f t="shared" si="10"/>
        <v>100</v>
      </c>
      <c r="T32" s="774" t="s">
        <v>17</v>
      </c>
      <c r="U32" s="775">
        <f t="shared" si="11"/>
        <v>100</v>
      </c>
      <c r="V32" s="774" t="s">
        <v>17</v>
      </c>
      <c r="W32" s="775">
        <f t="shared" si="12"/>
        <v>100</v>
      </c>
      <c r="X32" s="1813"/>
      <c r="Y32" s="3201"/>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1"/>
      <c r="Q33" s="1810"/>
      <c r="R33" s="774"/>
      <c r="S33" s="775"/>
      <c r="T33" s="774"/>
      <c r="U33" s="775"/>
      <c r="V33" s="774"/>
      <c r="W33" s="775"/>
      <c r="X33" s="1813"/>
      <c r="Y33" s="3201"/>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1"/>
      <c r="Q34" s="1810" t="str">
        <f t="shared" si="8"/>
        <v>土地级别</v>
      </c>
      <c r="R34" s="774" t="s">
        <v>17</v>
      </c>
      <c r="S34" s="775">
        <f t="shared" si="10"/>
        <v>100</v>
      </c>
      <c r="T34" s="774" t="s">
        <v>17</v>
      </c>
      <c r="U34" s="775">
        <f t="shared" si="11"/>
        <v>100</v>
      </c>
      <c r="V34" s="774" t="s">
        <v>17</v>
      </c>
      <c r="W34" s="775">
        <f t="shared" si="12"/>
        <v>100</v>
      </c>
      <c r="X34" s="1813"/>
      <c r="Y34" s="320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1"/>
      <c r="Q35" s="1810">
        <f t="shared" si="8"/>
        <v>111</v>
      </c>
      <c r="R35" s="774" t="s">
        <v>17</v>
      </c>
      <c r="S35" s="775">
        <f t="shared" si="10"/>
        <v>100</v>
      </c>
      <c r="T35" s="774" t="s">
        <v>17</v>
      </c>
      <c r="U35" s="775">
        <f t="shared" si="11"/>
        <v>100</v>
      </c>
      <c r="V35" s="774" t="s">
        <v>17</v>
      </c>
      <c r="W35" s="775">
        <f t="shared" si="12"/>
        <v>100</v>
      </c>
      <c r="X35" s="1813"/>
      <c r="Y35" s="320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6" t="s">
        <v>2562</v>
      </c>
      <c r="Q36" s="1810">
        <f t="shared" si="8"/>
        <v>111</v>
      </c>
      <c r="R36" s="774" t="s">
        <v>17</v>
      </c>
      <c r="S36" s="775">
        <f t="shared" si="10"/>
        <v>100</v>
      </c>
      <c r="T36" s="774" t="s">
        <v>17</v>
      </c>
      <c r="U36" s="775">
        <f t="shared" si="11"/>
        <v>100</v>
      </c>
      <c r="V36" s="774" t="s">
        <v>17</v>
      </c>
      <c r="W36" s="775">
        <f t="shared" si="12"/>
        <v>100</v>
      </c>
      <c r="X36" s="1813"/>
      <c r="Y36" s="3205"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5"/>
      <c r="Q37" s="1810">
        <f t="shared" si="8"/>
        <v>111</v>
      </c>
      <c r="R37" s="777" t="s">
        <v>17</v>
      </c>
      <c r="S37" s="778">
        <f t="shared" si="10"/>
        <v>100</v>
      </c>
      <c r="T37" s="777" t="s">
        <v>17</v>
      </c>
      <c r="U37" s="778">
        <f t="shared" si="11"/>
        <v>100</v>
      </c>
      <c r="V37" s="777" t="s">
        <v>17</v>
      </c>
      <c r="W37" s="778">
        <f t="shared" si="12"/>
        <v>100</v>
      </c>
      <c r="X37" s="779"/>
      <c r="Y37" s="3205"/>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5"/>
      <c r="Q38" s="1810" t="str">
        <f>B38</f>
        <v>宗地面积</v>
      </c>
      <c r="R38" s="774" t="s">
        <v>17</v>
      </c>
      <c r="S38" s="775" t="e">
        <f t="shared" si="10"/>
        <v>#N/A</v>
      </c>
      <c r="T38" s="774" t="s">
        <v>17</v>
      </c>
      <c r="U38" s="775" t="e">
        <f t="shared" si="11"/>
        <v>#N/A</v>
      </c>
      <c r="V38" s="774" t="s">
        <v>17</v>
      </c>
      <c r="W38" s="775" t="e">
        <f t="shared" si="12"/>
        <v>#N/A</v>
      </c>
      <c r="X38" s="1813"/>
      <c r="Y38" s="3205"/>
      <c r="Z38" s="1814" t="str">
        <f t="shared" si="13"/>
        <v>宗地面积</v>
      </c>
      <c r="AA38" s="1811" t="e">
        <f t="shared" si="3"/>
        <v>#N/A</v>
      </c>
      <c r="AB38" s="1811" t="e">
        <f t="shared" si="4"/>
        <v>#N/A</v>
      </c>
      <c r="AC38" s="1811"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05"/>
      <c r="Q39" s="1810" t="str">
        <f t="shared" ref="Q39:Q45" si="14">B39</f>
        <v>宗地形状</v>
      </c>
      <c r="R39" s="774" t="s">
        <v>17</v>
      </c>
      <c r="S39" s="775">
        <f t="shared" si="10"/>
        <v>100</v>
      </c>
      <c r="T39" s="774" t="s">
        <v>17</v>
      </c>
      <c r="U39" s="775">
        <f t="shared" si="11"/>
        <v>100</v>
      </c>
      <c r="V39" s="774" t="s">
        <v>17</v>
      </c>
      <c r="W39" s="775">
        <f t="shared" si="12"/>
        <v>100</v>
      </c>
      <c r="X39" s="1813"/>
      <c r="Y39" s="3205"/>
      <c r="Z39" s="1814" t="str">
        <f t="shared" si="13"/>
        <v>宗地形状</v>
      </c>
      <c r="AA39" s="1811">
        <f t="shared" si="3"/>
        <v>1</v>
      </c>
      <c r="AB39" s="1811">
        <f t="shared" si="4"/>
        <v>1</v>
      </c>
      <c r="AC39" s="1811">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05"/>
      <c r="Q40" s="1810" t="str">
        <f t="shared" si="14"/>
        <v>临街宽度及深度</v>
      </c>
      <c r="R40" s="774" t="s">
        <v>17</v>
      </c>
      <c r="S40" s="775">
        <f t="shared" si="10"/>
        <v>100</v>
      </c>
      <c r="T40" s="774" t="s">
        <v>17</v>
      </c>
      <c r="U40" s="775">
        <f t="shared" si="11"/>
        <v>100</v>
      </c>
      <c r="V40" s="774" t="s">
        <v>17</v>
      </c>
      <c r="W40" s="775">
        <f t="shared" si="12"/>
        <v>100</v>
      </c>
      <c r="X40" s="1813"/>
      <c r="Y40" s="3205"/>
      <c r="Z40" s="1814" t="str">
        <f t="shared" si="13"/>
        <v>临街宽度及深度</v>
      </c>
      <c r="AA40" s="1811">
        <f t="shared" si="3"/>
        <v>1</v>
      </c>
      <c r="AB40" s="1811">
        <f t="shared" si="4"/>
        <v>1</v>
      </c>
      <c r="AC40" s="1811">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05"/>
      <c r="Q41" s="1810" t="str">
        <f t="shared" si="14"/>
        <v>宗地开发程度</v>
      </c>
      <c r="R41" s="770" t="s">
        <v>17</v>
      </c>
      <c r="S41" s="771">
        <f t="shared" si="10"/>
        <v>100</v>
      </c>
      <c r="T41" s="770" t="s">
        <v>17</v>
      </c>
      <c r="U41" s="771">
        <f t="shared" si="11"/>
        <v>100</v>
      </c>
      <c r="V41" s="770" t="s">
        <v>17</v>
      </c>
      <c r="W41" s="771">
        <f t="shared" si="12"/>
        <v>100</v>
      </c>
      <c r="X41" s="772"/>
      <c r="Y41" s="3205"/>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05" t="s">
        <v>2562</v>
      </c>
      <c r="Q42" s="1810" t="str">
        <f t="shared" si="14"/>
        <v>工程地质条件</v>
      </c>
      <c r="R42" s="774" t="s">
        <v>17</v>
      </c>
      <c r="S42" s="775">
        <f t="shared" si="10"/>
        <v>100</v>
      </c>
      <c r="T42" s="774" t="s">
        <v>17</v>
      </c>
      <c r="U42" s="775">
        <f t="shared" si="11"/>
        <v>100</v>
      </c>
      <c r="V42" s="774" t="s">
        <v>17</v>
      </c>
      <c r="W42" s="775">
        <f t="shared" si="12"/>
        <v>100</v>
      </c>
      <c r="X42" s="1813"/>
      <c r="Y42" s="3205"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5"/>
      <c r="Q43" s="1810">
        <f t="shared" si="14"/>
        <v>111</v>
      </c>
      <c r="R43" s="774" t="s">
        <v>17</v>
      </c>
      <c r="S43" s="775">
        <f t="shared" si="10"/>
        <v>100</v>
      </c>
      <c r="T43" s="774" t="s">
        <v>17</v>
      </c>
      <c r="U43" s="775">
        <f t="shared" si="11"/>
        <v>100</v>
      </c>
      <c r="V43" s="774" t="s">
        <v>17</v>
      </c>
      <c r="W43" s="775">
        <f t="shared" si="12"/>
        <v>100</v>
      </c>
      <c r="X43" s="1813"/>
      <c r="Y43" s="320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5"/>
      <c r="Q44" s="1810">
        <f t="shared" si="14"/>
        <v>111</v>
      </c>
      <c r="R44" s="774" t="s">
        <v>17</v>
      </c>
      <c r="S44" s="775">
        <f t="shared" si="10"/>
        <v>100</v>
      </c>
      <c r="T44" s="774" t="s">
        <v>17</v>
      </c>
      <c r="U44" s="775">
        <f t="shared" si="11"/>
        <v>100</v>
      </c>
      <c r="V44" s="774" t="s">
        <v>17</v>
      </c>
      <c r="W44" s="775">
        <f t="shared" si="12"/>
        <v>100</v>
      </c>
      <c r="X44" s="1813"/>
      <c r="Y44" s="3205"/>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5"/>
      <c r="Q45" s="1810">
        <f t="shared" si="14"/>
        <v>111</v>
      </c>
      <c r="R45" s="777" t="s">
        <v>17</v>
      </c>
      <c r="S45" s="778">
        <f t="shared" si="10"/>
        <v>100</v>
      </c>
      <c r="T45" s="777" t="s">
        <v>17</v>
      </c>
      <c r="U45" s="778">
        <f t="shared" si="11"/>
        <v>100</v>
      </c>
      <c r="V45" s="777" t="s">
        <v>17</v>
      </c>
      <c r="W45" s="778">
        <f t="shared" si="12"/>
        <v>100</v>
      </c>
      <c r="X45" s="779"/>
      <c r="Y45" s="3205"/>
      <c r="Z45" s="780">
        <f t="shared" si="13"/>
        <v>111</v>
      </c>
      <c r="AA45" s="1811">
        <f t="shared" si="3"/>
        <v>1</v>
      </c>
      <c r="AB45" s="1811">
        <f t="shared" si="4"/>
        <v>1</v>
      </c>
      <c r="AC45" s="1811">
        <f t="shared" si="5"/>
        <v>1</v>
      </c>
    </row>
    <row r="46" spans="1:29" ht="15">
      <c r="A46" s="479" t="s">
        <v>2717</v>
      </c>
      <c r="B46" s="2706" t="s">
        <v>2753</v>
      </c>
      <c r="C46" s="682" t="s">
        <v>1</v>
      </c>
      <c r="D46" s="481"/>
      <c r="E46" s="482"/>
      <c r="F46" s="483"/>
      <c r="G46" s="484"/>
      <c r="H46" s="485"/>
      <c r="I46" s="482"/>
      <c r="J46" s="485"/>
      <c r="K46" s="783"/>
      <c r="L46" s="1143"/>
      <c r="M46" s="1144"/>
      <c r="N46" s="1131"/>
      <c r="O46" s="1144"/>
      <c r="P46" s="3198" t="str">
        <f>A46</f>
        <v>成交单价</v>
      </c>
      <c r="Q46" s="3198"/>
      <c r="R46" s="3229">
        <f>E46</f>
        <v>0</v>
      </c>
      <c r="S46" s="3229"/>
      <c r="T46" s="3229">
        <f>G46</f>
        <v>0</v>
      </c>
      <c r="U46" s="3229"/>
      <c r="V46" s="3229">
        <f>I46</f>
        <v>0</v>
      </c>
      <c r="W46" s="322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98" t="str">
        <f>A47</f>
        <v>比较价值（元/平方米）</v>
      </c>
      <c r="Q47" s="3198"/>
      <c r="R47" s="3257" t="e">
        <f>ROUND(PRODUCT(R46,AA7:AA45),0)</f>
        <v>#DIV/0!</v>
      </c>
      <c r="S47" s="3257"/>
      <c r="T47" s="3257" t="e">
        <f>ROUND(PRODUCT(T46,AB7:AB45),0)</f>
        <v>#DIV/0!</v>
      </c>
      <c r="U47" s="3257"/>
      <c r="V47" s="3257" t="e">
        <f>ROUND(PRODUCT(V46,AC7:AC45),0)</f>
        <v>#DIV/0!</v>
      </c>
      <c r="W47" s="3257"/>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95" t="str">
        <f>A48</f>
        <v>估价对象XX用房的比较价值（楼面单价，元/平方米）</v>
      </c>
      <c r="Q48" s="3196"/>
      <c r="R48" s="3258" t="e">
        <f>ROUND(AVERAGE(R47:V47),0)</f>
        <v>#DIV/0!</v>
      </c>
      <c r="S48" s="3258"/>
      <c r="T48" s="3258"/>
      <c r="U48" s="3258"/>
      <c r="V48" s="3258"/>
      <c r="W48" s="325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7" t="s">
        <v>2757</v>
      </c>
      <c r="D55" s="2708" t="s">
        <v>2758</v>
      </c>
      <c r="E55" s="686" t="s">
        <v>2759</v>
      </c>
      <c r="F55" s="1107" t="s">
        <v>2760</v>
      </c>
      <c r="G55" s="3213" t="s">
        <v>2761</v>
      </c>
      <c r="H55" s="3259"/>
      <c r="I55" s="144" t="s">
        <v>2762</v>
      </c>
      <c r="J55" s="2709">
        <f>项目基本情况!F35</f>
        <v>0</v>
      </c>
      <c r="K55" s="2710" t="s">
        <v>2763</v>
      </c>
      <c r="L55" s="1106"/>
      <c r="M55" s="1144"/>
      <c r="N55" s="1144"/>
      <c r="O55" s="1144"/>
    </row>
    <row r="56" spans="1:15" s="692" customFormat="1">
      <c r="A56" s="688" t="s">
        <v>2764</v>
      </c>
      <c r="B56" s="689" t="e">
        <f>C48</f>
        <v>#DIV/0!</v>
      </c>
      <c r="C56" s="690">
        <v>1</v>
      </c>
      <c r="D56" s="1163">
        <v>1</v>
      </c>
      <c r="E56" s="690">
        <f>'数据-汇总表'!E8+'数据-汇总表'!E9</f>
        <v>13788.550000000001</v>
      </c>
      <c r="F56" s="1103" t="e">
        <f t="shared" ref="F56:F65" si="15">ROUND(B56*E56/10000,0)</f>
        <v>#DIV/0!</v>
      </c>
      <c r="G56" s="3209"/>
      <c r="H56" s="3198"/>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60"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60"/>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60"/>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60"/>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1"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1"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2"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13788.550000000001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3"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2780</v>
      </c>
      <c r="B71" s="332" t="str">
        <f>"北京市平均增长率"&amp;TEXT(SUMIF(基准地价修正!N21:N25,A71,基准地价修正!P21:P25),"0.00%")</f>
        <v>北京市平均增长率2.02%</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3" t="s">
        <v>2643</v>
      </c>
      <c r="D4" s="3214"/>
      <c r="E4" s="3215" t="s">
        <v>2644</v>
      </c>
      <c r="F4" s="3216"/>
      <c r="G4" s="3213" t="s">
        <v>2645</v>
      </c>
      <c r="H4" s="3214"/>
      <c r="I4" s="3213" t="s">
        <v>2646</v>
      </c>
      <c r="J4" s="3214"/>
      <c r="K4" s="610" t="s">
        <v>2647</v>
      </c>
      <c r="L4" s="1130"/>
      <c r="M4" s="1131"/>
      <c r="N4" s="1131"/>
      <c r="O4" s="1131"/>
      <c r="P4" s="3217" t="s">
        <v>2648</v>
      </c>
      <c r="Q4" s="3218"/>
      <c r="R4" s="3223" t="s">
        <v>2644</v>
      </c>
      <c r="S4" s="3224"/>
      <c r="T4" s="3223" t="s">
        <v>2645</v>
      </c>
      <c r="U4" s="3224"/>
      <c r="V4" s="3229" t="s">
        <v>2646</v>
      </c>
      <c r="W4" s="3229"/>
      <c r="X4" s="1813"/>
      <c r="Y4" s="3223" t="s">
        <v>2648</v>
      </c>
      <c r="Z4" s="3224"/>
      <c r="AA4" s="3210" t="s">
        <v>2644</v>
      </c>
      <c r="AB4" s="3211" t="s">
        <v>2645</v>
      </c>
      <c r="AC4" s="3210" t="s">
        <v>2646</v>
      </c>
    </row>
    <row r="5" spans="1:29" ht="15">
      <c r="A5" s="404"/>
      <c r="B5" s="405"/>
      <c r="C5" s="3232" t="s">
        <v>2539</v>
      </c>
      <c r="D5" s="3233"/>
      <c r="E5" s="3239" t="s">
        <v>2540</v>
      </c>
      <c r="F5" s="3240"/>
      <c r="G5" s="3232" t="s">
        <v>2541</v>
      </c>
      <c r="H5" s="3233"/>
      <c r="I5" s="3232" t="s">
        <v>2542</v>
      </c>
      <c r="J5" s="3233"/>
      <c r="K5" s="610"/>
      <c r="L5" s="1130"/>
      <c r="M5" s="1131"/>
      <c r="N5" s="1131"/>
      <c r="O5" s="1131"/>
      <c r="P5" s="3219"/>
      <c r="Q5" s="3220"/>
      <c r="R5" s="3225"/>
      <c r="S5" s="3226"/>
      <c r="T5" s="3225"/>
      <c r="U5" s="3226"/>
      <c r="V5" s="3229"/>
      <c r="W5" s="3229"/>
      <c r="X5" s="1813"/>
      <c r="Y5" s="3225"/>
      <c r="Z5" s="3226"/>
      <c r="AA5" s="3211"/>
      <c r="AB5" s="3211"/>
      <c r="AC5" s="3211"/>
    </row>
    <row r="6" spans="1:29" ht="15.75" thickBot="1">
      <c r="A6" s="406"/>
      <c r="B6" s="407"/>
      <c r="C6" s="3261" t="s">
        <v>2794</v>
      </c>
      <c r="D6" s="3262"/>
      <c r="E6" s="3263" t="s">
        <v>2794</v>
      </c>
      <c r="F6" s="3264"/>
      <c r="G6" s="3261" t="s">
        <v>2794</v>
      </c>
      <c r="H6" s="3262"/>
      <c r="I6" s="3261" t="s">
        <v>2794</v>
      </c>
      <c r="J6" s="3262"/>
      <c r="K6" s="610" t="s">
        <v>2544</v>
      </c>
      <c r="L6" s="1130"/>
      <c r="M6" s="1131"/>
      <c r="N6" s="1131"/>
      <c r="O6" s="1131"/>
      <c r="P6" s="3221"/>
      <c r="Q6" s="3222"/>
      <c r="R6" s="3225"/>
      <c r="S6" s="3226"/>
      <c r="T6" s="3227"/>
      <c r="U6" s="3228"/>
      <c r="V6" s="3229"/>
      <c r="W6" s="3229"/>
      <c r="X6" s="1813"/>
      <c r="Y6" s="3227"/>
      <c r="Z6" s="3228"/>
      <c r="AA6" s="3212"/>
      <c r="AB6" s="3212"/>
      <c r="AC6" s="3212"/>
    </row>
    <row r="7" spans="1:29" s="117" customFormat="1" ht="15.75" thickBot="1">
      <c r="A7" s="408" t="s">
        <v>2545</v>
      </c>
      <c r="B7" s="409"/>
      <c r="C7" s="410">
        <f>'数据-取费表'!B2</f>
        <v>43929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4" t="s">
        <v>2546</v>
      </c>
      <c r="Q7" s="3236"/>
      <c r="R7" s="770" t="s">
        <v>17</v>
      </c>
      <c r="S7" s="771">
        <f t="shared" ref="S7:S15" si="0">F7</f>
        <v>0</v>
      </c>
      <c r="T7" s="770" t="s">
        <v>17</v>
      </c>
      <c r="U7" s="771">
        <f t="shared" ref="U7:U15" si="1">H7</f>
        <v>0</v>
      </c>
      <c r="V7" s="770" t="s">
        <v>17</v>
      </c>
      <c r="W7" s="771">
        <f t="shared" ref="W7:W15" si="2">J7</f>
        <v>0</v>
      </c>
      <c r="X7" s="772"/>
      <c r="Y7" s="3234" t="s">
        <v>2546</v>
      </c>
      <c r="Z7" s="3235"/>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4" t="s">
        <v>2549</v>
      </c>
      <c r="Q8" s="3235"/>
      <c r="R8" s="770" t="s">
        <v>17</v>
      </c>
      <c r="S8" s="771">
        <f t="shared" si="0"/>
        <v>0</v>
      </c>
      <c r="T8" s="770" t="s">
        <v>17</v>
      </c>
      <c r="U8" s="771">
        <f t="shared" si="1"/>
        <v>0</v>
      </c>
      <c r="V8" s="770" t="s">
        <v>17</v>
      </c>
      <c r="W8" s="771">
        <f t="shared" si="2"/>
        <v>0</v>
      </c>
      <c r="X8" s="772"/>
      <c r="Y8" s="3234" t="s">
        <v>2549</v>
      </c>
      <c r="Z8" s="3235"/>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105</v>
      </c>
      <c r="G10" s="432"/>
      <c r="H10" s="136">
        <f ca="1">ROUND(100/'数据-取费表'!G16,0)</f>
        <v>105</v>
      </c>
      <c r="I10" s="432"/>
      <c r="J10" s="136">
        <f ca="1">ROUND(100/'数据-取费表'!G16,0)</f>
        <v>105</v>
      </c>
      <c r="K10" s="672"/>
      <c r="L10" s="1135"/>
      <c r="M10" s="1136"/>
      <c r="N10" s="1136"/>
      <c r="O10" s="1137"/>
      <c r="P10" s="3198"/>
      <c r="Q10" s="1795" t="str">
        <f t="shared" si="6"/>
        <v>土地使用年限（年）</v>
      </c>
      <c r="R10" s="770" t="s">
        <v>17</v>
      </c>
      <c r="S10" s="771">
        <f t="shared" ca="1" si="0"/>
        <v>105</v>
      </c>
      <c r="T10" s="770" t="s">
        <v>17</v>
      </c>
      <c r="U10" s="771">
        <f t="shared" ca="1" si="1"/>
        <v>105</v>
      </c>
      <c r="V10" s="770" t="s">
        <v>17</v>
      </c>
      <c r="W10" s="771">
        <f t="shared" ca="1" si="2"/>
        <v>105</v>
      </c>
      <c r="X10" s="772"/>
      <c r="Y10" s="3023"/>
      <c r="Z10" s="55" t="str">
        <f t="shared" si="7"/>
        <v>土地使用年限（年）</v>
      </c>
      <c r="AA10" s="773">
        <f t="shared" ca="1" si="3"/>
        <v>0.95238095238095233</v>
      </c>
      <c r="AB10" s="773">
        <f t="shared" ca="1" si="4"/>
        <v>0.95238095238095233</v>
      </c>
      <c r="AC10" s="773">
        <f t="shared" ca="1" si="5"/>
        <v>0.95238095238095233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0" t="s">
        <v>2557</v>
      </c>
      <c r="Q15" s="1810" t="str">
        <f t="shared" si="6"/>
        <v>产业集聚程度</v>
      </c>
      <c r="R15" s="774" t="s">
        <v>17</v>
      </c>
      <c r="S15" s="775">
        <f t="shared" si="0"/>
        <v>100</v>
      </c>
      <c r="T15" s="774" t="s">
        <v>17</v>
      </c>
      <c r="U15" s="775">
        <f t="shared" si="1"/>
        <v>100</v>
      </c>
      <c r="V15" s="774" t="s">
        <v>17</v>
      </c>
      <c r="W15" s="775">
        <f t="shared" si="2"/>
        <v>100</v>
      </c>
      <c r="X15" s="1813"/>
      <c r="Y15" s="3200" t="s">
        <v>2557</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1"/>
      <c r="Q16" s="1810"/>
      <c r="R16" s="774"/>
      <c r="S16" s="775"/>
      <c r="T16" s="774"/>
      <c r="U16" s="775"/>
      <c r="V16" s="774"/>
      <c r="W16" s="775"/>
      <c r="X16" s="1813"/>
      <c r="Y16" s="3201"/>
      <c r="Z16" s="1814"/>
      <c r="AA16" s="1811">
        <v>1</v>
      </c>
      <c r="AB16" s="1811">
        <v>1</v>
      </c>
      <c r="AC16" s="1811">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1"/>
      <c r="Q17" s="1810" t="str">
        <f>B17</f>
        <v>交通便捷度</v>
      </c>
      <c r="R17" s="774" t="s">
        <v>17</v>
      </c>
      <c r="S17" s="775">
        <f>F17</f>
        <v>100</v>
      </c>
      <c r="T17" s="774" t="s">
        <v>17</v>
      </c>
      <c r="U17" s="775">
        <f>H17</f>
        <v>100</v>
      </c>
      <c r="V17" s="774" t="s">
        <v>17</v>
      </c>
      <c r="W17" s="775">
        <f>J17</f>
        <v>100</v>
      </c>
      <c r="X17" s="1813"/>
      <c r="Y17" s="3201"/>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1"/>
      <c r="Q18" s="1810"/>
      <c r="R18" s="774"/>
      <c r="S18" s="775"/>
      <c r="T18" s="774"/>
      <c r="U18" s="775"/>
      <c r="V18" s="774"/>
      <c r="W18" s="775"/>
      <c r="X18" s="1813"/>
      <c r="Y18" s="3201"/>
      <c r="Z18" s="1814"/>
      <c r="AA18" s="1811">
        <v>1</v>
      </c>
      <c r="AB18" s="1811">
        <v>1</v>
      </c>
      <c r="AC18" s="1811">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1"/>
      <c r="Q19" s="1810" t="str">
        <f t="shared" ref="Q19:Q33" si="8">B19</f>
        <v>区域土地利用方向</v>
      </c>
      <c r="R19" s="774" t="s">
        <v>17</v>
      </c>
      <c r="S19" s="775">
        <f>F19</f>
        <v>100</v>
      </c>
      <c r="T19" s="774" t="s">
        <v>17</v>
      </c>
      <c r="U19" s="775">
        <f>H19</f>
        <v>100</v>
      </c>
      <c r="V19" s="774" t="s">
        <v>17</v>
      </c>
      <c r="W19" s="775">
        <f>J19</f>
        <v>100</v>
      </c>
      <c r="X19" s="1813"/>
      <c r="Y19" s="3201"/>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1"/>
      <c r="Q20" s="1810"/>
      <c r="R20" s="774"/>
      <c r="S20" s="775"/>
      <c r="T20" s="774"/>
      <c r="U20" s="775"/>
      <c r="V20" s="774"/>
      <c r="W20" s="775"/>
      <c r="X20" s="1813"/>
      <c r="Y20" s="3201"/>
      <c r="Z20" s="1814"/>
      <c r="AA20" s="1811"/>
      <c r="AB20" s="1811"/>
      <c r="AC20" s="1811"/>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1"/>
      <c r="Q21" s="1810" t="str">
        <f t="shared" si="8"/>
        <v>环境状况</v>
      </c>
      <c r="R21" s="774" t="s">
        <v>17</v>
      </c>
      <c r="S21" s="775">
        <f>F21</f>
        <v>100</v>
      </c>
      <c r="T21" s="774" t="s">
        <v>17</v>
      </c>
      <c r="U21" s="775">
        <f>H21</f>
        <v>100</v>
      </c>
      <c r="V21" s="774" t="s">
        <v>17</v>
      </c>
      <c r="W21" s="775">
        <f>J21</f>
        <v>100</v>
      </c>
      <c r="X21" s="1813"/>
      <c r="Y21" s="3201"/>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1"/>
      <c r="Q22" s="1810"/>
      <c r="R22" s="774"/>
      <c r="S22" s="775"/>
      <c r="T22" s="774"/>
      <c r="U22" s="775"/>
      <c r="V22" s="774"/>
      <c r="W22" s="775"/>
      <c r="X22" s="1813"/>
      <c r="Y22" s="3201"/>
      <c r="Z22" s="1814"/>
      <c r="AA22" s="1811">
        <v>1</v>
      </c>
      <c r="AB22" s="1811">
        <v>1</v>
      </c>
      <c r="AC22" s="1811">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1"/>
      <c r="Q23" s="1795" t="str">
        <f t="shared" si="8"/>
        <v>公共配套设施</v>
      </c>
      <c r="R23" s="770" t="s">
        <v>17</v>
      </c>
      <c r="S23" s="771">
        <f>F23</f>
        <v>100</v>
      </c>
      <c r="T23" s="770" t="s">
        <v>17</v>
      </c>
      <c r="U23" s="771">
        <f>H23</f>
        <v>100</v>
      </c>
      <c r="V23" s="770" t="s">
        <v>17</v>
      </c>
      <c r="W23" s="771">
        <f>J23</f>
        <v>100</v>
      </c>
      <c r="X23" s="772"/>
      <c r="Y23" s="3201"/>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1"/>
      <c r="Q24" s="1795"/>
      <c r="R24" s="770"/>
      <c r="S24" s="771"/>
      <c r="T24" s="770"/>
      <c r="U24" s="771"/>
      <c r="V24" s="770"/>
      <c r="W24" s="771"/>
      <c r="X24" s="772"/>
      <c r="Y24" s="3201"/>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1"/>
      <c r="Q25" s="1795" t="str">
        <f t="shared" ref="Q25" si="9">B25</f>
        <v>基础设施水平</v>
      </c>
      <c r="R25" s="770" t="s">
        <v>17</v>
      </c>
      <c r="S25" s="771">
        <f>F25</f>
        <v>100</v>
      </c>
      <c r="T25" s="770" t="s">
        <v>17</v>
      </c>
      <c r="U25" s="771">
        <f>H25</f>
        <v>100</v>
      </c>
      <c r="V25" s="770" t="s">
        <v>17</v>
      </c>
      <c r="W25" s="771">
        <f>J25</f>
        <v>100</v>
      </c>
      <c r="X25" s="772"/>
      <c r="Y25" s="3201"/>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1"/>
      <c r="Q26" s="1795"/>
      <c r="R26" s="770"/>
      <c r="S26" s="771"/>
      <c r="T26" s="770"/>
      <c r="U26" s="771"/>
      <c r="V26" s="770"/>
      <c r="W26" s="771"/>
      <c r="X26" s="772"/>
      <c r="Y26" s="3201"/>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1"/>
      <c r="Z27" s="1814" t="str">
        <f t="shared" ref="Z27:Z40" si="13">Q27</f>
        <v>临街状况</v>
      </c>
      <c r="AA27" s="1811">
        <f t="shared" si="3"/>
        <v>1</v>
      </c>
      <c r="AB27" s="1811">
        <f t="shared" si="4"/>
        <v>1</v>
      </c>
      <c r="AC27" s="1811">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1"/>
      <c r="Q28" s="1810" t="str">
        <f t="shared" si="8"/>
        <v>毗邻道路的类型与等级</v>
      </c>
      <c r="R28" s="774" t="s">
        <v>17</v>
      </c>
      <c r="S28" s="775">
        <f t="shared" si="10"/>
        <v>100</v>
      </c>
      <c r="T28" s="774" t="s">
        <v>17</v>
      </c>
      <c r="U28" s="775">
        <f t="shared" si="11"/>
        <v>100</v>
      </c>
      <c r="V28" s="774" t="s">
        <v>17</v>
      </c>
      <c r="W28" s="775">
        <f t="shared" si="12"/>
        <v>100</v>
      </c>
      <c r="X28" s="1813"/>
      <c r="Y28" s="3201"/>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1"/>
      <c r="Q29" s="1810"/>
      <c r="R29" s="774"/>
      <c r="S29" s="775"/>
      <c r="T29" s="774"/>
      <c r="U29" s="775"/>
      <c r="V29" s="774"/>
      <c r="W29" s="775"/>
      <c r="X29" s="1813"/>
      <c r="Y29" s="3201"/>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1"/>
      <c r="Q30" s="1810" t="str">
        <f t="shared" si="8"/>
        <v>土地级别</v>
      </c>
      <c r="R30" s="774" t="s">
        <v>17</v>
      </c>
      <c r="S30" s="775">
        <f t="shared" si="10"/>
        <v>100</v>
      </c>
      <c r="T30" s="774" t="s">
        <v>17</v>
      </c>
      <c r="U30" s="775">
        <f t="shared" si="11"/>
        <v>100</v>
      </c>
      <c r="V30" s="774" t="s">
        <v>17</v>
      </c>
      <c r="W30" s="775">
        <f t="shared" si="12"/>
        <v>100</v>
      </c>
      <c r="X30" s="1813"/>
      <c r="Y30" s="3201"/>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1"/>
      <c r="Q31" s="1810">
        <f t="shared" si="8"/>
        <v>111</v>
      </c>
      <c r="R31" s="774" t="s">
        <v>17</v>
      </c>
      <c r="S31" s="775">
        <f t="shared" si="10"/>
        <v>100</v>
      </c>
      <c r="T31" s="774" t="s">
        <v>17</v>
      </c>
      <c r="U31" s="775">
        <f t="shared" si="11"/>
        <v>100</v>
      </c>
      <c r="V31" s="774" t="s">
        <v>17</v>
      </c>
      <c r="W31" s="775">
        <f t="shared" si="12"/>
        <v>100</v>
      </c>
      <c r="X31" s="1813"/>
      <c r="Y31" s="3201"/>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6" t="s">
        <v>2562</v>
      </c>
      <c r="Q32" s="1810">
        <f t="shared" si="8"/>
        <v>111</v>
      </c>
      <c r="R32" s="774" t="s">
        <v>17</v>
      </c>
      <c r="S32" s="775">
        <f t="shared" si="10"/>
        <v>100</v>
      </c>
      <c r="T32" s="774" t="s">
        <v>17</v>
      </c>
      <c r="U32" s="775">
        <f t="shared" si="11"/>
        <v>100</v>
      </c>
      <c r="V32" s="774" t="s">
        <v>17</v>
      </c>
      <c r="W32" s="775">
        <f t="shared" si="12"/>
        <v>100</v>
      </c>
      <c r="X32" s="1813"/>
      <c r="Y32" s="3205" t="s">
        <v>2562</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5"/>
      <c r="Q33" s="1810">
        <f t="shared" si="8"/>
        <v>111</v>
      </c>
      <c r="R33" s="777" t="s">
        <v>17</v>
      </c>
      <c r="S33" s="778">
        <f t="shared" si="10"/>
        <v>100</v>
      </c>
      <c r="T33" s="777" t="s">
        <v>17</v>
      </c>
      <c r="U33" s="778">
        <f t="shared" si="11"/>
        <v>100</v>
      </c>
      <c r="V33" s="777" t="s">
        <v>17</v>
      </c>
      <c r="W33" s="778">
        <f t="shared" si="12"/>
        <v>100</v>
      </c>
      <c r="X33" s="779"/>
      <c r="Y33" s="3205"/>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5"/>
      <c r="Q34" s="1810" t="str">
        <f>B34</f>
        <v>宗地面积</v>
      </c>
      <c r="R34" s="774" t="s">
        <v>17</v>
      </c>
      <c r="S34" s="775" t="e">
        <f t="shared" si="10"/>
        <v>#N/A</v>
      </c>
      <c r="T34" s="774" t="s">
        <v>17</v>
      </c>
      <c r="U34" s="775" t="e">
        <f t="shared" si="11"/>
        <v>#N/A</v>
      </c>
      <c r="V34" s="774" t="s">
        <v>17</v>
      </c>
      <c r="W34" s="775" t="e">
        <f t="shared" si="12"/>
        <v>#N/A</v>
      </c>
      <c r="X34" s="1813"/>
      <c r="Y34" s="3205"/>
      <c r="Z34" s="1814" t="str">
        <f t="shared" si="13"/>
        <v>宗地面积</v>
      </c>
      <c r="AA34" s="1811" t="e">
        <f t="shared" si="3"/>
        <v>#N/A</v>
      </c>
      <c r="AB34" s="1811" t="e">
        <f t="shared" si="4"/>
        <v>#N/A</v>
      </c>
      <c r="AC34" s="1811"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5"/>
      <c r="Q35" s="1810" t="str">
        <f t="shared" ref="Q35:Q40" si="14">B35</f>
        <v>宗地形状</v>
      </c>
      <c r="R35" s="774" t="s">
        <v>17</v>
      </c>
      <c r="S35" s="775">
        <f t="shared" si="10"/>
        <v>100</v>
      </c>
      <c r="T35" s="774" t="s">
        <v>17</v>
      </c>
      <c r="U35" s="775">
        <f t="shared" si="11"/>
        <v>100</v>
      </c>
      <c r="V35" s="774" t="s">
        <v>17</v>
      </c>
      <c r="W35" s="775">
        <f t="shared" si="12"/>
        <v>100</v>
      </c>
      <c r="X35" s="1813"/>
      <c r="Y35" s="3205"/>
      <c r="Z35" s="1814" t="str">
        <f t="shared" si="13"/>
        <v>宗地形状</v>
      </c>
      <c r="AA35" s="1811">
        <f t="shared" si="3"/>
        <v>1</v>
      </c>
      <c r="AB35" s="1811">
        <f t="shared" si="4"/>
        <v>1</v>
      </c>
      <c r="AC35" s="1811">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5"/>
      <c r="Q36" s="1810" t="str">
        <f t="shared" si="14"/>
        <v>宗地开发程度</v>
      </c>
      <c r="R36" s="770" t="s">
        <v>17</v>
      </c>
      <c r="S36" s="771">
        <f t="shared" si="10"/>
        <v>100</v>
      </c>
      <c r="T36" s="770" t="s">
        <v>17</v>
      </c>
      <c r="U36" s="771">
        <f t="shared" si="11"/>
        <v>100</v>
      </c>
      <c r="V36" s="770" t="s">
        <v>17</v>
      </c>
      <c r="W36" s="771">
        <f t="shared" si="12"/>
        <v>100</v>
      </c>
      <c r="X36" s="772"/>
      <c r="Y36" s="3205"/>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5" t="s">
        <v>2562</v>
      </c>
      <c r="Q37" s="1810" t="str">
        <f t="shared" si="14"/>
        <v>工程地质条件</v>
      </c>
      <c r="R37" s="774" t="s">
        <v>17</v>
      </c>
      <c r="S37" s="775">
        <f t="shared" si="10"/>
        <v>100</v>
      </c>
      <c r="T37" s="774" t="s">
        <v>17</v>
      </c>
      <c r="U37" s="775">
        <f t="shared" si="11"/>
        <v>100</v>
      </c>
      <c r="V37" s="774" t="s">
        <v>17</v>
      </c>
      <c r="W37" s="775">
        <f t="shared" si="12"/>
        <v>100</v>
      </c>
      <c r="X37" s="1813"/>
      <c r="Y37" s="3205"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5"/>
      <c r="Q38" s="1810">
        <f t="shared" si="14"/>
        <v>111</v>
      </c>
      <c r="R38" s="774" t="s">
        <v>17</v>
      </c>
      <c r="S38" s="775">
        <f t="shared" si="10"/>
        <v>100</v>
      </c>
      <c r="T38" s="774" t="s">
        <v>17</v>
      </c>
      <c r="U38" s="775">
        <f t="shared" si="11"/>
        <v>100</v>
      </c>
      <c r="V38" s="774" t="s">
        <v>17</v>
      </c>
      <c r="W38" s="775">
        <f t="shared" si="12"/>
        <v>100</v>
      </c>
      <c r="X38" s="1813"/>
      <c r="Y38" s="320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5"/>
      <c r="Q39" s="1810">
        <f t="shared" si="14"/>
        <v>111</v>
      </c>
      <c r="R39" s="774" t="s">
        <v>17</v>
      </c>
      <c r="S39" s="775">
        <f t="shared" si="10"/>
        <v>100</v>
      </c>
      <c r="T39" s="774" t="s">
        <v>17</v>
      </c>
      <c r="U39" s="775">
        <f t="shared" si="11"/>
        <v>100</v>
      </c>
      <c r="V39" s="774" t="s">
        <v>17</v>
      </c>
      <c r="W39" s="775">
        <f t="shared" si="12"/>
        <v>100</v>
      </c>
      <c r="X39" s="1813"/>
      <c r="Y39" s="3205"/>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5"/>
      <c r="Q40" s="1810">
        <f t="shared" si="14"/>
        <v>111</v>
      </c>
      <c r="R40" s="777" t="s">
        <v>17</v>
      </c>
      <c r="S40" s="778">
        <f t="shared" si="10"/>
        <v>100</v>
      </c>
      <c r="T40" s="777" t="s">
        <v>17</v>
      </c>
      <c r="U40" s="778">
        <f t="shared" si="11"/>
        <v>100</v>
      </c>
      <c r="V40" s="777" t="s">
        <v>17</v>
      </c>
      <c r="W40" s="778">
        <f t="shared" si="12"/>
        <v>100</v>
      </c>
      <c r="X40" s="779"/>
      <c r="Y40" s="3205"/>
      <c r="Z40" s="780">
        <f t="shared" si="13"/>
        <v>111</v>
      </c>
      <c r="AA40" s="1811">
        <f t="shared" si="3"/>
        <v>1</v>
      </c>
      <c r="AB40" s="1811">
        <f t="shared" si="4"/>
        <v>1</v>
      </c>
      <c r="AC40" s="1811">
        <f t="shared" si="5"/>
        <v>1</v>
      </c>
    </row>
    <row r="41" spans="1:29" ht="15">
      <c r="A41" s="479" t="s">
        <v>2717</v>
      </c>
      <c r="B41" s="2706" t="s">
        <v>2797</v>
      </c>
      <c r="C41" s="682" t="s">
        <v>1</v>
      </c>
      <c r="D41" s="481"/>
      <c r="E41" s="482"/>
      <c r="F41" s="483"/>
      <c r="G41" s="484"/>
      <c r="H41" s="485"/>
      <c r="I41" s="482"/>
      <c r="J41" s="485"/>
      <c r="K41" s="783"/>
      <c r="L41" s="1143"/>
      <c r="M41" s="1131"/>
      <c r="N41" s="1131"/>
      <c r="O41" s="1144"/>
      <c r="P41" s="3198" t="str">
        <f>A41</f>
        <v>成交单价</v>
      </c>
      <c r="Q41" s="3198"/>
      <c r="R41" s="3229">
        <f>E41</f>
        <v>0</v>
      </c>
      <c r="S41" s="3229"/>
      <c r="T41" s="3229">
        <f>G41</f>
        <v>0</v>
      </c>
      <c r="U41" s="3229"/>
      <c r="V41" s="3229">
        <f>I41</f>
        <v>0</v>
      </c>
      <c r="W41" s="322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57" t="e">
        <f>ROUND(PRODUCT(R41,AA7:AA40),0)</f>
        <v>#DIV/0!</v>
      </c>
      <c r="S42" s="3257"/>
      <c r="T42" s="3257" t="e">
        <f>ROUND(PRODUCT(T41,AB7:AB40),0)</f>
        <v>#DIV/0!</v>
      </c>
      <c r="U42" s="3257"/>
      <c r="V42" s="3257" t="e">
        <f>ROUND(PRODUCT(V41,AC7:AC40),0)</f>
        <v>#DIV/0!</v>
      </c>
      <c r="W42" s="3257"/>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95" t="str">
        <f>A43</f>
        <v>估价对象XX用房的比较价值（楼面单价，元/平方米）</v>
      </c>
      <c r="Q43" s="3196"/>
      <c r="R43" s="3258" t="e">
        <f>ROUND(AVERAGE(R42:V42),0)</f>
        <v>#DIV/0!</v>
      </c>
      <c r="S43" s="3258"/>
      <c r="T43" s="3258"/>
      <c r="U43" s="3258"/>
      <c r="V43" s="3258"/>
      <c r="W43" s="325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7" t="s">
        <v>2757</v>
      </c>
      <c r="D50" s="2708" t="s">
        <v>2758</v>
      </c>
      <c r="E50" s="686" t="s">
        <v>2759</v>
      </c>
      <c r="F50" s="687" t="s">
        <v>2760</v>
      </c>
      <c r="G50" s="3213" t="s">
        <v>2761</v>
      </c>
      <c r="H50" s="3259"/>
      <c r="I50" s="1814" t="s">
        <v>2798</v>
      </c>
      <c r="J50" s="1814">
        <f>项目基本情况!F35</f>
        <v>0</v>
      </c>
      <c r="K50" s="2710" t="s">
        <v>2763</v>
      </c>
      <c r="L50" s="1106"/>
      <c r="M50" s="1144"/>
      <c r="N50" s="1144"/>
      <c r="O50" s="1144"/>
    </row>
    <row r="51" spans="1:17" s="692" customFormat="1">
      <c r="A51" s="688" t="s">
        <v>2764</v>
      </c>
      <c r="B51" s="689" t="e">
        <f>C43</f>
        <v>#DIV/0!</v>
      </c>
      <c r="C51" s="690">
        <v>1</v>
      </c>
      <c r="D51" s="1163">
        <v>1</v>
      </c>
      <c r="E51" s="690">
        <f>'数据-汇总表'!E8+'数据-汇总表'!E9</f>
        <v>13788.550000000001</v>
      </c>
      <c r="F51" s="691" t="e">
        <f t="shared" ref="F51:F60" si="15">ROUND(B51*E51/10000,0)</f>
        <v>#DIV/0!</v>
      </c>
      <c r="G51" s="3209"/>
      <c r="H51" s="3198"/>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60"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60"/>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60"/>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60"/>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1"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1"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2"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9192.5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3"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2799</v>
      </c>
      <c r="B66" s="332" t="str">
        <f>"北京市平均增长率"&amp;TEXT(基准地价修正!P24,"0.00%")</f>
        <v>北京市平均增长率1.29%</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D81" sqref="D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2801</v>
      </c>
      <c r="B1" s="241"/>
      <c r="C1" s="245" t="s">
        <v>2802</v>
      </c>
      <c r="D1" s="388">
        <f>SUM(D29:D30,D33:D39)</f>
        <v>16188.670000000002</v>
      </c>
      <c r="E1" s="2719"/>
      <c r="F1" s="2719"/>
      <c r="G1" s="2719"/>
      <c r="H1" s="2719"/>
      <c r="I1" s="2719"/>
      <c r="J1" s="2719"/>
      <c r="K1" s="1370"/>
      <c r="L1" s="2720" t="s">
        <v>2803</v>
      </c>
      <c r="M1" s="1080">
        <f>SUMPRODUCT((区片价!B5:B9=I2)*(区片价!C3:F3=E2)*(区片价!C5:F9))</f>
        <v>0</v>
      </c>
      <c r="N1" s="1083">
        <f>SUMPRODUCT((因素修正幅度!B5:B9=I2)*(因素修正幅度!C3:F3=E2)*(因素修正幅度!C5:F9))</f>
        <v>0</v>
      </c>
      <c r="O1" s="2721"/>
      <c r="P1" s="2721"/>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2565</v>
      </c>
      <c r="C2" s="2723" t="s">
        <v>2810</v>
      </c>
      <c r="D2" s="2724" t="s">
        <v>2811</v>
      </c>
      <c r="E2" s="2725" t="s">
        <v>6</v>
      </c>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Ⅶ-昌平园北Ⅰ</v>
      </c>
      <c r="J2" s="2727"/>
      <c r="K2" s="1370"/>
      <c r="L2" s="2728"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3651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1584</v>
      </c>
      <c r="C3" s="2723" t="s">
        <v>2816</v>
      </c>
      <c r="D3" s="2724" t="s">
        <v>2817</v>
      </c>
      <c r="E3" s="2729" t="s">
        <v>3072</v>
      </c>
      <c r="F3" s="2730" t="s">
        <v>2818</v>
      </c>
      <c r="G3" s="916">
        <f>IF(F3="宗地容积率",'数据-汇总表'!I4,IF(F3="估价对象容积率",'数据-汇总表'!I6,'数据-汇总表'!I7))</f>
        <v>1.5</v>
      </c>
      <c r="H3" s="198" t="s">
        <v>2819</v>
      </c>
      <c r="I3" s="944"/>
      <c r="J3" s="2727" t="s">
        <v>2820</v>
      </c>
      <c r="K3" s="1370"/>
      <c r="L3" s="2728"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2621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8"/>
      <c r="B4" s="3269"/>
      <c r="C4" s="3269"/>
      <c r="D4" s="3270"/>
      <c r="E4" s="3270"/>
      <c r="F4" s="3270"/>
      <c r="G4" s="3270"/>
      <c r="H4" s="3270"/>
      <c r="I4" s="3270"/>
      <c r="J4" s="3271"/>
      <c r="K4" s="1370"/>
      <c r="L4" s="2728"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2114</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2823</v>
      </c>
      <c r="C5" s="917">
        <f>ROUND(IF(E2="商业",C6*C7+C16,(IF(E2="住宅",C6*C12+C16,C6+C16))),0)</f>
        <v>1465</v>
      </c>
      <c r="D5" s="1787">
        <f>ROUND(C6+C16,0)</f>
        <v>1465</v>
      </c>
      <c r="E5" s="1787"/>
      <c r="F5" s="2733"/>
      <c r="G5" s="2734"/>
      <c r="H5" s="2734"/>
      <c r="I5" s="2734"/>
      <c r="J5" s="2735"/>
      <c r="K5" s="2736"/>
      <c r="L5" s="2728"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1696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2825</v>
      </c>
      <c r="B6" s="2742" t="s">
        <v>2826</v>
      </c>
      <c r="C6" s="918">
        <f>SUMIF(L1:L12,G2,M1:M12)</f>
        <v>1540</v>
      </c>
      <c r="D6" s="2743" t="s">
        <v>2827</v>
      </c>
      <c r="E6" s="2744"/>
      <c r="F6" s="2744"/>
      <c r="G6" s="2745"/>
      <c r="H6" s="2745"/>
      <c r="I6" s="2745"/>
      <c r="J6" s="2746"/>
      <c r="K6" s="1842"/>
      <c r="L6" s="2728"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1445</v>
      </c>
      <c r="U6" s="1603"/>
      <c r="V6" s="1602">
        <f t="shared" ca="1" si="1"/>
        <v>0</v>
      </c>
      <c r="W6" s="1606"/>
      <c r="X6" s="1606"/>
      <c r="Y6" s="1606"/>
      <c r="Z6" s="1606"/>
      <c r="AA6" s="1606"/>
      <c r="AB6" s="1606"/>
      <c r="AC6" s="2737"/>
      <c r="AD6" s="2738"/>
      <c r="AE6" s="2738"/>
      <c r="AF6" s="2738"/>
      <c r="AG6" s="2738"/>
      <c r="AH6" s="2738"/>
      <c r="AI6" s="2738"/>
      <c r="AJ6" s="2739"/>
    </row>
    <row r="7" spans="1:36" ht="24">
      <c r="A7" s="3272" t="str">
        <f>IF(E2="商业",IF(C8="不临58条商业街","",2),"")</f>
        <v/>
      </c>
      <c r="B7" s="2747" t="s">
        <v>2829</v>
      </c>
      <c r="C7" s="919" t="e">
        <f>IF(C8="不临58条商业街",1,ROUND(1+(1.6*E8+1.2*E9+0.8*E10+0.4*E11)*C9,4))</f>
        <v>#DIV/0!</v>
      </c>
      <c r="D7" s="2748" t="s">
        <v>2830</v>
      </c>
      <c r="E7" s="945"/>
      <c r="F7" s="2749"/>
      <c r="G7" s="2750"/>
      <c r="H7" s="2750"/>
      <c r="I7" s="2750"/>
      <c r="J7" s="2751"/>
      <c r="K7" s="1842"/>
      <c r="L7" s="2728" t="s">
        <v>2831</v>
      </c>
      <c r="M7" s="1081">
        <f>SUMPRODUCT((区片价!B158:B205=I2)*(区片价!C3:F3=E2)*(区片价!C158:F205))</f>
        <v>1540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1270</v>
      </c>
      <c r="U7" s="1603"/>
      <c r="V7" s="1602">
        <f t="shared" ca="1" si="1"/>
        <v>0</v>
      </c>
      <c r="W7" s="1816" t="s">
        <v>2832</v>
      </c>
      <c r="X7" s="1604" t="str">
        <f>G2</f>
        <v>七级</v>
      </c>
      <c r="Y7" s="1604" t="s">
        <v>2833</v>
      </c>
      <c r="Z7" s="1605">
        <f>G3</f>
        <v>1.5</v>
      </c>
      <c r="AA7" s="1606"/>
      <c r="AB7" s="1606"/>
      <c r="AC7" s="1607"/>
      <c r="AD7" s="1608"/>
      <c r="AE7" s="1608"/>
      <c r="AF7" s="1608"/>
      <c r="AG7" s="1608"/>
      <c r="AH7" s="1608"/>
      <c r="AI7" s="1608"/>
      <c r="AJ7" s="1609"/>
    </row>
    <row r="8" spans="1:36" ht="15">
      <c r="A8" s="3273"/>
      <c r="B8" s="198" t="s">
        <v>2834</v>
      </c>
      <c r="C8" s="2752"/>
      <c r="D8" s="920" t="s">
        <v>139</v>
      </c>
      <c r="E8" s="921" t="e">
        <f>ROUND(C11/E7,4)</f>
        <v>#DIV/0!</v>
      </c>
      <c r="F8" s="2753" t="s">
        <v>2835</v>
      </c>
      <c r="G8" s="2754"/>
      <c r="H8" s="2754"/>
      <c r="I8" s="2754"/>
      <c r="J8" s="2755"/>
      <c r="K8" s="1370"/>
      <c r="L8" s="2728"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5" t="s">
        <v>2837</v>
      </c>
      <c r="X8" s="3266"/>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3"/>
      <c r="B9" s="198" t="s">
        <v>2850</v>
      </c>
      <c r="C9" s="922">
        <f>SUMIF(修正!C59:C119,C8,修正!E59:E119)</f>
        <v>0</v>
      </c>
      <c r="D9" s="200" t="s">
        <v>140</v>
      </c>
      <c r="E9" s="200" t="e">
        <f>ROUND(C11/E7,4)</f>
        <v>#DIV/0!</v>
      </c>
      <c r="F9" s="2753" t="s">
        <v>2851</v>
      </c>
      <c r="G9" s="2754"/>
      <c r="H9" s="2754"/>
      <c r="I9" s="2754"/>
      <c r="J9" s="2755"/>
      <c r="K9" s="1370"/>
      <c r="L9" s="2728"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7"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3"/>
      <c r="B10" s="198" t="s">
        <v>2855</v>
      </c>
      <c r="C10" s="200">
        <f>SUMIF(修正!C59:C119,C8,修正!F59:F119)</f>
        <v>0</v>
      </c>
      <c r="D10" s="200" t="s">
        <v>141</v>
      </c>
      <c r="E10" s="200" t="e">
        <f>ROUND(C11/E7,4)</f>
        <v>#DIV/0!</v>
      </c>
      <c r="F10" s="2753" t="s">
        <v>2856</v>
      </c>
      <c r="G10" s="2754"/>
      <c r="H10" s="2754"/>
      <c r="I10" s="2754"/>
      <c r="J10" s="2755"/>
      <c r="K10" s="1370"/>
      <c r="L10" s="2728"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3"/>
      <c r="B11" s="2756" t="s">
        <v>2858</v>
      </c>
      <c r="C11" s="923">
        <f>C10/4</f>
        <v>0</v>
      </c>
      <c r="D11" s="923" t="s">
        <v>142</v>
      </c>
      <c r="E11" s="923" t="e">
        <f>ROUND(C11/E7,4)</f>
        <v>#DIV/0!</v>
      </c>
      <c r="F11" s="2757" t="s">
        <v>2859</v>
      </c>
      <c r="G11" s="2758"/>
      <c r="H11" s="2758"/>
      <c r="I11" s="2758"/>
      <c r="J11" s="2759"/>
      <c r="K11" s="1370"/>
      <c r="L11" s="2728"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7" t="s">
        <v>2861</v>
      </c>
      <c r="X11" s="1614" t="s">
        <v>2862</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272" t="s">
        <v>2863</v>
      </c>
      <c r="B12" s="2760" t="s">
        <v>2864</v>
      </c>
      <c r="C12" s="919">
        <f>ROUND(C15*D15*E15*F15*G15*H15*I15*J15,4)</f>
        <v>1</v>
      </c>
      <c r="D12" s="2761" t="s">
        <v>2865</v>
      </c>
      <c r="E12" s="2762"/>
      <c r="F12" s="2762"/>
      <c r="G12" s="2763"/>
      <c r="H12" s="2763"/>
      <c r="I12" s="2763"/>
      <c r="J12" s="2764"/>
      <c r="K12" s="1370"/>
      <c r="L12" s="2765"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7"/>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4"/>
      <c r="B13" s="2766" t="s">
        <v>2868</v>
      </c>
      <c r="C13" s="2767" t="s">
        <v>2869</v>
      </c>
      <c r="D13" s="1808" t="s">
        <v>2870</v>
      </c>
      <c r="E13" s="1808" t="s">
        <v>2871</v>
      </c>
      <c r="F13" s="30" t="s">
        <v>2872</v>
      </c>
      <c r="G13" s="2768" t="s">
        <v>2873</v>
      </c>
      <c r="H13" s="2768" t="s">
        <v>2873</v>
      </c>
      <c r="I13" s="2768" t="s">
        <v>2873</v>
      </c>
      <c r="J13" s="2769" t="s">
        <v>2873</v>
      </c>
      <c r="K13" s="1370"/>
      <c r="L13" s="1370"/>
      <c r="M13" s="1370"/>
      <c r="N13" s="1370"/>
      <c r="O13" s="1370"/>
      <c r="P13" s="1370"/>
      <c r="Q13" s="1370"/>
      <c r="R13" s="1602">
        <v>12</v>
      </c>
      <c r="S13" s="1603"/>
      <c r="T13" s="1602">
        <f t="shared" ca="1" si="0"/>
        <v>0</v>
      </c>
      <c r="U13" s="1603"/>
      <c r="V13" s="1602">
        <f t="shared" ca="1" si="1"/>
        <v>0</v>
      </c>
      <c r="W13" s="3267"/>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274"/>
      <c r="B14" s="2770"/>
      <c r="C14" s="2771"/>
      <c r="D14" s="2772"/>
      <c r="E14" s="2772"/>
      <c r="F14" s="2773"/>
      <c r="G14" s="2774" t="s">
        <v>2874</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5"/>
      <c r="B15" s="2778"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2" t="s">
        <v>2880</v>
      </c>
      <c r="B16" s="2747" t="s">
        <v>2881</v>
      </c>
      <c r="C16" s="2934">
        <f>ROUND(IF(F17="与级别开发程度一致",0,(G17-E17)/C17),0)</f>
        <v>-75</v>
      </c>
      <c r="D16" s="3286" t="s">
        <v>2885</v>
      </c>
      <c r="E16" s="3287"/>
      <c r="F16" s="3286" t="s">
        <v>2882</v>
      </c>
      <c r="G16" s="3287"/>
      <c r="H16" s="2781" t="s">
        <v>3062</v>
      </c>
      <c r="I16" s="2781" t="s">
        <v>3063</v>
      </c>
      <c r="J16" s="2938" t="s">
        <v>3064</v>
      </c>
      <c r="K16" s="2781" t="s">
        <v>3065</v>
      </c>
      <c r="L16" s="2781" t="s">
        <v>3066</v>
      </c>
      <c r="M16" s="2781" t="s">
        <v>3067</v>
      </c>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6"/>
      <c r="B17" s="2945" t="s">
        <v>2884</v>
      </c>
      <c r="C17" s="2946">
        <f>SUMPRODUCT((修正!A2:A5=E2)*(修正!B1:M1=G2)*(修正!B2:M5))</f>
        <v>1.2</v>
      </c>
      <c r="D17" s="229" t="str">
        <f>IF(OR(G2="八级",G2="九级",G2="十级",G2="十一级",G2="十二级"),"五通一平","七通一平")</f>
        <v>七通一平</v>
      </c>
      <c r="E17" s="2935">
        <f>SUMPRODUCT((修正!B1:M1=G2)*(修正!B15:M15))</f>
        <v>300</v>
      </c>
      <c r="F17" s="2936" t="s">
        <v>3073</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2888</v>
      </c>
      <c r="C19" s="924">
        <f>ROUND(IF(H19="按公示增长率计算",SUMPRODUCT((地价!A3:A30=YEAR(G19)&amp;"-"&amp;ROUNDUP(MONTH(G19)/3,0))*(地价!X2:AB2=E2)*(地价!X3:AB30)),IF(H19="地价指数",M20/M19,(1+I19)^O19)),4)</f>
        <v>1.3783000000000001</v>
      </c>
      <c r="D19" s="2791" t="s">
        <v>2889</v>
      </c>
      <c r="E19" s="925">
        <v>41640</v>
      </c>
      <c r="F19" s="2791" t="s">
        <v>2890</v>
      </c>
      <c r="G19" s="926">
        <f>'数据-取费表'!B2</f>
        <v>43929</v>
      </c>
      <c r="H19" s="2792" t="s">
        <v>3055</v>
      </c>
      <c r="I19" s="927" t="str">
        <f>IF(H19="季度增幅（自定义）",SUMIF(N21:N24,E2,O21:O24),"")</f>
        <v/>
      </c>
      <c r="J19" s="2789"/>
      <c r="K19" s="1377"/>
      <c r="L19" s="2793" t="s">
        <v>2891</v>
      </c>
      <c r="M19" s="1734">
        <f>ROUND(SUMIF(地价!B2:F2,E2,地价!B30:F30),0)</f>
        <v>230</v>
      </c>
      <c r="N19" s="2794"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2893</v>
      </c>
      <c r="C20" s="929">
        <f ca="1">ROUND(POWER(1+G20,J20-I20)*(POWER(1+G20,I20)-1)/(POWER(1+G20,J20)-1),4)</f>
        <v>0.95399999999999996</v>
      </c>
      <c r="D20" s="2800" t="s">
        <v>2894</v>
      </c>
      <c r="E20" s="1768">
        <f ca="1">存贷款利率!D4/100</f>
        <v>4.3499999999999997E-2</v>
      </c>
      <c r="F20" s="2800" t="s">
        <v>2886</v>
      </c>
      <c r="G20" s="934">
        <f ca="1">SUMIF(M26:P26,E2,M28:P28)</f>
        <v>4.8000000000000001E-2</v>
      </c>
      <c r="H20" s="2800" t="s">
        <v>2895</v>
      </c>
      <c r="I20" s="935">
        <f>SUMIF('数据-取费表'!C6:C15,E2,'数据-取费表'!F6:F15)/COUNTIF('数据-取费表'!C6:C15,E2)</f>
        <v>42.32</v>
      </c>
      <c r="J20" s="936">
        <f>IF(E2="住宅",70,IF(E2="商业",40,50))</f>
        <v>50</v>
      </c>
      <c r="K20" s="1377"/>
      <c r="L20" s="2801" t="s">
        <v>2896</v>
      </c>
      <c r="M20" s="1735">
        <f>ROUND(SUMPRODUCT((地价!A4:A30=YEAR(G19)&amp;"-"&amp;ROUNDUP(MONTH(G19)/3,0))*(地价!B2:F2=E2)*(地价!B4:F30)),0)</f>
        <v>317</v>
      </c>
      <c r="N20" s="2802" t="s">
        <v>2897</v>
      </c>
      <c r="O20" s="2803" t="s">
        <v>2898</v>
      </c>
      <c r="P20" s="2804" t="s">
        <v>2899</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3074</v>
      </c>
      <c r="C21" s="937">
        <f>IF(B21="容积率修正",IF(G3&lt;=10,D22,J22),C23)</f>
        <v>0.90559999999999996</v>
      </c>
      <c r="D21" s="2807"/>
      <c r="E21" s="2807"/>
      <c r="F21" s="2807"/>
      <c r="G21" s="2807"/>
      <c r="H21" s="2807"/>
      <c r="I21" s="2807"/>
      <c r="J21" s="2808"/>
      <c r="K21" s="1377"/>
      <c r="N21" s="2809" t="s">
        <v>2900</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f>IF(E22=G22,F22,IF(G3&lt;=10,ROUND(F22+(H22-F22)*(G3-E22)/(G22-E22),4),"——"))</f>
        <v>0.90559999999999996</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0" t="s">
        <v>155</v>
      </c>
      <c r="J22" s="938" t="str">
        <f>IF(G3&gt;10,D113,"——")</f>
        <v>——</v>
      </c>
      <c r="K22" s="1377"/>
      <c r="N22" s="2809" t="s">
        <v>2904</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1.0174000000000001</v>
      </c>
      <c r="D24" s="2788"/>
      <c r="E24" s="2817"/>
      <c r="F24" s="2817"/>
      <c r="G24" s="2817"/>
      <c r="H24" s="2817"/>
      <c r="I24" s="2817"/>
      <c r="J24" s="2818"/>
      <c r="K24" s="1377"/>
      <c r="N24" s="2819" t="s">
        <v>2909</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2912</v>
      </c>
      <c r="C26" s="206">
        <f ca="1">E29+SUM(E33:E39)</f>
        <v>2565</v>
      </c>
      <c r="D26" s="2824"/>
      <c r="E26" s="2775"/>
      <c r="F26" s="2825"/>
      <c r="G26" s="2775"/>
      <c r="H26" s="2775"/>
      <c r="I26" s="2775"/>
      <c r="J26" s="2826"/>
      <c r="K26" s="1370"/>
      <c r="L26" s="2779" t="s">
        <v>2811</v>
      </c>
      <c r="M26" s="920" t="s">
        <v>2876</v>
      </c>
      <c r="N26" s="920" t="s">
        <v>2877</v>
      </c>
      <c r="O26" s="920" t="s">
        <v>2878</v>
      </c>
      <c r="P26" s="2780" t="s">
        <v>2879</v>
      </c>
      <c r="R26" s="1376"/>
      <c r="S26" s="1376"/>
      <c r="T26" s="1371"/>
      <c r="U26" s="1371"/>
      <c r="V26" s="1371"/>
      <c r="W26" s="1370"/>
      <c r="X26" s="1370"/>
      <c r="Y26" s="1370"/>
      <c r="Z26" s="1377"/>
      <c r="AA26" s="1378"/>
      <c r="AB26" s="1378"/>
      <c r="AC26" s="1378"/>
      <c r="AD26" s="1378"/>
    </row>
    <row r="27" spans="1:37" ht="15.75" thickBot="1">
      <c r="A27" s="2823"/>
      <c r="B27" s="2827" t="s">
        <v>2913</v>
      </c>
      <c r="C27" s="931">
        <f ca="1">E30+SUM(I33:I39)</f>
        <v>18</v>
      </c>
      <c r="D27" s="2828"/>
      <c r="E27" s="2829"/>
      <c r="F27" s="2830"/>
      <c r="G27" s="2829"/>
      <c r="H27" s="2829"/>
      <c r="I27" s="2829"/>
      <c r="J27" s="2831"/>
      <c r="K27" s="1370"/>
      <c r="L27" s="2783"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f ca="1">ROUND(C5*C18*C19*C20*C21*C24,0)</f>
        <v>1775</v>
      </c>
      <c r="D29" s="2839">
        <f>'数据-汇总表'!F19</f>
        <v>13788.550000000001</v>
      </c>
      <c r="E29" s="942">
        <f ca="1">ROUND(C29*D29/10000,0)</f>
        <v>2447</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f ca="1">ROUND(IF(E2="工业",C29*M39,C29*M38),0)</f>
        <v>266</v>
      </c>
      <c r="D30" s="2845"/>
      <c r="E30" s="942">
        <f ca="1">ROUND(C30*D30/10000,0)</f>
        <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83" t="s">
        <v>2926</v>
      </c>
      <c r="B33" s="2855" t="s">
        <v>2927</v>
      </c>
      <c r="C33" s="206">
        <f ca="1">ROUND(D5*C19*C20*C24*F33,0)</f>
        <v>1372</v>
      </c>
      <c r="D33" s="2839"/>
      <c r="E33" s="200">
        <f ca="1">ROUND(C33*D33/10000,0)</f>
        <v>0</v>
      </c>
      <c r="F33" s="200">
        <f>SUMIF(修正!A45:A56,G2,修正!B45:B56)</f>
        <v>0.7</v>
      </c>
      <c r="G33" s="200">
        <f t="shared" ref="G33" ca="1" si="6">ROUND(IF(E2="工业",C33*$M$39,C33*$M$38),0)</f>
        <v>206</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4"/>
      <c r="B34" s="2767" t="s">
        <v>2928</v>
      </c>
      <c r="C34" s="206">
        <f ca="1">ROUND(D5*C19*C20*C24*F34,0)</f>
        <v>784</v>
      </c>
      <c r="D34" s="2839"/>
      <c r="E34" s="200">
        <f t="shared" ref="E34:E39" ca="1" si="7">ROUND(C34*D34/10000,0)</f>
        <v>0</v>
      </c>
      <c r="F34" s="200">
        <f>SUMIF(修正!A45:A56,G2,修正!C45:C56)</f>
        <v>0.4</v>
      </c>
      <c r="G34" s="200">
        <f ca="1">ROUND(IF(E2="工业",C34*$M$39,C34*$M$38),0)</f>
        <v>118</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4"/>
      <c r="B35" s="2767" t="s">
        <v>2929</v>
      </c>
      <c r="C35" s="206">
        <f ca="1">ROUND(D5*C19*C20*C24*F35,0)</f>
        <v>549</v>
      </c>
      <c r="D35" s="2839"/>
      <c r="E35" s="200">
        <f t="shared" ca="1" si="7"/>
        <v>0</v>
      </c>
      <c r="F35" s="200">
        <f>SUMIF(修正!A45:A56,G2,修正!D45:D56)</f>
        <v>0.28000000000000003</v>
      </c>
      <c r="G35" s="200">
        <f ca="1">ROUND(IF(E2="工业",C35*$M$39,C35*$M$38),0)</f>
        <v>82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85"/>
      <c r="B36" s="2767" t="s">
        <v>2930</v>
      </c>
      <c r="C36" s="206">
        <f ca="1">ROUND(D5*C19*C20*C24*F36,0)</f>
        <v>490</v>
      </c>
      <c r="D36" s="2839"/>
      <c r="E36" s="200">
        <f t="shared" ca="1" si="7"/>
        <v>0</v>
      </c>
      <c r="F36" s="200">
        <f>SUMIF(修正!A45:A56,G2,修正!E45:E56)</f>
        <v>0.25</v>
      </c>
      <c r="G36" s="200">
        <f ca="1">ROUND(IF(E2="工业",C36*$M$39,C36*$M$38),0)</f>
        <v>74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f ca="1">ROUND(D5*C19*C20*C24*F37,0)</f>
        <v>490</v>
      </c>
      <c r="D37" s="2839"/>
      <c r="E37" s="200">
        <f t="shared" ca="1" si="7"/>
        <v>0</v>
      </c>
      <c r="F37" s="206">
        <f>SUMIF(修正!A45:A56,G2,修正!F45:F56)</f>
        <v>0.25</v>
      </c>
      <c r="G37" s="200">
        <f ca="1">ROUND(IF(E2="工业",C37*$M$39,C37*$M$38),0)</f>
        <v>74</v>
      </c>
      <c r="H37" s="200">
        <f t="shared" si="8"/>
        <v>0</v>
      </c>
      <c r="I37" s="200">
        <f t="shared" ca="1" si="9"/>
        <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f ca="1">ROUND(D5*C19*C41*C24*F38,0)</f>
        <v>490</v>
      </c>
      <c r="D38" s="2839">
        <f>'数据-汇总表'!G19</f>
        <v>2400.12</v>
      </c>
      <c r="E38" s="200">
        <f t="shared" ca="1" si="7"/>
        <v>118</v>
      </c>
      <c r="F38" s="206">
        <f>SUMIF(修正!A45:A56,G2,修正!G45:G56)</f>
        <v>0.25</v>
      </c>
      <c r="G38" s="200">
        <f ca="1">ROUND(IF(E2="工业",C38*$M$39,C38*$M$38),0)</f>
        <v>74</v>
      </c>
      <c r="H38" s="200">
        <f t="shared" si="8"/>
        <v>2400.12</v>
      </c>
      <c r="I38" s="200">
        <f t="shared" ca="1" si="9"/>
        <v>18</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f ca="1">ROUND(D5*C19*C41*C24*F39,0)</f>
        <v>392</v>
      </c>
      <c r="D39" s="2845"/>
      <c r="E39" s="229">
        <f t="shared" ca="1" si="7"/>
        <v>0</v>
      </c>
      <c r="F39" s="932">
        <f>SUMIF(修正!A45:A56,G2,修正!H45:H56)</f>
        <v>0.2</v>
      </c>
      <c r="G39" s="229">
        <f ca="1">ROUND(IF(E2="工业",C39*$M$39,C39*$M$38),0)</f>
        <v>59</v>
      </c>
      <c r="H39" s="229">
        <f t="shared" si="8"/>
        <v>0</v>
      </c>
      <c r="I39" s="229">
        <f t="shared" ca="1" si="9"/>
        <v>0</v>
      </c>
      <c r="J39" s="2862"/>
      <c r="K39" s="1370"/>
      <c r="L39" s="2863" t="s">
        <v>2879</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0.95399999999999996</v>
      </c>
      <c r="D41" s="200" t="s">
        <v>2886</v>
      </c>
      <c r="E41" s="2931">
        <f ca="1">G20</f>
        <v>4.8000000000000001E-2</v>
      </c>
      <c r="F41" s="200" t="s">
        <v>2895</v>
      </c>
      <c r="G41" s="218">
        <f>项目基本情况!I15</f>
        <v>42.32</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1.0174000000000001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2594</v>
      </c>
      <c r="K80" s="603" t="s">
        <v>2595</v>
      </c>
      <c r="L80" s="603" t="s">
        <v>2596</v>
      </c>
      <c r="M80" s="603" t="s">
        <v>2597</v>
      </c>
      <c r="N80" s="603" t="s">
        <v>2598</v>
      </c>
      <c r="Z80" s="2722"/>
      <c r="AA80" s="2790"/>
      <c r="AG80" s="1372"/>
      <c r="AK80" s="2790"/>
    </row>
    <row r="81" spans="1:37" ht="38.25">
      <c r="A81" s="2872" t="s">
        <v>2965</v>
      </c>
      <c r="B81" s="2876" t="str">
        <f>估价对象房地状况!G15</f>
        <v>估价对象位于XX开发区，园区建设成熟度XX，产业集聚程度XX</v>
      </c>
      <c r="C81" s="2958" t="s">
        <v>3085</v>
      </c>
      <c r="D81" s="1286">
        <f t="shared" ref="D81:D88" si="25">SUMIF($J$80:$N$80,C81,J81:N81)</f>
        <v>6.4999999999999997E-3</v>
      </c>
      <c r="E81" s="821">
        <f>ROUND(SUM(D81:D88),4)</f>
        <v>1.7399999999999999E-2</v>
      </c>
      <c r="F81" s="2503">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2"/>
      <c r="AA81" s="2790"/>
      <c r="AG81" s="1372"/>
      <c r="AK81" s="2790"/>
    </row>
    <row r="82" spans="1:37" ht="51">
      <c r="A82" s="2872" t="s">
        <v>2947</v>
      </c>
      <c r="B82" s="2876" t="str">
        <f>估价对象房地状况!G16</f>
        <v>估价对象周边道路状况、公共交通通达情况、停车便捷程度，综合评价交通便捷度较好</v>
      </c>
      <c r="C82" s="2958" t="s">
        <v>3085</v>
      </c>
      <c r="D82" s="1286">
        <f t="shared" si="25"/>
        <v>8.2000000000000007E-3</v>
      </c>
      <c r="E82" s="826"/>
      <c r="F82" s="2503"/>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2"/>
      <c r="AA82" s="2790"/>
      <c r="AG82" s="1372"/>
      <c r="AK82" s="2790"/>
    </row>
    <row r="83" spans="1:37" ht="24">
      <c r="A83" s="2872" t="s">
        <v>2948</v>
      </c>
      <c r="B83" s="2876">
        <f>估价对象房地状况!G17</f>
        <v>0</v>
      </c>
      <c r="C83" s="2958" t="s">
        <v>3086</v>
      </c>
      <c r="D83" s="1286">
        <f t="shared" si="25"/>
        <v>0</v>
      </c>
      <c r="E83" s="826"/>
      <c r="F83" s="2503"/>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2"/>
      <c r="AA83" s="2790"/>
      <c r="AG83" s="1372"/>
      <c r="AK83" s="2790"/>
    </row>
    <row r="84" spans="1:37" ht="14.25">
      <c r="A84" s="2872" t="s">
        <v>2962</v>
      </c>
      <c r="B84" s="2876">
        <f>估价对象房地状况!G22</f>
        <v>0</v>
      </c>
      <c r="C84" s="2958" t="s">
        <v>3087</v>
      </c>
      <c r="D84" s="1286">
        <f t="shared" si="25"/>
        <v>0</v>
      </c>
      <c r="E84" s="826"/>
      <c r="F84" s="2503"/>
      <c r="G84" s="1284">
        <f t="shared" si="30"/>
        <v>1E-3</v>
      </c>
      <c r="H84" s="1288">
        <f t="shared" si="26"/>
        <v>1E-3</v>
      </c>
      <c r="I84" s="820">
        <v>0.04</v>
      </c>
      <c r="J84" s="1285">
        <f t="shared" si="27"/>
        <v>2E-3</v>
      </c>
      <c r="K84" s="1285">
        <f t="shared" si="28"/>
        <v>1E-3</v>
      </c>
      <c r="L84" s="1285">
        <v>0</v>
      </c>
      <c r="M84" s="1285">
        <f t="shared" si="29"/>
        <v>-1E-3</v>
      </c>
      <c r="N84" s="1285">
        <f t="shared" si="29"/>
        <v>-2E-3</v>
      </c>
      <c r="Z84" s="2722"/>
      <c r="AA84" s="2790"/>
      <c r="AG84" s="1372"/>
      <c r="AK84" s="2790"/>
    </row>
    <row r="85" spans="1:37" ht="25.5">
      <c r="A85" s="2872" t="s">
        <v>2954</v>
      </c>
      <c r="B85" s="1725" t="str">
        <f>估价对象房地状况!G19</f>
        <v>估价对象所在区域公共配套设施齐备情况</v>
      </c>
      <c r="C85" s="2958" t="s">
        <v>3087</v>
      </c>
      <c r="D85" s="1286">
        <f t="shared" si="25"/>
        <v>0</v>
      </c>
      <c r="E85" s="826"/>
      <c r="F85" s="2503"/>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22"/>
      <c r="AA85" s="2790"/>
      <c r="AG85" s="1372"/>
      <c r="AK85" s="2790"/>
    </row>
    <row r="86" spans="1:37" ht="25.5">
      <c r="A86" s="2872" t="s">
        <v>2955</v>
      </c>
      <c r="B86" s="1725" t="str">
        <f>估价对象房地状况!G20</f>
        <v>估价对象所在区域基础设施水平</v>
      </c>
      <c r="C86" s="2958" t="s">
        <v>3087</v>
      </c>
      <c r="D86" s="1286">
        <f t="shared" si="25"/>
        <v>0</v>
      </c>
      <c r="E86" s="826"/>
      <c r="F86" s="2503"/>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2"/>
      <c r="AA86" s="2790"/>
      <c r="AG86" s="1372"/>
      <c r="AK86" s="2790"/>
    </row>
    <row r="87" spans="1:37" ht="24">
      <c r="A87" s="2872" t="s">
        <v>2952</v>
      </c>
      <c r="B87" s="2878" t="s">
        <v>2966</v>
      </c>
      <c r="C87" s="2958" t="s">
        <v>3085</v>
      </c>
      <c r="D87" s="1286">
        <f t="shared" si="25"/>
        <v>1.1999999999999999E-3</v>
      </c>
      <c r="E87" s="826"/>
      <c r="F87" s="2503"/>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2"/>
      <c r="AA87" s="2790"/>
      <c r="AG87" s="1372"/>
      <c r="AK87" s="2790"/>
    </row>
    <row r="88" spans="1:37" ht="39" thickBot="1">
      <c r="A88" s="2880" t="s">
        <v>2967</v>
      </c>
      <c r="B88" s="2885" t="str">
        <f>估价对象房地状况!G18</f>
        <v>该园区内是否有污染型企业，绿化情况，卫生条件，整体环境状况判断</v>
      </c>
      <c r="C88" s="2958" t="s">
        <v>3085</v>
      </c>
      <c r="D88" s="1286">
        <f t="shared" si="25"/>
        <v>1.5E-3</v>
      </c>
      <c r="E88" s="827"/>
      <c r="F88" s="2503"/>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22"/>
      <c r="AA88" s="2790"/>
      <c r="AG88" s="1372"/>
      <c r="AK88" s="2790"/>
    </row>
    <row r="90" spans="1:37">
      <c r="A90" s="3277" t="s">
        <v>2968</v>
      </c>
      <c r="B90" s="3277"/>
      <c r="C90" s="3277"/>
      <c r="D90" s="3277"/>
      <c r="E90" s="3277"/>
      <c r="F90" s="3277"/>
      <c r="G90" s="3277"/>
      <c r="H90" s="3277"/>
      <c r="I90" s="3277"/>
      <c r="J90" s="3277"/>
      <c r="K90" s="2886"/>
      <c r="L90" s="2886"/>
      <c r="M90" s="2886"/>
      <c r="N90" s="2886"/>
    </row>
    <row r="91" spans="1:37">
      <c r="A91" s="3279" t="s">
        <v>2969</v>
      </c>
      <c r="B91" s="3279" t="s">
        <v>2970</v>
      </c>
      <c r="C91" s="2840" t="s">
        <v>2971</v>
      </c>
      <c r="D91" s="2841"/>
      <c r="E91" s="2841"/>
      <c r="F91" s="2841"/>
      <c r="G91" s="2841"/>
      <c r="H91" s="2841"/>
      <c r="I91" s="2841"/>
      <c r="J91" s="2887"/>
      <c r="K91" s="2888"/>
      <c r="L91" s="2888"/>
      <c r="M91" s="2888"/>
      <c r="N91" s="2888"/>
    </row>
    <row r="92" spans="1:37">
      <c r="A92" s="3279"/>
      <c r="B92" s="3279"/>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80"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1"/>
      <c r="B99" s="2889" t="s">
        <v>2854</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28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0" t="s">
        <v>2973</v>
      </c>
      <c r="B101" s="2893" t="s">
        <v>2974</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28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28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28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28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28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28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281"/>
      <c r="B108" s="3138" t="s">
        <v>2975</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282"/>
      <c r="B109" s="3139"/>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278" t="s">
        <v>2976</v>
      </c>
      <c r="B110" s="3278"/>
      <c r="C110" s="3278"/>
      <c r="D110" s="3278"/>
      <c r="E110" s="3278"/>
      <c r="F110" s="3278"/>
      <c r="G110" s="3278"/>
      <c r="H110" s="3278"/>
      <c r="I110" s="3278"/>
      <c r="J110" s="3278"/>
      <c r="K110" s="2895"/>
      <c r="L110" s="2895"/>
      <c r="M110" s="2895"/>
      <c r="N110" s="2895"/>
    </row>
    <row r="112" spans="1:14" ht="13.5" thickBot="1"/>
    <row r="113" spans="1:13" ht="25.5" thickBot="1">
      <c r="A113" s="903" t="s">
        <v>2977</v>
      </c>
      <c r="B113" s="1287">
        <f>G3</f>
        <v>1.5</v>
      </c>
      <c r="C113" s="904" t="s">
        <v>2978</v>
      </c>
      <c r="D113" s="905">
        <f>SUMPRODUCT((A115:A118=F113)*(B114:M114=H113)*B115:M118)</f>
        <v>0.61160000000000003</v>
      </c>
      <c r="E113" s="2726" t="s">
        <v>2811</v>
      </c>
      <c r="F113" s="2897" t="str">
        <f>E2</f>
        <v>工业</v>
      </c>
      <c r="G113" s="2726" t="s">
        <v>2812</v>
      </c>
      <c r="H113" s="2897" t="str">
        <f>G2</f>
        <v>七级</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2876</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2877</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2878</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2879</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f ca="1">SUMIF(B6:B13,"&lt;&gt;#ref!",B6:B13)</f>
        <v>2565</v>
      </c>
      <c r="C2" s="2904" t="s">
        <v>2992</v>
      </c>
      <c r="D2" s="2904" t="s">
        <v>2993</v>
      </c>
      <c r="E2" s="2905">
        <f ca="1">SUMIF(E6:E13,"&lt;&gt;#ref!",E6:E13)</f>
        <v>16188.670000000002</v>
      </c>
    </row>
    <row r="3" spans="1:5" ht="15.75">
      <c r="A3" s="2904" t="s">
        <v>2994</v>
      </c>
      <c r="B3" s="2905">
        <f ca="1">ROUND(B2*10000/E2,0)</f>
        <v>1584</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f ca="1">SUMIF(INDIRECT("'"&amp;A6&amp;"'"&amp;"!A:A"),"总价",INDIRECT("'"&amp;A6&amp;"'"&amp;"!B:B"))</f>
        <v>2565</v>
      </c>
      <c r="C6" s="2904" t="s">
        <v>2992</v>
      </c>
      <c r="D6" s="2906"/>
      <c r="E6" s="2577">
        <f ca="1">SUMIF(INDIRECT("'"&amp;A6&amp;"'"&amp;"!C:C"),"建筑面积",INDIRECT("'"&amp;A6&amp;"'"&amp;"!D:D"))</f>
        <v>16188.670000000002</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1145</v>
      </c>
      <c r="C1" s="3294"/>
      <c r="D1" s="3294"/>
      <c r="E1" s="3294"/>
      <c r="F1" s="3294"/>
      <c r="G1" s="3293" t="s">
        <v>1146</v>
      </c>
      <c r="H1" s="3293"/>
      <c r="I1" s="3293"/>
      <c r="J1" s="3293"/>
      <c r="K1" s="3293"/>
      <c r="L1" s="3293"/>
      <c r="N1" s="3293" t="s">
        <v>1147</v>
      </c>
      <c r="O1" s="3293"/>
      <c r="P1" s="3293"/>
      <c r="Q1" s="3293"/>
      <c r="R1" s="1446"/>
      <c r="S1" s="3293" t="s">
        <v>1148</v>
      </c>
      <c r="T1" s="3293"/>
      <c r="U1" s="3293"/>
      <c r="V1" s="3293"/>
      <c r="X1" s="3292" t="s">
        <v>1149</v>
      </c>
      <c r="Y1" s="3293"/>
      <c r="Z1" s="3293"/>
      <c r="AA1" s="3293"/>
      <c r="AB1" s="3293"/>
      <c r="AD1" s="3292" t="s">
        <v>1150</v>
      </c>
      <c r="AE1" s="3293"/>
      <c r="AF1" s="3293"/>
      <c r="AG1" s="3293"/>
      <c r="AH1" s="3293"/>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3034</v>
      </c>
      <c r="B3" s="2921"/>
      <c r="C3" s="2921"/>
      <c r="D3" s="2922"/>
      <c r="E3" s="2922"/>
      <c r="F3" s="2921"/>
      <c r="G3" s="2923"/>
      <c r="H3" s="2924"/>
      <c r="I3" s="2925">
        <f>ROUND(AVERAGE($I4:$I30),2)</f>
        <v>1.85</v>
      </c>
      <c r="J3" s="2925">
        <f>ROUND(AVERAGE($J4:$J30),2)</f>
        <v>1.29</v>
      </c>
      <c r="K3" s="2925">
        <f>ROUND(AVERAGE($K4:$K30),2)</f>
        <v>2.02</v>
      </c>
      <c r="L3" s="2925">
        <f>ROUND(AVERAGE($L4:$L30),2)</f>
        <v>1.29</v>
      </c>
      <c r="N3" s="2923"/>
      <c r="O3" s="2926"/>
      <c r="P3" s="2926"/>
      <c r="Q3" s="2926"/>
      <c r="R3" s="2926"/>
      <c r="S3" s="2923"/>
      <c r="T3" s="2926"/>
      <c r="U3" s="2926"/>
      <c r="V3" s="2926"/>
      <c r="W3" s="2918"/>
      <c r="X3" s="2927">
        <f>ROUND(SUMPRODUCT(PRODUCT(1+N3:N$29)),4)</f>
        <v>1.5586</v>
      </c>
      <c r="Y3" s="2927">
        <f>ROUND(SUMPRODUCT(PRODUCT(1+O3:O$29)),4)</f>
        <v>1.3633</v>
      </c>
      <c r="Z3" s="2927">
        <f t="shared" ref="Z3:Z27" si="0">Y3</f>
        <v>1.3633</v>
      </c>
      <c r="AA3" s="2927">
        <f>ROUND(SUMPRODUCT(PRODUCT(1+P3:P$29)),4)</f>
        <v>1.6221000000000001</v>
      </c>
      <c r="AB3" s="2927">
        <f>ROUND(SUMPRODUCT(PRODUCT(1+Q3:Q$29)),4)</f>
        <v>1.3777999999999999</v>
      </c>
      <c r="AD3" s="2928">
        <f>ROUND(AVERAGE(I3:I$30)/100,4)</f>
        <v>1.8499999999999999E-2</v>
      </c>
      <c r="AE3" s="2928">
        <f>ROUND(AVERAGE(J3:J$30)/100,4)</f>
        <v>1.29E-2</v>
      </c>
      <c r="AF3" s="2928">
        <f t="shared" ref="AF3:AF28" si="1">AE3</f>
        <v>1.29E-2</v>
      </c>
      <c r="AG3" s="2928">
        <f>ROUND(AVERAGE(K3:K$30)/100,4)</f>
        <v>2.0199999999999999E-2</v>
      </c>
      <c r="AH3" s="2928">
        <f>ROUND(AVERAGE(L3:L$30)/100,4)</f>
        <v>1.29E-2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3035</v>
      </c>
      <c r="X5" s="1726">
        <f>ROUND(IF(项目基本情况!B8="出让",SUMPRODUCT(PRODUCT(1+N5:N$30)),SUMPRODUCT(PRODUCT(1+N5:N$29))),4)</f>
        <v>1.5586</v>
      </c>
      <c r="Y5" s="1726">
        <f>ROUND(IF(项目基本情况!B8="出让",SUMPRODUCT(PRODUCT(1+O5:O$30)),SUMPRODUCT(PRODUCT(1+O5:O$29))),4)</f>
        <v>1.3633</v>
      </c>
      <c r="Z5" s="1726">
        <f t="shared" ref="Z5" si="11">Y5</f>
        <v>1.3633</v>
      </c>
      <c r="AA5" s="1726">
        <f>ROUND(IF(项目基本情况!B8="出让",SUMPRODUCT(PRODUCT(1+P5:P$30)),SUMPRODUCT(PRODUCT(1+P5:P$29))),4)</f>
        <v>1.6221000000000001</v>
      </c>
      <c r="AB5" s="1726">
        <f>ROUND(IF(项目基本情况!B8="出让",SUMPRODUCT(PRODUCT(1+Q5:Q$30)),SUMPRODUCT(PRODUCT(1+Q5:Q$29))),4)</f>
        <v>1.3777999999999999</v>
      </c>
      <c r="AD5" s="1468">
        <f>ROUND(AVERAGE(I5:I$30)/100,4)</f>
        <v>1.8499999999999999E-2</v>
      </c>
      <c r="AE5" s="1468">
        <f>ROUND(AVERAGE(J5:J$30)/100,4)</f>
        <v>1.29E-2</v>
      </c>
      <c r="AF5" s="1468">
        <f t="shared" ref="AF5" si="12">AE5</f>
        <v>1.29E-2</v>
      </c>
      <c r="AG5" s="1468">
        <f>ROUND(AVERAGE(K5:K$30)/100,4)</f>
        <v>2.0199999999999999E-2</v>
      </c>
      <c r="AH5" s="1468">
        <f>ROUND(AVERAGE(L5:L$30)/100,4)</f>
        <v>1.29E-2</v>
      </c>
    </row>
    <row r="6" spans="1:34" s="1466" customFormat="1">
      <c r="A6" s="1461" t="s">
        <v>3053</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5">
        <v>2020</v>
      </c>
      <c r="H6" s="1464">
        <v>1</v>
      </c>
      <c r="I6" s="1464">
        <v>0</v>
      </c>
      <c r="J6" s="1464">
        <v>0</v>
      </c>
      <c r="K6" s="1464">
        <v>0</v>
      </c>
      <c r="L6" s="1478">
        <v>0</v>
      </c>
      <c r="M6" s="1471"/>
      <c r="N6" s="1472">
        <f t="shared" ref="N6"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ROUND(IF(项目基本情况!B8="出让",SUMPRODUCT(PRODUCT(1+N6:N$30)),SUMPRODUCT(PRODUCT(1+N6:N$29))),4)</f>
        <v>1.5586</v>
      </c>
      <c r="Y6" s="1788">
        <f>ROUND(IF(项目基本情况!B8="出让",SUMPRODUCT(PRODUCT(1+O6:O$30)),SUMPRODUCT(PRODUCT(1+O6:O$29))),4)</f>
        <v>1.3633</v>
      </c>
      <c r="Z6" s="1788">
        <f t="shared" ref="Z6" si="22">Y6</f>
        <v>1.3633</v>
      </c>
      <c r="AA6" s="1788">
        <f>ROUND(IF(项目基本情况!B8="出让",SUMPRODUCT(PRODUCT(1+P6:P$30)),SUMPRODUCT(PRODUCT(1+P6:P$29))),4)</f>
        <v>1.6221000000000001</v>
      </c>
      <c r="AB6" s="1788">
        <f>ROUND(IF(项目基本情况!B8="出让",SUMPRODUCT(PRODUCT(1+Q6:Q$30)),SUMPRODUCT(PRODUCT(1+Q6:Q$29))),4)</f>
        <v>1.3777999999999999</v>
      </c>
      <c r="AC6" s="1790"/>
      <c r="AD6" s="1789">
        <f>ROUND(AVERAGE(I6:I$30)/100,4)</f>
        <v>1.9199999999999998E-2</v>
      </c>
      <c r="AE6" s="1789">
        <f>ROUND(AVERAGE(J6:J$30)/100,4)</f>
        <v>1.34E-2</v>
      </c>
      <c r="AF6" s="1789">
        <f t="shared" ref="AF6" si="23">AE6</f>
        <v>1.34E-2</v>
      </c>
      <c r="AG6" s="1789">
        <f>ROUND(AVERAGE(K6:K$30)/100,4)</f>
        <v>2.1000000000000001E-2</v>
      </c>
      <c r="AH6" s="1789">
        <f>ROUND(AVERAGE(L6:L$30)/100,4)</f>
        <v>1.35E-2</v>
      </c>
    </row>
    <row r="7" spans="1:34" s="1466" customFormat="1">
      <c r="A7" s="1461" t="s">
        <v>3052</v>
      </c>
      <c r="B7" s="1477">
        <f t="shared" ref="B7" si="24">B8*(1+N7)</f>
        <v>479.34737379023579</v>
      </c>
      <c r="C7" s="1477">
        <f t="shared" ref="C7" si="25">C8*(1+O7)</f>
        <v>351.4265287986122</v>
      </c>
      <c r="D7" s="1477">
        <f t="shared" ref="D7" si="26">C7</f>
        <v>351.4265287986122</v>
      </c>
      <c r="E7" s="1477">
        <f t="shared" ref="E7" si="27">E8*(1+P7)</f>
        <v>685.98209703803116</v>
      </c>
      <c r="F7" s="1477">
        <f t="shared" ref="F7" si="28">F8*(1+Q7)</f>
        <v>316.78315206651001</v>
      </c>
      <c r="G7" s="2954">
        <v>2019</v>
      </c>
      <c r="H7" s="1464">
        <v>4</v>
      </c>
      <c r="I7" s="1464">
        <v>0.45</v>
      </c>
      <c r="J7" s="1464">
        <v>-0.12</v>
      </c>
      <c r="K7" s="1464">
        <v>0.54</v>
      </c>
      <c r="L7" s="1478">
        <v>0.48</v>
      </c>
      <c r="M7" s="1471"/>
      <c r="N7" s="1472">
        <f t="shared" ref="N7:N12" si="29">I7/100</f>
        <v>4.5000000000000005E-3</v>
      </c>
      <c r="O7" s="1473">
        <f t="shared" ref="O7" si="30">J7/100</f>
        <v>-1.1999999999999999E-3</v>
      </c>
      <c r="P7" s="1473">
        <f t="shared" ref="P7" si="31">K7/100</f>
        <v>5.4000000000000003E-3</v>
      </c>
      <c r="Q7" s="1473">
        <f t="shared" ref="Q7" si="32">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3">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4">AE7</f>
        <v>1.4E-2</v>
      </c>
      <c r="AG7" s="1789">
        <f>ROUND(AVERAGE(K7:K$30)/100,4)</f>
        <v>2.1899999999999999E-2</v>
      </c>
      <c r="AH7" s="1789">
        <f>ROUND(AVERAGE(L7:L$30)/100,4)</f>
        <v>1.4E-2</v>
      </c>
    </row>
    <row r="8" spans="1:34" s="1466" customFormat="1" ht="13.5" thickBot="1">
      <c r="A8" s="1461" t="s">
        <v>3048</v>
      </c>
      <c r="B8" s="1477">
        <f t="shared" ref="B8" si="35">B9*(1+N8)</f>
        <v>477.19997390765138</v>
      </c>
      <c r="C8" s="1477">
        <f t="shared" ref="C8" si="36">C9*(1+O8)</f>
        <v>351.84874729536665</v>
      </c>
      <c r="D8" s="1477">
        <f t="shared" ref="D8" si="37">C8</f>
        <v>351.84874729536665</v>
      </c>
      <c r="E8" s="1477">
        <f t="shared" ref="E8" si="38">E9*(1+P8)</f>
        <v>682.29768951465201</v>
      </c>
      <c r="F8" s="1477">
        <f t="shared" ref="F8" si="39">F9*(1+Q8)</f>
        <v>315.26985675409043</v>
      </c>
      <c r="G8" s="2953">
        <v>2019</v>
      </c>
      <c r="H8" s="1464">
        <v>3</v>
      </c>
      <c r="I8" s="1464">
        <v>0.61</v>
      </c>
      <c r="J8" s="1464">
        <v>0.67</v>
      </c>
      <c r="K8" s="1464">
        <v>0.6</v>
      </c>
      <c r="L8" s="1478">
        <v>1.03</v>
      </c>
      <c r="M8" s="1471"/>
      <c r="N8" s="1472">
        <f t="shared" si="29"/>
        <v>6.0999999999999995E-3</v>
      </c>
      <c r="O8" s="1473">
        <f t="shared" ref="O8" si="40">J8/100</f>
        <v>6.7000000000000002E-3</v>
      </c>
      <c r="P8" s="1473">
        <f t="shared" ref="P8" si="41">K8/100</f>
        <v>6.0000000000000001E-3</v>
      </c>
      <c r="Q8" s="1473">
        <f t="shared" ref="Q8" si="42">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3">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4">AE8</f>
        <v>1.47E-2</v>
      </c>
      <c r="AG8" s="1789">
        <f>ROUND(AVERAGE(K8:K$30)/100,4)</f>
        <v>2.2599999999999999E-2</v>
      </c>
      <c r="AH8" s="1789">
        <f>ROUND(AVERAGE(L8:L$30)/100,4)</f>
        <v>1.44E-2</v>
      </c>
    </row>
    <row r="9" spans="1:34" s="1466" customFormat="1">
      <c r="A9" s="1461" t="s">
        <v>3046</v>
      </c>
      <c r="B9" s="1477">
        <f t="shared" ref="B9" si="45">B10*(1+N9)</f>
        <v>474.30670301923408</v>
      </c>
      <c r="C9" s="1477">
        <f t="shared" ref="C9" si="46">C10*(1+O9)</f>
        <v>349.50705005996491</v>
      </c>
      <c r="D9" s="1477">
        <f t="shared" ref="D9" si="47">C9</f>
        <v>349.50705005996491</v>
      </c>
      <c r="E9" s="1477">
        <f t="shared" ref="E9" si="48">E10*(1+P9)</f>
        <v>678.22831959706957</v>
      </c>
      <c r="F9" s="1477">
        <f t="shared" ref="F9" si="49">F10*(1+Q9)</f>
        <v>312.0556832169558</v>
      </c>
      <c r="G9" s="2949">
        <v>2019</v>
      </c>
      <c r="H9" s="1462">
        <v>2</v>
      </c>
      <c r="I9" s="1462">
        <v>1.53</v>
      </c>
      <c r="J9" s="1462">
        <v>1.01</v>
      </c>
      <c r="K9" s="1462">
        <v>1.62</v>
      </c>
      <c r="L9" s="1463">
        <v>1.25</v>
      </c>
      <c r="M9" s="1471"/>
      <c r="N9" s="1472">
        <f t="shared" si="29"/>
        <v>1.5300000000000001E-2</v>
      </c>
      <c r="O9" s="1473">
        <f t="shared" ref="O9" si="50">J9/100</f>
        <v>1.01E-2</v>
      </c>
      <c r="P9" s="1473">
        <f t="shared" ref="P9" si="51">K9/100</f>
        <v>1.6200000000000003E-2</v>
      </c>
      <c r="Q9" s="1473">
        <f t="shared" ref="Q9" si="52">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3">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4">AE9</f>
        <v>1.4999999999999999E-2</v>
      </c>
      <c r="AG9" s="1789">
        <f>ROUND(AVERAGE(K9:K$30)/100,4)</f>
        <v>2.3300000000000001E-2</v>
      </c>
      <c r="AH9" s="1789">
        <f>ROUND(AVERAGE(L9:L$30)/100,4)</f>
        <v>1.46E-2</v>
      </c>
    </row>
    <row r="10" spans="1:34" s="1466" customFormat="1" ht="13.5" thickBot="1">
      <c r="A10" s="1461" t="s">
        <v>3044</v>
      </c>
      <c r="B10" s="1477">
        <f t="shared" ref="B10" si="55">B11*(1+N10)</f>
        <v>467.15916775261894</v>
      </c>
      <c r="C10" s="1477">
        <f t="shared" ref="C10" si="56">C11*(1+O10)</f>
        <v>346.01232557169084</v>
      </c>
      <c r="D10" s="1477">
        <f t="shared" ref="D10" si="57">C10</f>
        <v>346.01232557169084</v>
      </c>
      <c r="E10" s="1477">
        <f t="shared" ref="E10" si="58">E11*(1+P10)</f>
        <v>667.41617752122568</v>
      </c>
      <c r="F10" s="1477">
        <f t="shared" ref="F10" si="59">F11*(1+Q10)</f>
        <v>308.20314391798104</v>
      </c>
      <c r="G10" s="2933">
        <v>2019</v>
      </c>
      <c r="H10" s="1464">
        <v>1</v>
      </c>
      <c r="I10" s="1464">
        <v>0.6</v>
      </c>
      <c r="J10" s="1464">
        <v>0.37</v>
      </c>
      <c r="K10" s="1464">
        <v>0.63</v>
      </c>
      <c r="L10" s="1478">
        <v>1.1299999999999999</v>
      </c>
      <c r="M10" s="1471"/>
      <c r="N10" s="1472">
        <f t="shared" si="29"/>
        <v>6.0000000000000001E-3</v>
      </c>
      <c r="O10" s="1473">
        <f t="shared" ref="O10" si="60">J10/100</f>
        <v>3.7000000000000002E-3</v>
      </c>
      <c r="P10" s="1473">
        <f t="shared" ref="P10" si="61">K10/100</f>
        <v>6.3E-3</v>
      </c>
      <c r="Q10" s="1473">
        <f t="shared" ref="Q10" si="62">L10/100</f>
        <v>1.1299999999999999E-2</v>
      </c>
      <c r="R10" s="1474"/>
      <c r="S10" s="1472">
        <f>B10/B11-1</f>
        <v>6.0000000000000053E-3</v>
      </c>
      <c r="T10" s="1473">
        <f t="shared" ref="T10" si="63">C10/C11-1</f>
        <v>3.7000000000000366E-3</v>
      </c>
      <c r="U10" s="1473">
        <f t="shared" ref="U10" si="64">D10/D11-1</f>
        <v>3.7000000000000366E-3</v>
      </c>
      <c r="V10" s="1473">
        <f t="shared" ref="V10" si="65">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6">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67">AE10</f>
        <v>1.5299999999999999E-2</v>
      </c>
      <c r="AG10" s="1789">
        <f>ROUND(AVERAGE(K10:K$30)/100,4)</f>
        <v>2.3699999999999999E-2</v>
      </c>
      <c r="AH10" s="1789">
        <f>ROUND(AVERAGE(L10:L$30)/100,4)</f>
        <v>1.47E-2</v>
      </c>
    </row>
    <row r="11" spans="1:34" s="1466" customFormat="1">
      <c r="A11" s="1461" t="s">
        <v>3047</v>
      </c>
      <c r="B11" s="2950">
        <f t="shared" ref="B11" si="68">B12*(1+N11)</f>
        <v>464.37293017158942</v>
      </c>
      <c r="C11" s="2950">
        <f t="shared" ref="C11" si="69">C12*(1+O11)</f>
        <v>344.73679941385956</v>
      </c>
      <c r="D11" s="2950">
        <f t="shared" ref="D11" si="70">C11</f>
        <v>344.73679941385956</v>
      </c>
      <c r="E11" s="2950">
        <f t="shared" ref="E11" si="71">E12*(1+P11)</f>
        <v>663.2377795103107</v>
      </c>
      <c r="F11" s="2951">
        <f t="shared" ref="F11" si="72">F12*(1+Q11)</f>
        <v>304.75936311478398</v>
      </c>
      <c r="G11" s="3290">
        <v>2018</v>
      </c>
      <c r="H11" s="1462">
        <v>4</v>
      </c>
      <c r="I11" s="1462">
        <v>0.96</v>
      </c>
      <c r="J11" s="1462">
        <v>1.03</v>
      </c>
      <c r="K11" s="1462">
        <v>0.92</v>
      </c>
      <c r="L11" s="1463">
        <v>1.29</v>
      </c>
      <c r="M11" s="1471"/>
      <c r="N11" s="1472">
        <f t="shared" si="29"/>
        <v>9.5999999999999992E-3</v>
      </c>
      <c r="O11" s="1473">
        <f t="shared" ref="O11" si="73">J11/100</f>
        <v>1.03E-2</v>
      </c>
      <c r="P11" s="1473">
        <f t="shared" ref="P11" si="74">K11/100</f>
        <v>9.1999999999999998E-3</v>
      </c>
      <c r="Q11" s="1473">
        <f t="shared" ref="Q11" si="75">L11/100</f>
        <v>1.29E-2</v>
      </c>
      <c r="R11" s="1474"/>
      <c r="S11" s="1472"/>
      <c r="T11" s="1473"/>
      <c r="U11" s="1473"/>
      <c r="V11" s="1473"/>
      <c r="W11" s="1790"/>
      <c r="X11" s="1788">
        <f>ROUND(SUMPRODUCT(PRODUCT(1+N11:N$29)),4)</f>
        <v>1.5099</v>
      </c>
      <c r="Y11" s="1788">
        <f>ROUND(SUMPRODUCT(PRODUCT(1+O11:O$29)),4)</f>
        <v>1.3372999999999999</v>
      </c>
      <c r="Z11" s="1788">
        <f t="shared" ref="Z11" si="76">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77">AE11</f>
        <v>1.5800000000000002E-2</v>
      </c>
      <c r="AG11" s="1789">
        <f>ROUND(AVERAGE(K11:K$30)/100,4)</f>
        <v>2.4500000000000001E-2</v>
      </c>
      <c r="AH11" s="1789">
        <f>ROUND(AVERAGE(L11:L$30)/100,4)</f>
        <v>1.49E-2</v>
      </c>
    </row>
    <row r="12" spans="1:34" s="1466" customFormat="1" ht="14.45" customHeight="1">
      <c r="A12" s="1461" t="s">
        <v>3041</v>
      </c>
      <c r="B12" s="1477">
        <f t="shared" ref="B12" si="78">B13*(1+N12)</f>
        <v>459.95733971036987</v>
      </c>
      <c r="C12" s="1477">
        <f t="shared" ref="C12" si="79">C13*(1+O12)</f>
        <v>341.22221064422405</v>
      </c>
      <c r="D12" s="1477">
        <f t="shared" ref="D12" si="80">C12</f>
        <v>341.22221064422405</v>
      </c>
      <c r="E12" s="1477">
        <f t="shared" ref="E12" si="81">E13*(1+P12)</f>
        <v>657.19161663724799</v>
      </c>
      <c r="F12" s="1477">
        <f t="shared" ref="F12" si="82">F13*(1+Q12)</f>
        <v>300.87803644464805</v>
      </c>
      <c r="G12" s="3290"/>
      <c r="H12" s="1464">
        <v>3</v>
      </c>
      <c r="I12" s="1464">
        <v>1.51</v>
      </c>
      <c r="J12" s="1464">
        <v>1.41</v>
      </c>
      <c r="K12" s="1464">
        <v>1.52</v>
      </c>
      <c r="L12" s="1478">
        <v>1.74</v>
      </c>
      <c r="M12" s="1471"/>
      <c r="N12" s="1472">
        <f t="shared" si="29"/>
        <v>1.5100000000000001E-2</v>
      </c>
      <c r="O12" s="1473">
        <f t="shared" ref="O12" si="83">J12/100</f>
        <v>1.41E-2</v>
      </c>
      <c r="P12" s="1473">
        <f t="shared" ref="P12" si="84">K12/100</f>
        <v>1.52E-2</v>
      </c>
      <c r="Q12" s="1473">
        <f t="shared" ref="Q12" si="85">L12/100</f>
        <v>1.7399999999999999E-2</v>
      </c>
      <c r="R12" s="1474"/>
      <c r="S12" s="1472"/>
      <c r="T12" s="1473"/>
      <c r="U12" s="1473"/>
      <c r="V12" s="1473"/>
      <c r="W12" s="1790"/>
      <c r="X12" s="1788">
        <f>ROUND(SUMPRODUCT(PRODUCT(1+N12:N$29)),4)</f>
        <v>1.4956</v>
      </c>
      <c r="Y12" s="1788">
        <f>ROUND(SUMPRODUCT(PRODUCT(1+O12:O$29)),4)</f>
        <v>1.3237000000000001</v>
      </c>
      <c r="Z12" s="1788">
        <f t="shared" ref="Z12" si="86">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87">AE12</f>
        <v>1.61E-2</v>
      </c>
      <c r="AG12" s="1789">
        <f>ROUND(AVERAGE(K12:K$30)/100,4)</f>
        <v>2.53E-2</v>
      </c>
      <c r="AH12" s="1789">
        <f>ROUND(AVERAGE(L12:L$30)/100,4)</f>
        <v>1.4999999999999999E-2</v>
      </c>
    </row>
    <row r="13" spans="1:34" s="1466" customFormat="1" ht="14.45" customHeight="1">
      <c r="A13" s="1461" t="s">
        <v>3040</v>
      </c>
      <c r="B13" s="1477">
        <f t="shared" ref="B13" si="88">B14*(1+N13)</f>
        <v>453.11529869999993</v>
      </c>
      <c r="C13" s="1477">
        <f t="shared" ref="C13" si="89">C14*(1+O13)</f>
        <v>336.47787264000004</v>
      </c>
      <c r="D13" s="1477">
        <f t="shared" ref="D13" si="90">C13</f>
        <v>336.47787264000004</v>
      </c>
      <c r="E13" s="1477">
        <f t="shared" ref="E13" si="91">E14*(1+P13)</f>
        <v>647.35186823999993</v>
      </c>
      <c r="F13" s="1477">
        <f t="shared" ref="F13" si="92">F14*(1+Q13)</f>
        <v>295.73229452000004</v>
      </c>
      <c r="G13" s="3290"/>
      <c r="H13" s="1465">
        <v>2</v>
      </c>
      <c r="I13" s="1465">
        <v>1.49</v>
      </c>
      <c r="J13" s="1465">
        <v>0.96</v>
      </c>
      <c r="K13" s="1465">
        <v>1.58</v>
      </c>
      <c r="L13" s="1479">
        <v>2.44</v>
      </c>
      <c r="M13" s="1471"/>
      <c r="N13" s="1472">
        <f t="shared" ref="N13" si="93">I13/100</f>
        <v>1.49E-2</v>
      </c>
      <c r="O13" s="1473">
        <f t="shared" ref="O13" si="94">J13/100</f>
        <v>9.5999999999999992E-3</v>
      </c>
      <c r="P13" s="1473">
        <f t="shared" ref="P13" si="95">K13/100</f>
        <v>1.5800000000000002E-2</v>
      </c>
      <c r="Q13" s="1473">
        <f t="shared" ref="Q13" si="96">L13/100</f>
        <v>2.4399999999999998E-2</v>
      </c>
      <c r="R13" s="1474"/>
      <c r="S13" s="1472"/>
      <c r="T13" s="1473"/>
      <c r="U13" s="1473"/>
      <c r="V13" s="1473"/>
      <c r="W13" s="1790"/>
      <c r="X13" s="1788">
        <f>ROUND(SUMPRODUCT(PRODUCT(1+N13:N$29)),4)</f>
        <v>1.4733000000000001</v>
      </c>
      <c r="Y13" s="1788">
        <f>ROUND(SUMPRODUCT(PRODUCT(1+O13:O$29)),4)</f>
        <v>1.3052999999999999</v>
      </c>
      <c r="Z13" s="1788">
        <f t="shared" ref="Z13" si="97">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98">AE13</f>
        <v>1.6199999999999999E-2</v>
      </c>
      <c r="AG13" s="1789">
        <f>ROUND(AVERAGE(K13:K$30)/100,4)</f>
        <v>2.5899999999999999E-2</v>
      </c>
      <c r="AH13" s="1789">
        <f>ROUND(AVERAGE(L13:L$30)/100,4)</f>
        <v>1.49E-2</v>
      </c>
    </row>
    <row r="14" spans="1:34" s="1466" customFormat="1" ht="15" customHeight="1" thickBot="1">
      <c r="A14" s="1461" t="s">
        <v>3033</v>
      </c>
      <c r="B14" s="1477">
        <f t="shared" ref="B14" si="99">B15*(1+N14)</f>
        <v>446.46299999999997</v>
      </c>
      <c r="C14" s="1477">
        <f t="shared" ref="C14" si="100">C15*(1+O14)</f>
        <v>333.27840000000003</v>
      </c>
      <c r="D14" s="1477">
        <f t="shared" ref="D14" si="101">C14</f>
        <v>333.27840000000003</v>
      </c>
      <c r="E14" s="1477">
        <f t="shared" ref="E14" si="102">E15*(1+P14)</f>
        <v>637.28279999999995</v>
      </c>
      <c r="F14" s="1477">
        <f t="shared" ref="F14" si="103">F15*(1+Q14)</f>
        <v>288.68830000000003</v>
      </c>
      <c r="G14" s="3299"/>
      <c r="H14" s="1464">
        <v>1</v>
      </c>
      <c r="I14" s="1464">
        <v>1.7</v>
      </c>
      <c r="J14" s="1464">
        <v>1.92</v>
      </c>
      <c r="K14" s="1464">
        <v>1.64</v>
      </c>
      <c r="L14" s="1478">
        <v>2.0099999999999998</v>
      </c>
      <c r="M14" s="1471"/>
      <c r="N14" s="1472">
        <f t="shared" ref="N14:N19" si="104">I14/100</f>
        <v>1.7000000000000001E-2</v>
      </c>
      <c r="O14" s="1473">
        <f t="shared" ref="O14" si="105">J14/100</f>
        <v>1.9199999999999998E-2</v>
      </c>
      <c r="P14" s="1473">
        <f t="shared" ref="P14" si="106">K14/100</f>
        <v>1.6399999999999998E-2</v>
      </c>
      <c r="Q14" s="1473">
        <f t="shared" ref="Q14" si="107">L14/100</f>
        <v>2.0099999999999996E-2</v>
      </c>
      <c r="R14" s="1474"/>
      <c r="S14" s="1472">
        <f>B14/B15-1</f>
        <v>1.6999999999999904E-2</v>
      </c>
      <c r="T14" s="1473">
        <f t="shared" ref="T14" si="108">C14/C15-1</f>
        <v>1.9200000000000106E-2</v>
      </c>
      <c r="U14" s="1473">
        <f t="shared" ref="U14" si="109">D14/D15-1</f>
        <v>1.9200000000000106E-2</v>
      </c>
      <c r="V14" s="1473">
        <f t="shared" ref="V14" si="110">E14/E15-1</f>
        <v>1.639999999999997E-2</v>
      </c>
      <c r="W14" s="1790"/>
      <c r="X14" s="1788">
        <f>ROUND(SUMPRODUCT(PRODUCT(1+N14:N$29)),4)</f>
        <v>1.4517</v>
      </c>
      <c r="Y14" s="1788">
        <f>ROUND(SUMPRODUCT(PRODUCT(1+O14:O$29)),4)</f>
        <v>1.2928999999999999</v>
      </c>
      <c r="Z14" s="1788">
        <f t="shared" ref="Z14" si="111">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2">AE14</f>
        <v>1.66E-2</v>
      </c>
      <c r="AG14" s="1789">
        <f>ROUND(AVERAGE(K14:K$30)/100,4)</f>
        <v>2.6499999999999999E-2</v>
      </c>
      <c r="AH14" s="1789">
        <f>ROUND(AVERAGE(L14:L$30)/100,4)</f>
        <v>1.43E-2</v>
      </c>
    </row>
    <row r="15" spans="1:34">
      <c r="A15" s="1461" t="s">
        <v>3030</v>
      </c>
      <c r="B15" s="1469">
        <v>439</v>
      </c>
      <c r="C15" s="1469">
        <v>327</v>
      </c>
      <c r="D15" s="1469">
        <f>C15</f>
        <v>327</v>
      </c>
      <c r="E15" s="1469">
        <v>627</v>
      </c>
      <c r="F15" s="1470">
        <v>283</v>
      </c>
      <c r="G15" s="3295">
        <v>2017</v>
      </c>
      <c r="H15" s="1462">
        <v>4</v>
      </c>
      <c r="I15" s="1462">
        <v>1.71</v>
      </c>
      <c r="J15" s="1462">
        <v>1.78</v>
      </c>
      <c r="K15" s="1462">
        <v>1.71</v>
      </c>
      <c r="L15" s="1463">
        <v>1.43</v>
      </c>
      <c r="N15" s="1472">
        <f t="shared" si="104"/>
        <v>1.7100000000000001E-2</v>
      </c>
      <c r="O15" s="1473">
        <f t="shared" ref="O15" si="113">J15/100</f>
        <v>1.78E-2</v>
      </c>
      <c r="P15" s="1473">
        <f t="shared" ref="P15" si="114">K15/100</f>
        <v>1.7100000000000001E-2</v>
      </c>
      <c r="Q15" s="1473">
        <f t="shared" ref="Q15" si="115">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6">B17*(1+N16)</f>
        <v>431.80730811680002</v>
      </c>
      <c r="C16" s="1477">
        <f t="shared" ref="C16:C17" si="117">C17*(1+O16)</f>
        <v>320.57880516480003</v>
      </c>
      <c r="D16" s="1477">
        <f t="shared" ref="D16:D17" si="118">C16</f>
        <v>320.57880516480003</v>
      </c>
      <c r="E16" s="1477">
        <f t="shared" ref="E16:E17" si="119">E17*(1+P16)</f>
        <v>615.96110553196797</v>
      </c>
      <c r="F16" s="1477">
        <f t="shared" ref="F16:F17" si="120">F17*(1+Q16)</f>
        <v>279.46777300108801</v>
      </c>
      <c r="G16" s="3290"/>
      <c r="H16" s="1464">
        <v>3</v>
      </c>
      <c r="I16" s="1464">
        <v>2.98</v>
      </c>
      <c r="J16" s="1464">
        <v>2.11</v>
      </c>
      <c r="K16" s="1464">
        <v>3.24</v>
      </c>
      <c r="L16" s="1478">
        <v>1.72</v>
      </c>
      <c r="M16" s="1471"/>
      <c r="N16" s="1472">
        <f t="shared" si="104"/>
        <v>2.98E-2</v>
      </c>
      <c r="O16" s="1473">
        <f t="shared" ref="O16" si="121">J16/100</f>
        <v>2.1099999999999997E-2</v>
      </c>
      <c r="P16" s="1473">
        <f t="shared" ref="P16" si="122">K16/100</f>
        <v>3.2400000000000005E-2</v>
      </c>
      <c r="Q16" s="1473">
        <f t="shared" ref="Q16" si="123">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6"/>
        <v>419.31181600000002</v>
      </c>
      <c r="C17" s="1477">
        <f t="shared" si="117"/>
        <v>313.95436800000004</v>
      </c>
      <c r="D17" s="1477">
        <f t="shared" si="118"/>
        <v>313.95436800000004</v>
      </c>
      <c r="E17" s="1477">
        <f t="shared" si="119"/>
        <v>596.63028431999999</v>
      </c>
      <c r="F17" s="1477">
        <f t="shared" si="120"/>
        <v>274.74220703999998</v>
      </c>
      <c r="G17" s="3290"/>
      <c r="H17" s="1465">
        <v>2</v>
      </c>
      <c r="I17" s="1465">
        <v>3.4</v>
      </c>
      <c r="J17" s="1465">
        <v>2</v>
      </c>
      <c r="K17" s="1465">
        <v>3.82</v>
      </c>
      <c r="L17" s="1479">
        <v>1.68</v>
      </c>
      <c r="M17" s="1471"/>
      <c r="N17" s="1472">
        <f t="shared" si="104"/>
        <v>3.4000000000000002E-2</v>
      </c>
      <c r="O17" s="1473">
        <f t="shared" ref="O17" si="124">J17/100</f>
        <v>0.02</v>
      </c>
      <c r="P17" s="1473">
        <f t="shared" ref="P17" si="125">K17/100</f>
        <v>3.8199999999999998E-2</v>
      </c>
      <c r="Q17" s="1473">
        <f t="shared" ref="Q17" si="126">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9"/>
      <c r="H18" s="1464">
        <v>1</v>
      </c>
      <c r="I18" s="1464">
        <v>3.45</v>
      </c>
      <c r="J18" s="1464">
        <v>1.92</v>
      </c>
      <c r="K18" s="1464">
        <v>3.92</v>
      </c>
      <c r="L18" s="1478">
        <v>1.58</v>
      </c>
      <c r="M18" s="1471"/>
      <c r="N18" s="1472">
        <f t="shared" si="104"/>
        <v>3.4500000000000003E-2</v>
      </c>
      <c r="O18" s="1473">
        <f t="shared" ref="O18:Q33" si="127">J18/100</f>
        <v>1.9199999999999998E-2</v>
      </c>
      <c r="P18" s="1473">
        <f t="shared" si="127"/>
        <v>3.9199999999999999E-2</v>
      </c>
      <c r="Q18" s="1473">
        <f t="shared" si="127"/>
        <v>1.5800000000000002E-2</v>
      </c>
      <c r="R18" s="1474"/>
      <c r="S18" s="1472">
        <f>B18/B19-1</f>
        <v>3.4499999999999975E-2</v>
      </c>
      <c r="T18" s="1473">
        <f t="shared" ref="T18:V18" si="128">C18/C19-1</f>
        <v>1.9200000000000106E-2</v>
      </c>
      <c r="U18" s="1473">
        <f t="shared" si="128"/>
        <v>1.9200000000000106E-2</v>
      </c>
      <c r="V18" s="1473">
        <f t="shared" si="128"/>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95">
        <v>2016</v>
      </c>
      <c r="H19" s="1462">
        <v>4</v>
      </c>
      <c r="I19" s="1462">
        <v>4.5599999999999996</v>
      </c>
      <c r="J19" s="1462">
        <v>2.15</v>
      </c>
      <c r="K19" s="1462">
        <v>5.32</v>
      </c>
      <c r="L19" s="1463">
        <v>1.57</v>
      </c>
      <c r="N19" s="1472">
        <f t="shared" si="104"/>
        <v>4.5599999999999995E-2</v>
      </c>
      <c r="O19" s="1473">
        <f t="shared" si="127"/>
        <v>2.1499999999999998E-2</v>
      </c>
      <c r="P19" s="1473">
        <f t="shared" si="127"/>
        <v>5.3200000000000004E-2</v>
      </c>
      <c r="Q19" s="1473">
        <f t="shared" si="12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29">B19/(1+N19)</f>
        <v>374.90436113236416</v>
      </c>
      <c r="C20" s="1477">
        <f t="shared" si="129"/>
        <v>295.64366128242779</v>
      </c>
      <c r="D20" s="1477">
        <f t="shared" ref="D20:D79" si="130">C20</f>
        <v>295.64366128242779</v>
      </c>
      <c r="E20" s="1477">
        <f t="shared" ref="E20:F22" si="131">E19/(1+P19)</f>
        <v>525.06646410938095</v>
      </c>
      <c r="F20" s="1477">
        <f t="shared" si="131"/>
        <v>261.88835286009646</v>
      </c>
      <c r="G20" s="3290"/>
      <c r="H20" s="1464">
        <v>3</v>
      </c>
      <c r="I20" s="1464">
        <v>4.12</v>
      </c>
      <c r="J20" s="1464">
        <v>2</v>
      </c>
      <c r="K20" s="1464">
        <v>4.79</v>
      </c>
      <c r="L20" s="1478">
        <v>1.97</v>
      </c>
      <c r="N20" s="1472">
        <f t="shared" ref="N20:Q54" si="132">I20/100</f>
        <v>4.1200000000000001E-2</v>
      </c>
      <c r="O20" s="1473">
        <f t="shared" si="127"/>
        <v>0.02</v>
      </c>
      <c r="P20" s="1473">
        <f t="shared" si="127"/>
        <v>4.7899999999999998E-2</v>
      </c>
      <c r="Q20" s="1473">
        <f t="shared" si="12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29"/>
        <v>360.06949782209392</v>
      </c>
      <c r="C21" s="1477">
        <f t="shared" si="129"/>
        <v>289.84672674747821</v>
      </c>
      <c r="D21" s="1477">
        <f t="shared" si="130"/>
        <v>289.84672674747821</v>
      </c>
      <c r="E21" s="1477">
        <f t="shared" si="131"/>
        <v>501.06543001181495</v>
      </c>
      <c r="F21" s="1477">
        <f t="shared" si="131"/>
        <v>256.82882500744967</v>
      </c>
      <c r="G21" s="3290"/>
      <c r="H21" s="1465">
        <v>2</v>
      </c>
      <c r="I21" s="1465">
        <v>3.85</v>
      </c>
      <c r="J21" s="1465">
        <v>1.95</v>
      </c>
      <c r="K21" s="1465">
        <v>4.4800000000000004</v>
      </c>
      <c r="L21" s="1479">
        <v>1.41</v>
      </c>
      <c r="N21" s="1472">
        <f t="shared" si="132"/>
        <v>3.85E-2</v>
      </c>
      <c r="O21" s="1473">
        <f t="shared" si="127"/>
        <v>1.95E-2</v>
      </c>
      <c r="P21" s="1473">
        <f t="shared" si="127"/>
        <v>4.4800000000000006E-2</v>
      </c>
      <c r="Q21" s="1473">
        <f t="shared" si="12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29"/>
        <v>346.720748986128</v>
      </c>
      <c r="C22" s="1477">
        <f t="shared" si="129"/>
        <v>284.30282172386285</v>
      </c>
      <c r="D22" s="1477">
        <f t="shared" si="130"/>
        <v>284.30282172386285</v>
      </c>
      <c r="E22" s="1477">
        <f t="shared" si="131"/>
        <v>479.58023546306947</v>
      </c>
      <c r="F22" s="1477">
        <f t="shared" si="131"/>
        <v>253.25788877571213</v>
      </c>
      <c r="G22" s="3291"/>
      <c r="H22" s="1464">
        <v>1</v>
      </c>
      <c r="I22" s="1464">
        <v>4.09</v>
      </c>
      <c r="J22" s="1464">
        <v>2.93</v>
      </c>
      <c r="K22" s="1464">
        <v>4.54</v>
      </c>
      <c r="L22" s="1478">
        <v>1.48</v>
      </c>
      <c r="N22" s="1472">
        <f t="shared" si="132"/>
        <v>4.0899999999999999E-2</v>
      </c>
      <c r="O22" s="1473">
        <f t="shared" si="127"/>
        <v>2.9300000000000003E-2</v>
      </c>
      <c r="P22" s="1473">
        <f t="shared" si="127"/>
        <v>4.5400000000000003E-2</v>
      </c>
      <c r="Q22" s="1473">
        <f t="shared" si="12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0"/>
        <v>277</v>
      </c>
      <c r="E23" s="1469">
        <v>459</v>
      </c>
      <c r="F23" s="1470">
        <v>249</v>
      </c>
      <c r="G23" s="3289">
        <v>2015</v>
      </c>
      <c r="H23" s="1482">
        <v>4</v>
      </c>
      <c r="I23" s="1482">
        <v>1.63</v>
      </c>
      <c r="J23" s="1482">
        <v>1.1100000000000001</v>
      </c>
      <c r="K23" s="1482">
        <v>1.77</v>
      </c>
      <c r="L23" s="1483">
        <v>1.89</v>
      </c>
      <c r="N23" s="1484">
        <f t="shared" si="132"/>
        <v>1.6299999999999999E-2</v>
      </c>
      <c r="O23" s="1485">
        <f t="shared" si="127"/>
        <v>1.11E-2</v>
      </c>
      <c r="P23" s="1485">
        <f t="shared" si="127"/>
        <v>1.77E-2</v>
      </c>
      <c r="Q23" s="1485">
        <f t="shared" si="12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3">B23/(1+N23)</f>
        <v>327.65915576109415</v>
      </c>
      <c r="C24" s="1477">
        <f t="shared" si="133"/>
        <v>273.95905449510434</v>
      </c>
      <c r="D24" s="1477">
        <f t="shared" si="130"/>
        <v>273.95905449510434</v>
      </c>
      <c r="E24" s="1477">
        <f t="shared" ref="E24:F26" si="134">E23/(1+P23)</f>
        <v>451.01699911565294</v>
      </c>
      <c r="F24" s="1477">
        <f t="shared" si="134"/>
        <v>244.38119540681129</v>
      </c>
      <c r="G24" s="3290"/>
      <c r="H24" s="1487">
        <v>3</v>
      </c>
      <c r="I24" s="1487">
        <v>1.65</v>
      </c>
      <c r="J24" s="1487">
        <v>0.92</v>
      </c>
      <c r="K24" s="1487">
        <v>1.88</v>
      </c>
      <c r="L24" s="1488">
        <v>1.26</v>
      </c>
      <c r="N24" s="1472">
        <f t="shared" si="132"/>
        <v>1.6500000000000001E-2</v>
      </c>
      <c r="O24" s="1489">
        <f t="shared" si="127"/>
        <v>9.1999999999999998E-3</v>
      </c>
      <c r="P24" s="1489">
        <f t="shared" si="127"/>
        <v>1.8799999999999997E-2</v>
      </c>
      <c r="Q24" s="1489">
        <f t="shared" si="12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3"/>
        <v>322.34053690220776</v>
      </c>
      <c r="C25" s="1477">
        <f t="shared" si="133"/>
        <v>271.46160770422546</v>
      </c>
      <c r="D25" s="1477">
        <f t="shared" si="130"/>
        <v>271.46160770422546</v>
      </c>
      <c r="E25" s="1477">
        <f t="shared" si="134"/>
        <v>442.69434542172456</v>
      </c>
      <c r="F25" s="1477">
        <f t="shared" si="134"/>
        <v>241.34030753190925</v>
      </c>
      <c r="G25" s="3290"/>
      <c r="H25" s="1465">
        <v>2</v>
      </c>
      <c r="I25" s="1465">
        <v>0.77</v>
      </c>
      <c r="J25" s="1465">
        <v>0.69</v>
      </c>
      <c r="K25" s="1465">
        <v>0.8</v>
      </c>
      <c r="L25" s="1479">
        <v>0.88</v>
      </c>
      <c r="N25" s="1472">
        <f t="shared" si="132"/>
        <v>7.7000000000000002E-3</v>
      </c>
      <c r="O25" s="1489">
        <f t="shared" si="127"/>
        <v>6.8999999999999999E-3</v>
      </c>
      <c r="P25" s="1489">
        <f t="shared" si="127"/>
        <v>8.0000000000000002E-3</v>
      </c>
      <c r="Q25" s="1489">
        <f t="shared" si="12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3"/>
        <v>319.87748030386797</v>
      </c>
      <c r="C26" s="1477">
        <f t="shared" si="133"/>
        <v>269.60135833173649</v>
      </c>
      <c r="D26" s="1477">
        <f t="shared" si="130"/>
        <v>269.60135833173649</v>
      </c>
      <c r="E26" s="1477">
        <f t="shared" si="134"/>
        <v>439.18089823583784</v>
      </c>
      <c r="F26" s="1477">
        <f t="shared" si="134"/>
        <v>239.23503918706311</v>
      </c>
      <c r="G26" s="3291"/>
      <c r="H26" s="1464">
        <v>1</v>
      </c>
      <c r="I26" s="1464">
        <v>0.51</v>
      </c>
      <c r="J26" s="1464">
        <v>0.54</v>
      </c>
      <c r="K26" s="1464">
        <v>0.48</v>
      </c>
      <c r="L26" s="1478">
        <v>0.93</v>
      </c>
      <c r="N26" s="1480">
        <f t="shared" si="132"/>
        <v>5.1000000000000004E-3</v>
      </c>
      <c r="O26" s="1481">
        <f t="shared" si="127"/>
        <v>5.4000000000000003E-3</v>
      </c>
      <c r="P26" s="1481">
        <f t="shared" si="127"/>
        <v>4.7999999999999996E-3</v>
      </c>
      <c r="Q26" s="1481">
        <f t="shared" si="12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0"/>
        <v>268</v>
      </c>
      <c r="E27" s="1490">
        <v>437</v>
      </c>
      <c r="F27" s="1491">
        <v>237</v>
      </c>
      <c r="G27" s="3289">
        <v>2014</v>
      </c>
      <c r="H27" s="1482">
        <v>4</v>
      </c>
      <c r="I27" s="1482">
        <v>0.21</v>
      </c>
      <c r="J27" s="1482">
        <v>0.41</v>
      </c>
      <c r="K27" s="1482">
        <v>0.12</v>
      </c>
      <c r="L27" s="1483">
        <v>0.89</v>
      </c>
      <c r="N27" s="1472">
        <f t="shared" si="132"/>
        <v>2.0999999999999999E-3</v>
      </c>
      <c r="O27" s="1473">
        <f t="shared" si="127"/>
        <v>4.0999999999999995E-3</v>
      </c>
      <c r="P27" s="1473">
        <f t="shared" si="127"/>
        <v>1.1999999999999999E-3</v>
      </c>
      <c r="Q27" s="1473">
        <f t="shared" si="12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5">B27/(1+N27)</f>
        <v>317.33359944117353</v>
      </c>
      <c r="C28" s="1477">
        <f t="shared" si="135"/>
        <v>266.90568668459315</v>
      </c>
      <c r="D28" s="1477">
        <f t="shared" si="130"/>
        <v>266.90568668459315</v>
      </c>
      <c r="E28" s="1477">
        <f t="shared" ref="E28:F30" si="136">E27/(1+P27)</f>
        <v>436.47622852576905</v>
      </c>
      <c r="F28" s="1477">
        <f t="shared" si="136"/>
        <v>234.90930716622066</v>
      </c>
      <c r="G28" s="3290"/>
      <c r="H28" s="1492">
        <v>3</v>
      </c>
      <c r="I28" s="1492">
        <v>0.83</v>
      </c>
      <c r="J28" s="1492">
        <v>1.47</v>
      </c>
      <c r="K28" s="1492">
        <v>0.65</v>
      </c>
      <c r="L28" s="1493">
        <v>0.72</v>
      </c>
      <c r="N28" s="1472">
        <f t="shared" si="132"/>
        <v>8.3000000000000001E-3</v>
      </c>
      <c r="O28" s="1473">
        <f t="shared" si="127"/>
        <v>1.47E-2</v>
      </c>
      <c r="P28" s="1473">
        <f t="shared" si="127"/>
        <v>6.5000000000000006E-3</v>
      </c>
      <c r="Q28" s="1473">
        <f t="shared" si="127"/>
        <v>7.1999999999999998E-3</v>
      </c>
      <c r="R28" s="1474"/>
      <c r="S28" s="1472"/>
      <c r="T28" s="1473"/>
      <c r="U28" s="1473"/>
      <c r="V28" s="1473"/>
      <c r="X28" s="1459">
        <f>ROUND(SUMPRODUCT(PRODUCT(1+N28:N$29)),4)</f>
        <v>1.0325</v>
      </c>
      <c r="Y28" s="1459">
        <f>ROUND(SUMPRODUCT(PRODUCT(1+O28:O$29)),4)</f>
        <v>1.0353000000000001</v>
      </c>
      <c r="Z28" s="1459">
        <f t="shared" ref="Z28:Z29" si="137">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5"/>
        <v>314.72141172386546</v>
      </c>
      <c r="C29" s="1477">
        <f t="shared" si="135"/>
        <v>263.03901319069001</v>
      </c>
      <c r="D29" s="1477">
        <f t="shared" si="130"/>
        <v>263.03901319069001</v>
      </c>
      <c r="E29" s="1477">
        <f t="shared" si="136"/>
        <v>433.65745506782821</v>
      </c>
      <c r="F29" s="1477">
        <f t="shared" si="136"/>
        <v>233.23005080045735</v>
      </c>
      <c r="G29" s="3290"/>
      <c r="H29" s="1482">
        <v>2</v>
      </c>
      <c r="I29" s="1482">
        <v>2.4</v>
      </c>
      <c r="J29" s="1482">
        <v>2.0299999999999998</v>
      </c>
      <c r="K29" s="1482">
        <v>2.59</v>
      </c>
      <c r="L29" s="1483">
        <v>1.52</v>
      </c>
      <c r="N29" s="1472">
        <f t="shared" si="132"/>
        <v>2.4E-2</v>
      </c>
      <c r="O29" s="1473">
        <f t="shared" si="127"/>
        <v>2.0299999999999999E-2</v>
      </c>
      <c r="P29" s="1473">
        <f t="shared" si="127"/>
        <v>2.5899999999999999E-2</v>
      </c>
      <c r="Q29" s="1473">
        <f t="shared" si="127"/>
        <v>1.52E-2</v>
      </c>
      <c r="R29" s="1474"/>
      <c r="S29" s="1472"/>
      <c r="T29" s="1473"/>
      <c r="U29" s="1473"/>
      <c r="V29" s="1473"/>
      <c r="X29" s="1459">
        <f>1+N29</f>
        <v>1.024</v>
      </c>
      <c r="Y29" s="1459">
        <f>1+O29</f>
        <v>1.0203</v>
      </c>
      <c r="Z29" s="1459">
        <f t="shared" si="137"/>
        <v>1.0203</v>
      </c>
      <c r="AA29" s="1459">
        <f>1+P29</f>
        <v>1.0259</v>
      </c>
      <c r="AB29" s="1459">
        <f>1+Q29</f>
        <v>1.0152000000000001</v>
      </c>
      <c r="AD29" s="1460">
        <f>ROUND(AVERAGE(I29:I$30)/100,4)</f>
        <v>2.69E-2</v>
      </c>
      <c r="AE29" s="1460">
        <f>ROUND(AVERAGE(J29:J$30)/100,4)</f>
        <v>2.1899999999999999E-2</v>
      </c>
      <c r="AF29" s="1460">
        <f t="shared" ref="AF29" si="138">AE29</f>
        <v>2.1899999999999999E-2</v>
      </c>
      <c r="AG29" s="1460">
        <f>ROUND(AVERAGE(K29:K$30)/100,4)</f>
        <v>2.9399999999999999E-2</v>
      </c>
      <c r="AH29" s="1460">
        <f>ROUND(AVERAGE(L29:L$30)/100,4)</f>
        <v>1.44E-2</v>
      </c>
    </row>
    <row r="30" spans="1:34" s="1498" customFormat="1" ht="13.5" thickBot="1">
      <c r="A30" s="1494" t="s">
        <v>144</v>
      </c>
      <c r="B30" s="1495">
        <f t="shared" si="135"/>
        <v>307.34512863658733</v>
      </c>
      <c r="C30" s="1495">
        <f t="shared" si="135"/>
        <v>257.80556031626975</v>
      </c>
      <c r="D30" s="1495">
        <f t="shared" si="130"/>
        <v>257.80556031626975</v>
      </c>
      <c r="E30" s="1495">
        <f t="shared" si="136"/>
        <v>422.70928459677179</v>
      </c>
      <c r="F30" s="1495">
        <f t="shared" si="136"/>
        <v>229.73803270336617</v>
      </c>
      <c r="G30" s="3291"/>
      <c r="H30" s="1496">
        <v>1</v>
      </c>
      <c r="I30" s="1496">
        <v>2.97</v>
      </c>
      <c r="J30" s="1496">
        <v>2.34</v>
      </c>
      <c r="K30" s="1496">
        <v>3.28</v>
      </c>
      <c r="L30" s="1497">
        <v>1.36</v>
      </c>
      <c r="N30" s="1499">
        <f t="shared" si="132"/>
        <v>2.9700000000000001E-2</v>
      </c>
      <c r="O30" s="1500">
        <f t="shared" si="127"/>
        <v>2.3399999999999997E-2</v>
      </c>
      <c r="P30" s="1500">
        <f t="shared" si="127"/>
        <v>3.2799999999999996E-2</v>
      </c>
      <c r="Q30" s="1500">
        <f t="shared" si="12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0"/>
        <v>252</v>
      </c>
      <c r="E31" s="1469">
        <v>409</v>
      </c>
      <c r="F31" s="1470">
        <v>227</v>
      </c>
      <c r="G31" s="3296">
        <v>2013</v>
      </c>
      <c r="H31" s="1506">
        <v>4</v>
      </c>
      <c r="I31" s="1506">
        <v>1.83</v>
      </c>
      <c r="J31" s="1506">
        <v>1.68</v>
      </c>
      <c r="K31" s="1506">
        <v>1.97</v>
      </c>
      <c r="L31" s="1507">
        <v>0.87</v>
      </c>
      <c r="N31" s="1484">
        <f t="shared" si="132"/>
        <v>1.83E-2</v>
      </c>
      <c r="O31" s="1485">
        <f t="shared" si="127"/>
        <v>1.6799999999999999E-2</v>
      </c>
      <c r="P31" s="1485">
        <f t="shared" si="127"/>
        <v>1.9699999999999999E-2</v>
      </c>
      <c r="Q31" s="1485">
        <f t="shared" si="127"/>
        <v>8.6999999999999994E-3</v>
      </c>
      <c r="R31" s="1474"/>
      <c r="S31" s="1475"/>
      <c r="T31" s="1476"/>
      <c r="U31" s="1476"/>
      <c r="V31" s="1476"/>
      <c r="X31" s="1476"/>
      <c r="Y31" s="1476"/>
      <c r="Z31" s="1476"/>
    </row>
    <row r="32" spans="1:34">
      <c r="A32" s="1461" t="s">
        <v>1159</v>
      </c>
      <c r="B32" s="1477">
        <f t="shared" ref="B32:C34" si="139">B31/(1+N31)</f>
        <v>293.62663262299913</v>
      </c>
      <c r="C32" s="1477">
        <f t="shared" si="139"/>
        <v>247.83634933123525</v>
      </c>
      <c r="D32" s="1477">
        <f t="shared" si="130"/>
        <v>247.83634933123525</v>
      </c>
      <c r="E32" s="1477">
        <f t="shared" ref="E32:F34" si="140">E31/(1+P31)</f>
        <v>401.09836226341076</v>
      </c>
      <c r="F32" s="1477">
        <f t="shared" si="140"/>
        <v>225.04213343908003</v>
      </c>
      <c r="G32" s="3297"/>
      <c r="H32" s="1487">
        <v>3</v>
      </c>
      <c r="I32" s="1487">
        <v>1.86</v>
      </c>
      <c r="J32" s="1487">
        <v>1.72</v>
      </c>
      <c r="K32" s="1487">
        <v>1.98</v>
      </c>
      <c r="L32" s="1488">
        <v>0.88</v>
      </c>
      <c r="N32" s="1472">
        <f t="shared" si="132"/>
        <v>1.8600000000000002E-2</v>
      </c>
      <c r="O32" s="1489">
        <f t="shared" si="127"/>
        <v>1.72E-2</v>
      </c>
      <c r="P32" s="1489">
        <f t="shared" si="127"/>
        <v>1.9799999999999998E-2</v>
      </c>
      <c r="Q32" s="1489">
        <f t="shared" si="127"/>
        <v>8.8000000000000005E-3</v>
      </c>
      <c r="R32" s="1474"/>
      <c r="S32" s="1472"/>
      <c r="T32" s="1473"/>
      <c r="U32" s="1473"/>
      <c r="V32" s="1473"/>
    </row>
    <row r="33" spans="1:26">
      <c r="A33" s="1461" t="s">
        <v>1160</v>
      </c>
      <c r="B33" s="1477">
        <f t="shared" si="139"/>
        <v>288.2649053828776</v>
      </c>
      <c r="C33" s="1477">
        <f t="shared" si="139"/>
        <v>243.64564425013293</v>
      </c>
      <c r="D33" s="1477">
        <f t="shared" si="130"/>
        <v>243.64564425013293</v>
      </c>
      <c r="E33" s="1477">
        <f t="shared" si="140"/>
        <v>393.31080825986544</v>
      </c>
      <c r="F33" s="1477">
        <f t="shared" si="140"/>
        <v>223.07903790551154</v>
      </c>
      <c r="G33" s="3297"/>
      <c r="H33" s="1465">
        <v>2</v>
      </c>
      <c r="I33" s="1465">
        <v>2.04</v>
      </c>
      <c r="J33" s="1465">
        <v>2.33</v>
      </c>
      <c r="K33" s="1465">
        <v>2.0699999999999998</v>
      </c>
      <c r="L33" s="1479">
        <v>0.69</v>
      </c>
      <c r="N33" s="1472">
        <f t="shared" si="132"/>
        <v>2.0400000000000001E-2</v>
      </c>
      <c r="O33" s="1489">
        <f t="shared" si="127"/>
        <v>2.3300000000000001E-2</v>
      </c>
      <c r="P33" s="1489">
        <f t="shared" si="127"/>
        <v>2.07E-2</v>
      </c>
      <c r="Q33" s="1489">
        <f t="shared" si="127"/>
        <v>6.8999999999999999E-3</v>
      </c>
      <c r="R33" s="1474"/>
      <c r="S33" s="1472"/>
      <c r="T33" s="1473"/>
      <c r="U33" s="1473"/>
      <c r="V33" s="1473"/>
      <c r="X33" s="1508"/>
      <c r="Y33" s="1509"/>
    </row>
    <row r="34" spans="1:26">
      <c r="A34" s="1461" t="s">
        <v>1161</v>
      </c>
      <c r="B34" s="1477">
        <f t="shared" si="139"/>
        <v>282.50186729015837</v>
      </c>
      <c r="C34" s="1477">
        <f t="shared" si="139"/>
        <v>238.09796174155468</v>
      </c>
      <c r="D34" s="1477">
        <f t="shared" si="130"/>
        <v>238.09796174155468</v>
      </c>
      <c r="E34" s="1477">
        <f t="shared" si="140"/>
        <v>385.33438646014054</v>
      </c>
      <c r="F34" s="1477">
        <f t="shared" si="140"/>
        <v>221.55034055567739</v>
      </c>
      <c r="G34" s="3298"/>
      <c r="H34" s="1464">
        <v>1</v>
      </c>
      <c r="I34" s="1464">
        <v>1.67</v>
      </c>
      <c r="J34" s="1464">
        <v>1.31</v>
      </c>
      <c r="K34" s="1464">
        <v>1.85</v>
      </c>
      <c r="L34" s="1478">
        <v>0.96</v>
      </c>
      <c r="N34" s="1480">
        <f t="shared" si="132"/>
        <v>1.67E-2</v>
      </c>
      <c r="O34" s="1481">
        <f t="shared" si="132"/>
        <v>1.3100000000000001E-2</v>
      </c>
      <c r="P34" s="1481">
        <f t="shared" si="132"/>
        <v>1.8500000000000003E-2</v>
      </c>
      <c r="Q34" s="1481">
        <f t="shared" si="132"/>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0"/>
        <v>234</v>
      </c>
      <c r="E35" s="1511">
        <v>379</v>
      </c>
      <c r="F35" s="1512">
        <v>220</v>
      </c>
      <c r="G35" s="3289">
        <v>2012</v>
      </c>
      <c r="H35" s="1482">
        <v>4</v>
      </c>
      <c r="I35" s="1482">
        <v>0.91</v>
      </c>
      <c r="J35" s="1482">
        <v>0.68</v>
      </c>
      <c r="K35" s="1482">
        <v>0.98</v>
      </c>
      <c r="L35" s="1483">
        <v>0.9</v>
      </c>
      <c r="N35" s="1472">
        <f t="shared" si="132"/>
        <v>9.1000000000000004E-3</v>
      </c>
      <c r="O35" s="1473">
        <f t="shared" si="132"/>
        <v>6.8000000000000005E-3</v>
      </c>
      <c r="P35" s="1473">
        <f t="shared" si="132"/>
        <v>9.7999999999999997E-3</v>
      </c>
      <c r="Q35" s="1473">
        <f t="shared" si="132"/>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0"/>
        <v>232.41954707985698</v>
      </c>
      <c r="E36" s="1477">
        <f t="shared" ref="E36:F38" si="141">E35/(1+P35)</f>
        <v>375.32184591008121</v>
      </c>
      <c r="F36" s="1477">
        <f t="shared" si="141"/>
        <v>218.03766105054513</v>
      </c>
      <c r="G36" s="3290"/>
      <c r="H36" s="1487">
        <v>3</v>
      </c>
      <c r="I36" s="1487">
        <v>0.09</v>
      </c>
      <c r="J36" s="1487">
        <v>0.28999999999999998</v>
      </c>
      <c r="K36" s="1487">
        <v>-0.01</v>
      </c>
      <c r="L36" s="1488">
        <v>0.57999999999999996</v>
      </c>
      <c r="N36" s="1472">
        <f t="shared" si="132"/>
        <v>8.9999999999999998E-4</v>
      </c>
      <c r="O36" s="1473">
        <f t="shared" si="132"/>
        <v>2.8999999999999998E-3</v>
      </c>
      <c r="P36" s="1473">
        <f t="shared" si="132"/>
        <v>-1E-4</v>
      </c>
      <c r="Q36" s="1473">
        <f t="shared" si="132"/>
        <v>5.7999999999999996E-3</v>
      </c>
      <c r="R36" s="1474"/>
      <c r="S36" s="1472"/>
      <c r="T36" s="1473"/>
      <c r="U36" s="1473"/>
      <c r="V36" s="1473"/>
    </row>
    <row r="37" spans="1:26">
      <c r="A37" s="1461" t="s">
        <v>1164</v>
      </c>
      <c r="B37" s="1477">
        <f>B36/(1+N36)</f>
        <v>275.24529281292263</v>
      </c>
      <c r="C37" s="1477">
        <f>C36/(1+O36)</f>
        <v>231.74747938962707</v>
      </c>
      <c r="D37" s="1477">
        <f t="shared" si="130"/>
        <v>231.74747938962707</v>
      </c>
      <c r="E37" s="1477">
        <f t="shared" si="141"/>
        <v>375.35938184826603</v>
      </c>
      <c r="F37" s="1477">
        <f t="shared" si="141"/>
        <v>216.78033510692495</v>
      </c>
      <c r="G37" s="3290"/>
      <c r="H37" s="1465">
        <v>2</v>
      </c>
      <c r="I37" s="1465">
        <v>0.02</v>
      </c>
      <c r="J37" s="1465">
        <v>0.12</v>
      </c>
      <c r="K37" s="1465">
        <v>-0.08</v>
      </c>
      <c r="L37" s="1479">
        <v>1.24</v>
      </c>
      <c r="N37" s="1472">
        <f t="shared" si="132"/>
        <v>2.0000000000000001E-4</v>
      </c>
      <c r="O37" s="1473">
        <f t="shared" si="132"/>
        <v>1.1999999999999999E-3</v>
      </c>
      <c r="P37" s="1473">
        <f t="shared" si="132"/>
        <v>-8.0000000000000004E-4</v>
      </c>
      <c r="Q37" s="1473">
        <f t="shared" si="132"/>
        <v>1.24E-2</v>
      </c>
      <c r="R37" s="1474"/>
      <c r="S37" s="1472"/>
      <c r="T37" s="1473"/>
      <c r="U37" s="1473"/>
      <c r="V37" s="1473"/>
    </row>
    <row r="38" spans="1:26" ht="13.5" thickBot="1">
      <c r="A38" s="1461" t="s">
        <v>1165</v>
      </c>
      <c r="B38" s="1477">
        <f>B37/(1+N37)</f>
        <v>275.19025476197027</v>
      </c>
      <c r="C38" s="1513">
        <v>232</v>
      </c>
      <c r="D38" s="1513">
        <f t="shared" si="130"/>
        <v>232</v>
      </c>
      <c r="E38" s="1477">
        <f t="shared" si="141"/>
        <v>375.65990977608692</v>
      </c>
      <c r="F38" s="1477">
        <f t="shared" si="141"/>
        <v>214.12518283971252</v>
      </c>
      <c r="G38" s="3291"/>
      <c r="H38" s="1464">
        <v>1</v>
      </c>
      <c r="I38" s="1464">
        <v>0.02</v>
      </c>
      <c r="J38" s="1464">
        <v>0.13</v>
      </c>
      <c r="K38" s="1464">
        <v>-0.04</v>
      </c>
      <c r="L38" s="1478">
        <v>0.46</v>
      </c>
      <c r="N38" s="1472">
        <f t="shared" si="132"/>
        <v>2.0000000000000001E-4</v>
      </c>
      <c r="O38" s="1473">
        <f t="shared" si="132"/>
        <v>1.2999999999999999E-3</v>
      </c>
      <c r="P38" s="1473">
        <f t="shared" si="132"/>
        <v>-4.0000000000000002E-4</v>
      </c>
      <c r="Q38" s="1473">
        <f t="shared" si="132"/>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0"/>
        <v>232</v>
      </c>
      <c r="E39" s="1469">
        <v>376</v>
      </c>
      <c r="F39" s="1470">
        <v>213</v>
      </c>
      <c r="G39" s="3289">
        <v>2011</v>
      </c>
      <c r="H39" s="1482">
        <v>4</v>
      </c>
      <c r="I39" s="1482">
        <v>-0.2</v>
      </c>
      <c r="J39" s="1482">
        <v>0.04</v>
      </c>
      <c r="K39" s="1482">
        <v>-0.34</v>
      </c>
      <c r="L39" s="1483">
        <v>0.46</v>
      </c>
      <c r="N39" s="1484">
        <f t="shared" si="132"/>
        <v>-2E-3</v>
      </c>
      <c r="O39" s="1485">
        <f t="shared" si="132"/>
        <v>4.0000000000000002E-4</v>
      </c>
      <c r="P39" s="1485">
        <f t="shared" si="132"/>
        <v>-3.4000000000000002E-3</v>
      </c>
      <c r="Q39" s="1485">
        <f t="shared" si="132"/>
        <v>4.5999999999999999E-3</v>
      </c>
      <c r="R39" s="1474"/>
      <c r="S39" s="1475"/>
      <c r="T39" s="1476"/>
      <c r="U39" s="1476"/>
      <c r="V39" s="1476"/>
      <c r="X39" s="1476"/>
      <c r="Y39" s="1476"/>
      <c r="Z39" s="1476"/>
    </row>
    <row r="40" spans="1:26">
      <c r="A40" s="1461" t="s">
        <v>1167</v>
      </c>
      <c r="B40" s="1477">
        <f t="shared" ref="B40:C42" si="142">B39/(1+N39)</f>
        <v>275.55110220440883</v>
      </c>
      <c r="C40" s="1477">
        <f t="shared" si="142"/>
        <v>231.90723710515795</v>
      </c>
      <c r="D40" s="1477">
        <f t="shared" si="130"/>
        <v>231.90723710515795</v>
      </c>
      <c r="E40" s="1477">
        <f t="shared" ref="E40:F42" si="143">E39/(1+P39)</f>
        <v>377.28276138872161</v>
      </c>
      <c r="F40" s="1477">
        <f t="shared" si="143"/>
        <v>212.02468644236512</v>
      </c>
      <c r="G40" s="3290">
        <v>2011</v>
      </c>
      <c r="H40" s="1487">
        <v>3</v>
      </c>
      <c r="I40" s="1487">
        <v>0.13</v>
      </c>
      <c r="J40" s="1487">
        <v>0.75</v>
      </c>
      <c r="K40" s="1487">
        <v>-0.08</v>
      </c>
      <c r="L40" s="1488">
        <v>0.53</v>
      </c>
      <c r="N40" s="1472">
        <f t="shared" si="132"/>
        <v>1.2999999999999999E-3</v>
      </c>
      <c r="O40" s="1489">
        <f t="shared" si="132"/>
        <v>7.4999999999999997E-3</v>
      </c>
      <c r="P40" s="1489">
        <f t="shared" si="132"/>
        <v>-8.0000000000000004E-4</v>
      </c>
      <c r="Q40" s="1489">
        <f t="shared" si="132"/>
        <v>5.3E-3</v>
      </c>
      <c r="R40" s="1474"/>
      <c r="S40" s="1472"/>
      <c r="T40" s="1473"/>
      <c r="U40" s="1473"/>
      <c r="V40" s="1473"/>
    </row>
    <row r="41" spans="1:26">
      <c r="A41" s="1461" t="s">
        <v>1168</v>
      </c>
      <c r="B41" s="1477">
        <f t="shared" si="142"/>
        <v>275.19335084830601</v>
      </c>
      <c r="C41" s="1477">
        <f t="shared" si="142"/>
        <v>230.18088050139744</v>
      </c>
      <c r="D41" s="1477">
        <f t="shared" si="130"/>
        <v>230.18088050139744</v>
      </c>
      <c r="E41" s="1477">
        <f t="shared" si="143"/>
        <v>377.58482925212331</v>
      </c>
      <c r="F41" s="1477">
        <f t="shared" si="143"/>
        <v>210.90687997847917</v>
      </c>
      <c r="G41" s="3290">
        <v>2011</v>
      </c>
      <c r="H41" s="1465">
        <v>2</v>
      </c>
      <c r="I41" s="1465">
        <v>-0.4</v>
      </c>
      <c r="J41" s="1465">
        <v>0.17</v>
      </c>
      <c r="K41" s="1465">
        <v>-0.57999999999999996</v>
      </c>
      <c r="L41" s="1479">
        <v>-0.2</v>
      </c>
      <c r="N41" s="1472">
        <f t="shared" si="132"/>
        <v>-4.0000000000000001E-3</v>
      </c>
      <c r="O41" s="1489">
        <f t="shared" si="132"/>
        <v>1.7000000000000001E-3</v>
      </c>
      <c r="P41" s="1489">
        <f t="shared" si="132"/>
        <v>-5.7999999999999996E-3</v>
      </c>
      <c r="Q41" s="1489">
        <f t="shared" si="132"/>
        <v>-2E-3</v>
      </c>
      <c r="R41" s="1474"/>
      <c r="S41" s="1472"/>
      <c r="T41" s="1473"/>
      <c r="U41" s="1473"/>
      <c r="V41" s="1473"/>
    </row>
    <row r="42" spans="1:26" ht="13.5" thickBot="1">
      <c r="A42" s="1461" t="s">
        <v>1169</v>
      </c>
      <c r="B42" s="1477">
        <f t="shared" si="142"/>
        <v>276.29854502841971</v>
      </c>
      <c r="C42" s="1477">
        <f t="shared" si="142"/>
        <v>229.79023709833027</v>
      </c>
      <c r="D42" s="1477">
        <f t="shared" si="130"/>
        <v>229.79023709833027</v>
      </c>
      <c r="E42" s="1477">
        <f t="shared" si="143"/>
        <v>379.78759731655936</v>
      </c>
      <c r="F42" s="1477">
        <f t="shared" si="143"/>
        <v>211.32953905659235</v>
      </c>
      <c r="G42" s="3291">
        <v>2011</v>
      </c>
      <c r="H42" s="1464">
        <v>1</v>
      </c>
      <c r="I42" s="1464">
        <v>2.65</v>
      </c>
      <c r="J42" s="1464">
        <v>3.76</v>
      </c>
      <c r="K42" s="1464">
        <v>1.89</v>
      </c>
      <c r="L42" s="1478">
        <v>7.95</v>
      </c>
      <c r="N42" s="1480">
        <f t="shared" si="132"/>
        <v>2.6499999999999999E-2</v>
      </c>
      <c r="O42" s="1481">
        <f t="shared" si="132"/>
        <v>3.7599999999999995E-2</v>
      </c>
      <c r="P42" s="1481">
        <f t="shared" si="132"/>
        <v>1.89E-2</v>
      </c>
      <c r="Q42" s="1481">
        <f t="shared" si="132"/>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0"/>
        <v>221</v>
      </c>
      <c r="E43" s="1469">
        <v>373</v>
      </c>
      <c r="F43" s="1470">
        <v>196</v>
      </c>
      <c r="G43" s="3289">
        <v>2010</v>
      </c>
      <c r="H43" s="1482">
        <v>4</v>
      </c>
      <c r="I43" s="1482">
        <v>5.72</v>
      </c>
      <c r="J43" s="1482">
        <v>6.57</v>
      </c>
      <c r="K43" s="1482">
        <v>5.72</v>
      </c>
      <c r="L43" s="1483">
        <v>2.72</v>
      </c>
      <c r="N43" s="1472">
        <f t="shared" si="132"/>
        <v>5.7200000000000001E-2</v>
      </c>
      <c r="O43" s="1473">
        <f t="shared" si="132"/>
        <v>6.5700000000000008E-2</v>
      </c>
      <c r="P43" s="1473">
        <f t="shared" si="132"/>
        <v>5.7200000000000001E-2</v>
      </c>
      <c r="Q43" s="1473">
        <f t="shared" si="132"/>
        <v>2.7200000000000002E-2</v>
      </c>
      <c r="R43" s="1474"/>
      <c r="S43" s="1475"/>
      <c r="T43" s="1476"/>
      <c r="U43" s="1476"/>
      <c r="V43" s="1476"/>
      <c r="X43" s="1476"/>
      <c r="Y43" s="1476"/>
      <c r="Z43" s="1476"/>
    </row>
    <row r="44" spans="1:26">
      <c r="A44" s="1461" t="s">
        <v>1171</v>
      </c>
      <c r="B44" s="1477">
        <f t="shared" ref="B44:C46" si="144">B43/(1+N43)</f>
        <v>254.44570563753314</v>
      </c>
      <c r="C44" s="1477">
        <f t="shared" si="144"/>
        <v>207.37543398705074</v>
      </c>
      <c r="D44" s="1477">
        <f t="shared" si="130"/>
        <v>207.37543398705074</v>
      </c>
      <c r="E44" s="1477">
        <f t="shared" ref="E44:F46" si="145">E43/(1+P43)</f>
        <v>352.81876655315932</v>
      </c>
      <c r="F44" s="1477">
        <f t="shared" si="145"/>
        <v>190.809968847352</v>
      </c>
      <c r="G44" s="3290">
        <v>2010</v>
      </c>
      <c r="H44" s="1487">
        <v>3</v>
      </c>
      <c r="I44" s="1487">
        <v>4.7300000000000004</v>
      </c>
      <c r="J44" s="1487">
        <v>3.9</v>
      </c>
      <c r="K44" s="1487">
        <v>5.03</v>
      </c>
      <c r="L44" s="1488">
        <v>4.21</v>
      </c>
      <c r="N44" s="1472">
        <f t="shared" si="132"/>
        <v>4.7300000000000002E-2</v>
      </c>
      <c r="O44" s="1473">
        <f t="shared" si="132"/>
        <v>3.9E-2</v>
      </c>
      <c r="P44" s="1473">
        <f t="shared" si="132"/>
        <v>5.0300000000000004E-2</v>
      </c>
      <c r="Q44" s="1473">
        <f t="shared" si="132"/>
        <v>4.2099999999999999E-2</v>
      </c>
      <c r="R44" s="1474"/>
      <c r="S44" s="1472"/>
      <c r="T44" s="1473"/>
      <c r="U44" s="1473"/>
      <c r="V44" s="1473"/>
    </row>
    <row r="45" spans="1:26">
      <c r="A45" s="1461" t="s">
        <v>1172</v>
      </c>
      <c r="B45" s="1477">
        <f t="shared" si="144"/>
        <v>242.95398227588385</v>
      </c>
      <c r="C45" s="1477">
        <f t="shared" si="144"/>
        <v>199.59137053614126</v>
      </c>
      <c r="D45" s="1477">
        <f t="shared" si="130"/>
        <v>199.59137053614126</v>
      </c>
      <c r="E45" s="1477">
        <f t="shared" si="145"/>
        <v>335.92189522342125</v>
      </c>
      <c r="F45" s="1477">
        <f t="shared" si="145"/>
        <v>183.10139991109489</v>
      </c>
      <c r="G45" s="3290">
        <v>2010</v>
      </c>
      <c r="H45" s="1465">
        <v>2</v>
      </c>
      <c r="I45" s="1465">
        <v>4.6900000000000004</v>
      </c>
      <c r="J45" s="1465">
        <v>3.55</v>
      </c>
      <c r="K45" s="1465">
        <v>5.07</v>
      </c>
      <c r="L45" s="1479">
        <v>4.2300000000000004</v>
      </c>
      <c r="N45" s="1472">
        <f t="shared" si="132"/>
        <v>4.6900000000000004E-2</v>
      </c>
      <c r="O45" s="1473">
        <f t="shared" si="132"/>
        <v>3.5499999999999997E-2</v>
      </c>
      <c r="P45" s="1473">
        <f t="shared" si="132"/>
        <v>5.0700000000000002E-2</v>
      </c>
      <c r="Q45" s="1473">
        <f t="shared" si="132"/>
        <v>4.2300000000000004E-2</v>
      </c>
      <c r="R45" s="1474"/>
      <c r="S45" s="1472"/>
      <c r="T45" s="1473"/>
      <c r="U45" s="1473"/>
      <c r="V45" s="1473"/>
    </row>
    <row r="46" spans="1:26" ht="13.5" thickBot="1">
      <c r="A46" s="1461" t="s">
        <v>1173</v>
      </c>
      <c r="B46" s="1477">
        <f t="shared" si="144"/>
        <v>232.06990378821649</v>
      </c>
      <c r="C46" s="1477">
        <f t="shared" si="144"/>
        <v>192.74878854286936</v>
      </c>
      <c r="D46" s="1477">
        <f t="shared" si="130"/>
        <v>192.74878854286936</v>
      </c>
      <c r="E46" s="1477">
        <f t="shared" si="145"/>
        <v>319.71247284992984</v>
      </c>
      <c r="F46" s="1477">
        <f t="shared" si="145"/>
        <v>175.67053622862409</v>
      </c>
      <c r="G46" s="3291">
        <v>2010</v>
      </c>
      <c r="H46" s="1464">
        <v>1</v>
      </c>
      <c r="I46" s="1464">
        <v>5.4</v>
      </c>
      <c r="J46" s="1464">
        <v>3.2</v>
      </c>
      <c r="K46" s="1464">
        <v>6.16</v>
      </c>
      <c r="L46" s="1478">
        <v>4.51</v>
      </c>
      <c r="N46" s="1472">
        <f t="shared" si="132"/>
        <v>5.4000000000000006E-2</v>
      </c>
      <c r="O46" s="1473">
        <f t="shared" si="132"/>
        <v>3.2000000000000001E-2</v>
      </c>
      <c r="P46" s="1473">
        <f t="shared" si="132"/>
        <v>6.1600000000000002E-2</v>
      </c>
      <c r="Q46" s="1473">
        <f t="shared" si="132"/>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0"/>
        <v>187</v>
      </c>
      <c r="E47" s="1469">
        <v>301</v>
      </c>
      <c r="F47" s="1470">
        <v>168</v>
      </c>
      <c r="G47" s="3289">
        <v>2009</v>
      </c>
      <c r="H47" s="1482">
        <v>4</v>
      </c>
      <c r="I47" s="1482">
        <v>2.2999999999999998</v>
      </c>
      <c r="J47" s="1482">
        <v>1.04</v>
      </c>
      <c r="K47" s="1482">
        <v>2.84</v>
      </c>
      <c r="L47" s="1483">
        <v>0.67</v>
      </c>
      <c r="N47" s="1484">
        <f t="shared" si="132"/>
        <v>2.3E-2</v>
      </c>
      <c r="O47" s="1485">
        <f t="shared" si="132"/>
        <v>1.04E-2</v>
      </c>
      <c r="P47" s="1485">
        <f t="shared" si="132"/>
        <v>2.8399999999999998E-2</v>
      </c>
      <c r="Q47" s="1485">
        <f t="shared" si="132"/>
        <v>6.7000000000000002E-3</v>
      </c>
      <c r="R47" s="1474"/>
      <c r="S47" s="1475"/>
      <c r="T47" s="1476"/>
      <c r="U47" s="1476"/>
      <c r="V47" s="1476"/>
      <c r="X47" s="1476"/>
      <c r="Y47" s="1476"/>
      <c r="Z47" s="1476"/>
    </row>
    <row r="48" spans="1:26">
      <c r="A48" s="1461" t="s">
        <v>1175</v>
      </c>
      <c r="B48" s="1477">
        <f t="shared" ref="B48:C50" si="146">B47/(1+N47)</f>
        <v>215.05376344086022</v>
      </c>
      <c r="C48" s="1477">
        <f t="shared" si="146"/>
        <v>185.0752177355503</v>
      </c>
      <c r="D48" s="1477">
        <f t="shared" si="130"/>
        <v>185.0752177355503</v>
      </c>
      <c r="E48" s="1477">
        <f t="shared" ref="E48:F50" si="147">E47/(1+P47)</f>
        <v>292.68767016725008</v>
      </c>
      <c r="F48" s="1477">
        <f t="shared" si="147"/>
        <v>166.88189132810174</v>
      </c>
      <c r="G48" s="3290">
        <v>2009</v>
      </c>
      <c r="H48" s="1487">
        <v>3</v>
      </c>
      <c r="I48" s="1487">
        <v>2.1</v>
      </c>
      <c r="J48" s="1487">
        <v>1.86</v>
      </c>
      <c r="K48" s="1487">
        <v>2.29</v>
      </c>
      <c r="L48" s="1488">
        <v>0.85</v>
      </c>
      <c r="N48" s="1472">
        <f t="shared" si="132"/>
        <v>2.1000000000000001E-2</v>
      </c>
      <c r="O48" s="1489">
        <f t="shared" si="132"/>
        <v>1.8600000000000002E-2</v>
      </c>
      <c r="P48" s="1489">
        <f t="shared" si="132"/>
        <v>2.29E-2</v>
      </c>
      <c r="Q48" s="1489">
        <f t="shared" si="132"/>
        <v>8.5000000000000006E-3</v>
      </c>
      <c r="R48" s="1474"/>
      <c r="S48" s="1472"/>
      <c r="T48" s="1473"/>
      <c r="U48" s="1473"/>
      <c r="V48" s="1473"/>
    </row>
    <row r="49" spans="1:26">
      <c r="A49" s="1461" t="s">
        <v>1176</v>
      </c>
      <c r="B49" s="1477">
        <f t="shared" si="146"/>
        <v>210.630522469011</v>
      </c>
      <c r="C49" s="1477">
        <f t="shared" si="146"/>
        <v>181.69567812247232</v>
      </c>
      <c r="D49" s="1477">
        <f t="shared" si="130"/>
        <v>181.69567812247232</v>
      </c>
      <c r="E49" s="1477">
        <f t="shared" si="147"/>
        <v>286.13517466736738</v>
      </c>
      <c r="F49" s="1477">
        <f t="shared" si="147"/>
        <v>165.47535084591149</v>
      </c>
      <c r="G49" s="3290">
        <v>2009</v>
      </c>
      <c r="H49" s="1465">
        <v>2</v>
      </c>
      <c r="I49" s="1465">
        <v>0.86</v>
      </c>
      <c r="J49" s="1465">
        <v>-1.1299999999999999</v>
      </c>
      <c r="K49" s="1465">
        <v>1.79</v>
      </c>
      <c r="L49" s="1479">
        <v>-2.0699999999999998</v>
      </c>
      <c r="N49" s="1472">
        <f t="shared" si="132"/>
        <v>8.6E-3</v>
      </c>
      <c r="O49" s="1489">
        <f t="shared" si="132"/>
        <v>-1.1299999999999999E-2</v>
      </c>
      <c r="P49" s="1489">
        <f t="shared" si="132"/>
        <v>1.7899999999999999E-2</v>
      </c>
      <c r="Q49" s="1489">
        <f t="shared" si="132"/>
        <v>-2.07E-2</v>
      </c>
      <c r="R49" s="1474"/>
      <c r="S49" s="1472"/>
      <c r="T49" s="1473"/>
      <c r="U49" s="1473"/>
      <c r="V49" s="1473"/>
    </row>
    <row r="50" spans="1:26">
      <c r="A50" s="1461" t="s">
        <v>1177</v>
      </c>
      <c r="B50" s="1477">
        <f t="shared" si="146"/>
        <v>208.83454537875372</v>
      </c>
      <c r="C50" s="1477">
        <f t="shared" si="146"/>
        <v>183.77230517090351</v>
      </c>
      <c r="D50" s="1477">
        <f t="shared" si="130"/>
        <v>183.77230517090351</v>
      </c>
      <c r="E50" s="1477">
        <f t="shared" si="147"/>
        <v>281.10342338870947</v>
      </c>
      <c r="F50" s="1477">
        <f t="shared" si="147"/>
        <v>168.97309388942256</v>
      </c>
      <c r="G50" s="3291">
        <v>2009</v>
      </c>
      <c r="H50" s="1464">
        <v>1</v>
      </c>
      <c r="I50" s="1464">
        <v>-2.64</v>
      </c>
      <c r="J50" s="1464">
        <v>-2.5299999999999998</v>
      </c>
      <c r="K50" s="1464">
        <v>-3.02</v>
      </c>
      <c r="L50" s="1478">
        <v>1.52</v>
      </c>
      <c r="N50" s="1480">
        <f t="shared" si="132"/>
        <v>-2.64E-2</v>
      </c>
      <c r="O50" s="1481">
        <f t="shared" si="132"/>
        <v>-2.53E-2</v>
      </c>
      <c r="P50" s="1481">
        <f t="shared" si="132"/>
        <v>-3.0200000000000001E-2</v>
      </c>
      <c r="Q50" s="1481">
        <f t="shared" si="132"/>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0"/>
        <v>188</v>
      </c>
      <c r="E51" s="1511">
        <v>289</v>
      </c>
      <c r="F51" s="1512">
        <v>166</v>
      </c>
      <c r="G51" s="3289">
        <v>2008</v>
      </c>
      <c r="H51" s="1482">
        <v>4</v>
      </c>
      <c r="I51" s="1482">
        <v>1.73</v>
      </c>
      <c r="J51" s="1482">
        <v>0.03</v>
      </c>
      <c r="K51" s="1482">
        <v>2.59</v>
      </c>
      <c r="L51" s="1483">
        <v>-1.66</v>
      </c>
      <c r="N51" s="1472">
        <f t="shared" si="132"/>
        <v>1.7299999999999999E-2</v>
      </c>
      <c r="O51" s="1473">
        <f t="shared" si="132"/>
        <v>2.9999999999999997E-4</v>
      </c>
      <c r="P51" s="1473">
        <f t="shared" si="132"/>
        <v>2.5899999999999999E-2</v>
      </c>
      <c r="Q51" s="1473">
        <f t="shared" si="132"/>
        <v>-1.66E-2</v>
      </c>
      <c r="R51" s="1474"/>
      <c r="S51" s="1475"/>
      <c r="T51" s="1476"/>
      <c r="U51" s="1476"/>
      <c r="V51" s="1476"/>
      <c r="X51" s="1476"/>
      <c r="Y51" s="1476"/>
      <c r="Z51" s="1476"/>
    </row>
    <row r="52" spans="1:26">
      <c r="A52" s="1461" t="s">
        <v>1179</v>
      </c>
      <c r="B52" s="1477">
        <f t="shared" ref="B52:C54" si="148">B51/(1+N51)</f>
        <v>210.36075887152265</v>
      </c>
      <c r="C52" s="1477">
        <f t="shared" si="148"/>
        <v>187.94361691492554</v>
      </c>
      <c r="D52" s="1477">
        <f t="shared" si="130"/>
        <v>187.94361691492554</v>
      </c>
      <c r="E52" s="1477">
        <f t="shared" ref="E52:F54" si="149">E51/(1+P51)</f>
        <v>281.70386977288234</v>
      </c>
      <c r="F52" s="1477">
        <f t="shared" si="149"/>
        <v>168.80211511083994</v>
      </c>
      <c r="G52" s="3290">
        <v>2008</v>
      </c>
      <c r="H52" s="1487">
        <v>3</v>
      </c>
      <c r="I52" s="1487">
        <v>1.96</v>
      </c>
      <c r="J52" s="1487">
        <v>2.36</v>
      </c>
      <c r="K52" s="1487">
        <v>1.82</v>
      </c>
      <c r="L52" s="1488">
        <v>2.2200000000000002</v>
      </c>
      <c r="N52" s="1472">
        <f t="shared" si="132"/>
        <v>1.9599999999999999E-2</v>
      </c>
      <c r="O52" s="1473">
        <f t="shared" si="132"/>
        <v>2.3599999999999999E-2</v>
      </c>
      <c r="P52" s="1473">
        <f t="shared" si="132"/>
        <v>1.8200000000000001E-2</v>
      </c>
      <c r="Q52" s="1473">
        <f t="shared" si="132"/>
        <v>2.2200000000000001E-2</v>
      </c>
      <c r="R52" s="1474"/>
      <c r="S52" s="1472"/>
      <c r="T52" s="1473"/>
      <c r="U52" s="1473"/>
      <c r="V52" s="1473"/>
    </row>
    <row r="53" spans="1:26">
      <c r="A53" s="1461" t="s">
        <v>1180</v>
      </c>
      <c r="B53" s="1477">
        <f t="shared" si="148"/>
        <v>206.31694671589116</v>
      </c>
      <c r="C53" s="1477">
        <f t="shared" si="148"/>
        <v>183.61041121036101</v>
      </c>
      <c r="D53" s="1477">
        <f t="shared" si="130"/>
        <v>183.61041121036101</v>
      </c>
      <c r="E53" s="1477">
        <f t="shared" si="149"/>
        <v>276.66850301795557</v>
      </c>
      <c r="F53" s="1477">
        <f t="shared" si="149"/>
        <v>165.1360938278614</v>
      </c>
      <c r="G53" s="3290">
        <v>2008</v>
      </c>
      <c r="H53" s="1465">
        <v>2</v>
      </c>
      <c r="I53" s="1465">
        <v>4.93</v>
      </c>
      <c r="J53" s="1465">
        <v>7.38</v>
      </c>
      <c r="K53" s="1465">
        <v>3.98</v>
      </c>
      <c r="L53" s="1479">
        <v>6.86</v>
      </c>
      <c r="N53" s="1472">
        <f t="shared" si="132"/>
        <v>4.9299999999999997E-2</v>
      </c>
      <c r="O53" s="1473">
        <f t="shared" si="132"/>
        <v>7.3800000000000004E-2</v>
      </c>
      <c r="P53" s="1473">
        <f t="shared" si="132"/>
        <v>3.9800000000000002E-2</v>
      </c>
      <c r="Q53" s="1473">
        <f t="shared" si="132"/>
        <v>6.8600000000000008E-2</v>
      </c>
      <c r="R53" s="1474"/>
      <c r="S53" s="1472"/>
      <c r="T53" s="1473"/>
      <c r="U53" s="1473"/>
      <c r="V53" s="1473"/>
    </row>
    <row r="54" spans="1:26" s="1517" customFormat="1" ht="13.5" thickBot="1">
      <c r="A54" s="1461" t="s">
        <v>1181</v>
      </c>
      <c r="B54" s="1514">
        <f t="shared" si="148"/>
        <v>196.62341248059772</v>
      </c>
      <c r="C54" s="1514">
        <f t="shared" si="148"/>
        <v>170.99125648199012</v>
      </c>
      <c r="D54" s="1514">
        <f t="shared" si="130"/>
        <v>170.99125648199012</v>
      </c>
      <c r="E54" s="1514">
        <f t="shared" si="149"/>
        <v>266.07857570490052</v>
      </c>
      <c r="F54" s="1514">
        <f t="shared" si="149"/>
        <v>154.53499328828505</v>
      </c>
      <c r="G54" s="3291">
        <v>2008</v>
      </c>
      <c r="H54" s="1515">
        <v>1</v>
      </c>
      <c r="I54" s="1515">
        <v>4.1399999999999997</v>
      </c>
      <c r="J54" s="1515">
        <v>3.45</v>
      </c>
      <c r="K54" s="1515">
        <v>4.95</v>
      </c>
      <c r="L54" s="1516">
        <v>4.82</v>
      </c>
      <c r="N54" s="1518">
        <f t="shared" si="132"/>
        <v>4.1399999999999999E-2</v>
      </c>
      <c r="O54" s="1519">
        <f t="shared" si="132"/>
        <v>3.4500000000000003E-2</v>
      </c>
      <c r="P54" s="1519">
        <f t="shared" si="132"/>
        <v>4.9500000000000002E-2</v>
      </c>
      <c r="Q54" s="1519">
        <f t="shared" si="132"/>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0"/>
        <v>165</v>
      </c>
      <c r="E55" s="1469">
        <v>254</v>
      </c>
      <c r="F55" s="1470">
        <v>148</v>
      </c>
      <c r="G55" s="3289">
        <v>2007</v>
      </c>
      <c r="H55" s="1522">
        <v>4</v>
      </c>
      <c r="I55" s="1522">
        <v>5.51</v>
      </c>
      <c r="J55" s="1522">
        <v>4.8899999999999997</v>
      </c>
      <c r="K55" s="1522">
        <v>6.43</v>
      </c>
      <c r="L55" s="1523">
        <v>5.36</v>
      </c>
      <c r="N55" s="1524">
        <f t="shared" ref="N55:O58" si="150">B55/B56-1</f>
        <v>4.1339718365245526E-2</v>
      </c>
      <c r="O55" s="1525">
        <f t="shared" si="150"/>
        <v>4.0324492593776018E-2</v>
      </c>
      <c r="P55" s="1525">
        <f t="shared" ref="P55:Q58" si="151">E55/E56-1</f>
        <v>6.1625555347990968E-2</v>
      </c>
      <c r="Q55" s="1525">
        <f t="shared" si="151"/>
        <v>4.6757569250590603E-2</v>
      </c>
      <c r="R55" s="1474"/>
      <c r="S55" s="1475"/>
      <c r="T55" s="1476"/>
      <c r="U55" s="1476"/>
      <c r="V55" s="1476"/>
      <c r="X55" s="1476"/>
      <c r="Y55" s="1476"/>
      <c r="Z55" s="1476"/>
    </row>
    <row r="56" spans="1:26">
      <c r="A56" s="1461" t="s">
        <v>1183</v>
      </c>
      <c r="B56" s="1477">
        <f t="shared" ref="B56:C58" si="152">B57+(B$55-B$59)*I56/SUM(I$55:I$58)</f>
        <v>180.5366651097618</v>
      </c>
      <c r="C56" s="1477">
        <f t="shared" si="152"/>
        <v>158.60435967302453</v>
      </c>
      <c r="D56" s="1477">
        <f t="shared" si="130"/>
        <v>158.60435967302453</v>
      </c>
      <c r="E56" s="1477">
        <f t="shared" ref="E56:F58" si="153">E57+(E$55-E$59)*K56/SUM(K$55:K$58)</f>
        <v>239.25573260785075</v>
      </c>
      <c r="F56" s="1477">
        <f t="shared" si="153"/>
        <v>141.38899430740037</v>
      </c>
      <c r="G56" s="3290">
        <v>2007</v>
      </c>
      <c r="H56" s="1487">
        <v>3</v>
      </c>
      <c r="I56" s="1487">
        <v>8.65</v>
      </c>
      <c r="J56" s="1487">
        <v>8.06</v>
      </c>
      <c r="K56" s="1487">
        <v>9.94</v>
      </c>
      <c r="L56" s="1488">
        <v>5.8</v>
      </c>
      <c r="N56" s="1524">
        <f t="shared" si="150"/>
        <v>6.940217571740015E-2</v>
      </c>
      <c r="O56" s="1525">
        <f t="shared" si="150"/>
        <v>7.1197482471153428E-2</v>
      </c>
      <c r="P56" s="1525">
        <f t="shared" si="151"/>
        <v>0.10529679922579582</v>
      </c>
      <c r="Q56" s="1525">
        <f t="shared" si="151"/>
        <v>5.3292245059512133E-2</v>
      </c>
      <c r="R56" s="1474"/>
      <c r="S56" s="1472"/>
      <c r="T56" s="1473"/>
      <c r="U56" s="1473"/>
      <c r="V56" s="1473"/>
      <c r="X56" s="1526"/>
      <c r="Y56" s="1526"/>
      <c r="Z56" s="1526"/>
    </row>
    <row r="57" spans="1:26">
      <c r="A57" s="1461" t="s">
        <v>1184</v>
      </c>
      <c r="B57" s="1477">
        <f t="shared" si="152"/>
        <v>168.82017748715555</v>
      </c>
      <c r="C57" s="1477">
        <f t="shared" si="152"/>
        <v>148.06267029972753</v>
      </c>
      <c r="D57" s="1477">
        <f t="shared" si="130"/>
        <v>148.06267029972753</v>
      </c>
      <c r="E57" s="1477">
        <f t="shared" si="153"/>
        <v>216.46288379323747</v>
      </c>
      <c r="F57" s="1477">
        <f t="shared" si="153"/>
        <v>134.23529411764704</v>
      </c>
      <c r="G57" s="3290">
        <v>2007</v>
      </c>
      <c r="H57" s="1465">
        <v>2</v>
      </c>
      <c r="I57" s="1465">
        <v>3.67</v>
      </c>
      <c r="J57" s="1465">
        <v>2.3199999999999998</v>
      </c>
      <c r="K57" s="1465">
        <v>5.0199999999999996</v>
      </c>
      <c r="L57" s="1479">
        <v>6.71</v>
      </c>
      <c r="N57" s="1524">
        <f t="shared" si="150"/>
        <v>3.0339138143848032E-2</v>
      </c>
      <c r="O57" s="1525">
        <f t="shared" si="150"/>
        <v>2.0922341588790472E-2</v>
      </c>
      <c r="P57" s="1525">
        <f t="shared" si="151"/>
        <v>5.6164796592717003E-2</v>
      </c>
      <c r="Q57" s="1525">
        <f t="shared" si="151"/>
        <v>6.5704536723887319E-2</v>
      </c>
      <c r="R57" s="1474"/>
      <c r="S57" s="1472"/>
      <c r="T57" s="1473"/>
      <c r="U57" s="1473"/>
      <c r="V57" s="1473"/>
      <c r="X57" s="1526"/>
      <c r="Y57" s="1526"/>
      <c r="Z57" s="1526"/>
    </row>
    <row r="58" spans="1:26">
      <c r="A58" s="1461" t="s">
        <v>1185</v>
      </c>
      <c r="B58" s="1477">
        <f t="shared" si="152"/>
        <v>163.84913591779542</v>
      </c>
      <c r="C58" s="1477">
        <f t="shared" si="152"/>
        <v>145.0283378746594</v>
      </c>
      <c r="D58" s="1477">
        <f t="shared" si="130"/>
        <v>145.0283378746594</v>
      </c>
      <c r="E58" s="1477">
        <f t="shared" si="153"/>
        <v>204.95180722891567</v>
      </c>
      <c r="F58" s="1477">
        <f t="shared" si="153"/>
        <v>125.95920303605313</v>
      </c>
      <c r="G58" s="3291">
        <v>2007</v>
      </c>
      <c r="H58" s="1464">
        <v>1</v>
      </c>
      <c r="I58" s="1464">
        <v>3.58</v>
      </c>
      <c r="J58" s="1464">
        <v>3.08</v>
      </c>
      <c r="K58" s="1464">
        <v>4.34</v>
      </c>
      <c r="L58" s="1478">
        <v>3.21</v>
      </c>
      <c r="N58" s="1527">
        <f t="shared" si="150"/>
        <v>3.0497710174814063E-2</v>
      </c>
      <c r="O58" s="1528">
        <f t="shared" si="150"/>
        <v>2.8569772160704998E-2</v>
      </c>
      <c r="P58" s="1528">
        <f t="shared" si="151"/>
        <v>5.1034908866234296E-2</v>
      </c>
      <c r="Q58" s="1528">
        <f t="shared" si="151"/>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0"/>
        <v>141</v>
      </c>
      <c r="E59" s="1490">
        <v>195</v>
      </c>
      <c r="F59" s="1491">
        <v>122</v>
      </c>
      <c r="G59" s="3289">
        <v>2006</v>
      </c>
      <c r="H59" s="1482">
        <v>4</v>
      </c>
      <c r="I59" s="1482">
        <v>3.79</v>
      </c>
      <c r="J59" s="1482">
        <v>2.21</v>
      </c>
      <c r="K59" s="1482">
        <v>5.65</v>
      </c>
      <c r="L59" s="1483">
        <v>5.41</v>
      </c>
      <c r="N59" s="1524">
        <f t="shared" ref="N59:O62" si="154">I59/SUM(I$59:I$62)*(B$59/B$63-1)</f>
        <v>7.245466462748526E-2</v>
      </c>
      <c r="O59" s="1525">
        <f t="shared" si="154"/>
        <v>2.3237230038062766E-2</v>
      </c>
      <c r="P59" s="1525">
        <f t="shared" ref="P59:Q62" si="155">K59/SUM(K$59:K$62)*(E$59/E$63-1)</f>
        <v>0.16146893866323722</v>
      </c>
      <c r="Q59" s="1525">
        <f t="shared" si="155"/>
        <v>5.0755230321793784E-2</v>
      </c>
      <c r="R59" s="1474"/>
      <c r="S59" s="1475"/>
      <c r="T59" s="1476"/>
      <c r="U59" s="1476"/>
      <c r="V59" s="1476"/>
      <c r="X59" s="1526"/>
      <c r="Y59" s="1526"/>
      <c r="Z59" s="1526"/>
    </row>
    <row r="60" spans="1:26">
      <c r="A60" s="1461" t="s">
        <v>1187</v>
      </c>
      <c r="B60" s="1477">
        <f t="shared" ref="B60:C62" si="156">B61+(B$59-B$63)*I60/SUM(I$59:I$62)</f>
        <v>149.00125628140702</v>
      </c>
      <c r="C60" s="1477">
        <f t="shared" si="156"/>
        <v>137.95592286501378</v>
      </c>
      <c r="D60" s="1477">
        <f t="shared" si="130"/>
        <v>137.95592286501378</v>
      </c>
      <c r="E60" s="1477">
        <f t="shared" ref="E60:F62" si="157">E61+(E$59-E$63)*K60/SUM(K$59:K$62)</f>
        <v>169.97231450719823</v>
      </c>
      <c r="F60" s="1477">
        <f t="shared" si="157"/>
        <v>116.21390374331551</v>
      </c>
      <c r="G60" s="3290">
        <v>2006</v>
      </c>
      <c r="H60" s="1487">
        <v>3</v>
      </c>
      <c r="I60" s="1487">
        <v>0.92</v>
      </c>
      <c r="J60" s="1487">
        <v>1.08</v>
      </c>
      <c r="K60" s="1487">
        <v>0.73</v>
      </c>
      <c r="L60" s="1488">
        <v>1.08</v>
      </c>
      <c r="N60" s="1524">
        <f t="shared" si="154"/>
        <v>1.7587939698492462E-2</v>
      </c>
      <c r="O60" s="1525">
        <f t="shared" si="154"/>
        <v>1.1355750425840628E-2</v>
      </c>
      <c r="P60" s="1525">
        <f t="shared" si="155"/>
        <v>2.0862358446754544E-2</v>
      </c>
      <c r="Q60" s="1525">
        <f t="shared" si="155"/>
        <v>1.0132282578103011E-2</v>
      </c>
      <c r="R60" s="1474"/>
      <c r="S60" s="1472"/>
      <c r="T60" s="1473"/>
      <c r="U60" s="1473"/>
      <c r="V60" s="1473"/>
      <c r="X60" s="1526"/>
      <c r="Y60" s="1526"/>
      <c r="Z60" s="1526"/>
    </row>
    <row r="61" spans="1:26">
      <c r="A61" s="1461" t="s">
        <v>1188</v>
      </c>
      <c r="B61" s="1477">
        <f t="shared" si="156"/>
        <v>146.57412060301507</v>
      </c>
      <c r="C61" s="1477">
        <f t="shared" si="156"/>
        <v>136.46831955922866</v>
      </c>
      <c r="D61" s="1477">
        <f t="shared" si="130"/>
        <v>136.46831955922866</v>
      </c>
      <c r="E61" s="1477">
        <f t="shared" si="157"/>
        <v>166.73864894795128</v>
      </c>
      <c r="F61" s="1477">
        <f t="shared" si="157"/>
        <v>115.05882352941177</v>
      </c>
      <c r="G61" s="3290">
        <v>2006</v>
      </c>
      <c r="H61" s="1465">
        <v>2</v>
      </c>
      <c r="I61" s="1465">
        <v>0.96</v>
      </c>
      <c r="J61" s="1465">
        <v>0.25</v>
      </c>
      <c r="K61" s="1465">
        <v>1.9</v>
      </c>
      <c r="L61" s="1479">
        <v>0.95</v>
      </c>
      <c r="N61" s="1524">
        <f t="shared" si="154"/>
        <v>1.8352632728861701E-2</v>
      </c>
      <c r="O61" s="1525">
        <f t="shared" si="154"/>
        <v>2.6286459319075526E-3</v>
      </c>
      <c r="P61" s="1525">
        <f t="shared" si="155"/>
        <v>5.4299289107991269E-2</v>
      </c>
      <c r="Q61" s="1525">
        <f t="shared" si="155"/>
        <v>8.9126559714794995E-3</v>
      </c>
      <c r="R61" s="1474"/>
      <c r="S61" s="1472"/>
      <c r="T61" s="1473"/>
      <c r="U61" s="1473"/>
      <c r="V61" s="1473"/>
      <c r="X61" s="1526"/>
      <c r="Y61" s="1526"/>
      <c r="Z61" s="1526"/>
    </row>
    <row r="62" spans="1:26">
      <c r="A62" s="1461" t="s">
        <v>1189</v>
      </c>
      <c r="B62" s="1477">
        <f t="shared" si="156"/>
        <v>144.04145728643215</v>
      </c>
      <c r="C62" s="1477">
        <f t="shared" si="156"/>
        <v>136.12396694214877</v>
      </c>
      <c r="D62" s="1477">
        <f t="shared" si="130"/>
        <v>136.12396694214877</v>
      </c>
      <c r="E62" s="1477">
        <f t="shared" si="157"/>
        <v>158.32225913621264</v>
      </c>
      <c r="F62" s="1477">
        <f t="shared" si="157"/>
        <v>114.04278074866311</v>
      </c>
      <c r="G62" s="3291">
        <v>2006</v>
      </c>
      <c r="H62" s="1464">
        <v>1</v>
      </c>
      <c r="I62" s="1464">
        <v>2.29</v>
      </c>
      <c r="J62" s="1464">
        <v>3.72</v>
      </c>
      <c r="K62" s="1464">
        <v>0.75</v>
      </c>
      <c r="L62" s="1478">
        <v>0.04</v>
      </c>
      <c r="N62" s="1527">
        <f t="shared" si="154"/>
        <v>4.3778675988638847E-2</v>
      </c>
      <c r="O62" s="1528">
        <f t="shared" si="154"/>
        <v>3.9114251466784385E-2</v>
      </c>
      <c r="P62" s="1528">
        <f t="shared" si="155"/>
        <v>2.1433929911049188E-2</v>
      </c>
      <c r="Q62" s="1528">
        <f t="shared" si="155"/>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0"/>
        <v>131</v>
      </c>
      <c r="E63" s="1490">
        <v>155</v>
      </c>
      <c r="F63" s="1491">
        <v>114</v>
      </c>
      <c r="G63" s="3289">
        <v>2005</v>
      </c>
      <c r="H63" s="1482">
        <v>4</v>
      </c>
      <c r="I63" s="1482">
        <v>3.29</v>
      </c>
      <c r="J63" s="1482">
        <v>1.44</v>
      </c>
      <c r="K63" s="1482">
        <v>0.66</v>
      </c>
      <c r="L63" s="1483">
        <v>7.78</v>
      </c>
      <c r="N63" s="1524">
        <f t="shared" ref="N63:O66" si="158">I63/SUM(I$63:I$66)*(B$63/B$67-1)</f>
        <v>9.9404603216919935E-2</v>
      </c>
      <c r="O63" s="1525">
        <f t="shared" si="158"/>
        <v>4.7636550760861554E-2</v>
      </c>
      <c r="P63" s="1525">
        <f t="shared" ref="P63:Q66" si="159">K63/SUM(K$63:K$66)*(E$63/E$67-1)</f>
        <v>8.3756345177664976E-2</v>
      </c>
      <c r="Q63" s="1525">
        <f t="shared" si="159"/>
        <v>5.2148766661559584E-2</v>
      </c>
      <c r="R63" s="1474"/>
      <c r="S63" s="1475"/>
      <c r="T63" s="1476"/>
      <c r="U63" s="1476"/>
      <c r="V63" s="1476"/>
      <c r="X63" s="1526"/>
      <c r="Y63" s="1526"/>
      <c r="Z63" s="1526"/>
    </row>
    <row r="64" spans="1:26">
      <c r="A64" s="1461" t="s">
        <v>1191</v>
      </c>
      <c r="B64" s="1477">
        <f t="shared" ref="B64:C66" si="160">B65+(B$63-B$67)*I64/SUM(I$63:I$66)</f>
        <v>125.9720430107527</v>
      </c>
      <c r="C64" s="1477">
        <f t="shared" si="160"/>
        <v>125.1883408071749</v>
      </c>
      <c r="D64" s="1477">
        <f t="shared" si="130"/>
        <v>125.1883408071749</v>
      </c>
      <c r="E64" s="1477">
        <f t="shared" ref="E64:F66" si="161">E65+(E$63-E$67)*K64/SUM(K$63:K$66)</f>
        <v>144.61421319796952</v>
      </c>
      <c r="F64" s="1477">
        <f t="shared" si="161"/>
        <v>108.42008196721311</v>
      </c>
      <c r="G64" s="3290">
        <v>2005</v>
      </c>
      <c r="H64" s="1487">
        <v>3</v>
      </c>
      <c r="I64" s="1487">
        <v>0.46</v>
      </c>
      <c r="J64" s="1487">
        <v>0.32</v>
      </c>
      <c r="K64" s="1487">
        <v>0.42</v>
      </c>
      <c r="L64" s="1488">
        <v>0.64</v>
      </c>
      <c r="N64" s="1524">
        <f t="shared" si="158"/>
        <v>1.3898515951301874E-2</v>
      </c>
      <c r="O64" s="1525">
        <f t="shared" si="158"/>
        <v>1.0585900169080346E-2</v>
      </c>
      <c r="P64" s="1525">
        <f t="shared" si="159"/>
        <v>5.3299492385786795E-2</v>
      </c>
      <c r="Q64" s="1525">
        <f t="shared" si="159"/>
        <v>4.2898728359123568E-3</v>
      </c>
      <c r="R64" s="1474"/>
      <c r="S64" s="1472"/>
      <c r="T64" s="1473"/>
      <c r="U64" s="1473"/>
      <c r="V64" s="1473"/>
      <c r="X64" s="1526"/>
      <c r="Y64" s="1526"/>
      <c r="Z64" s="1526"/>
    </row>
    <row r="65" spans="1:26">
      <c r="A65" s="1461" t="s">
        <v>1192</v>
      </c>
      <c r="B65" s="1477">
        <f t="shared" si="160"/>
        <v>124.29032258064517</v>
      </c>
      <c r="C65" s="1477">
        <f t="shared" si="160"/>
        <v>123.8968609865471</v>
      </c>
      <c r="D65" s="1477">
        <f t="shared" si="130"/>
        <v>123.8968609865471</v>
      </c>
      <c r="E65" s="1477">
        <f t="shared" si="161"/>
        <v>138.00507614213197</v>
      </c>
      <c r="F65" s="1477">
        <f t="shared" si="161"/>
        <v>107.96106557377048</v>
      </c>
      <c r="G65" s="3290">
        <v>2005</v>
      </c>
      <c r="H65" s="1465">
        <v>2</v>
      </c>
      <c r="I65" s="1465">
        <v>0.47</v>
      </c>
      <c r="J65" s="1465">
        <v>0.1</v>
      </c>
      <c r="K65" s="1465">
        <v>0.52</v>
      </c>
      <c r="L65" s="1479">
        <v>0.79</v>
      </c>
      <c r="N65" s="1524">
        <f t="shared" si="158"/>
        <v>1.420065760241713E-2</v>
      </c>
      <c r="O65" s="1525">
        <f t="shared" si="158"/>
        <v>3.3080938028376083E-3</v>
      </c>
      <c r="P65" s="1525">
        <f t="shared" si="159"/>
        <v>6.598984771573603E-2</v>
      </c>
      <c r="Q65" s="1525">
        <f t="shared" si="159"/>
        <v>5.2953117818293153E-3</v>
      </c>
      <c r="R65" s="1474"/>
      <c r="S65" s="1472"/>
      <c r="T65" s="1473"/>
      <c r="U65" s="1473"/>
      <c r="V65" s="1473"/>
      <c r="X65" s="1526"/>
      <c r="Y65" s="1526"/>
      <c r="Z65" s="1526"/>
    </row>
    <row r="66" spans="1:26">
      <c r="A66" s="1461" t="s">
        <v>1193</v>
      </c>
      <c r="B66" s="1477">
        <f t="shared" si="160"/>
        <v>122.57204301075269</v>
      </c>
      <c r="C66" s="1477">
        <f t="shared" si="160"/>
        <v>123.4932735426009</v>
      </c>
      <c r="D66" s="1477">
        <f t="shared" si="130"/>
        <v>123.4932735426009</v>
      </c>
      <c r="E66" s="1477">
        <f t="shared" si="161"/>
        <v>129.82233502538071</v>
      </c>
      <c r="F66" s="1477">
        <f t="shared" si="161"/>
        <v>107.39446721311475</v>
      </c>
      <c r="G66" s="3291">
        <v>2005</v>
      </c>
      <c r="H66" s="1464">
        <v>1</v>
      </c>
      <c r="I66" s="1464">
        <v>0.43</v>
      </c>
      <c r="J66" s="1464">
        <v>0.37</v>
      </c>
      <c r="K66" s="1464">
        <v>0.37</v>
      </c>
      <c r="L66" s="1478">
        <v>0.55000000000000004</v>
      </c>
      <c r="N66" s="1527">
        <f t="shared" si="158"/>
        <v>1.2992090997956099E-2</v>
      </c>
      <c r="O66" s="1528">
        <f t="shared" si="158"/>
        <v>1.2239947070499151E-2</v>
      </c>
      <c r="P66" s="1528">
        <f t="shared" si="159"/>
        <v>4.6954314720812178E-2</v>
      </c>
      <c r="Q66" s="1528">
        <f t="shared" si="159"/>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0"/>
        <v>122</v>
      </c>
      <c r="E67" s="1511">
        <v>124</v>
      </c>
      <c r="F67" s="1512">
        <v>107</v>
      </c>
      <c r="G67" s="3289">
        <v>2004</v>
      </c>
      <c r="H67" s="1482">
        <v>4</v>
      </c>
      <c r="I67" s="1482">
        <v>0.33</v>
      </c>
      <c r="J67" s="1482">
        <v>0.5</v>
      </c>
      <c r="K67" s="1482">
        <v>0.5</v>
      </c>
      <c r="L67" s="1483">
        <v>0</v>
      </c>
      <c r="N67" s="1524">
        <f t="shared" ref="N67:O70" si="162">I67/SUM(I$67:I$70)*(B$67/B$71-1)</f>
        <v>1.3391770148526898E-2</v>
      </c>
      <c r="O67" s="1525">
        <f t="shared" si="162"/>
        <v>1.063264221158958E-2</v>
      </c>
      <c r="P67" s="1525">
        <f t="shared" ref="P67:Q70" si="163">K67/SUM(K$67:K$70)*(E$67/E$71-1)</f>
        <v>2.2244466688911134E-2</v>
      </c>
      <c r="Q67" s="1525">
        <f t="shared" si="163"/>
        <v>0</v>
      </c>
      <c r="R67" s="1474"/>
      <c r="S67" s="1475"/>
      <c r="T67" s="1476"/>
      <c r="U67" s="1476"/>
      <c r="V67" s="1476"/>
      <c r="X67" s="1526"/>
      <c r="Y67" s="1526"/>
      <c r="Z67" s="1526"/>
    </row>
    <row r="68" spans="1:26">
      <c r="A68" s="1461" t="s">
        <v>1195</v>
      </c>
      <c r="B68" s="1477">
        <f t="shared" ref="B68:C70" si="164">B69+(B$67-B$71)*I68/SUM(I$67:I$70)</f>
        <v>119.51351351351352</v>
      </c>
      <c r="C68" s="1477">
        <f t="shared" si="164"/>
        <v>120.7878787878788</v>
      </c>
      <c r="D68" s="1477">
        <f t="shared" si="130"/>
        <v>120.7878787878788</v>
      </c>
      <c r="E68" s="1477">
        <f t="shared" ref="E68:F70" si="165">E69+(E$67-E$71)*K68/SUM(K$67:K$70)</f>
        <v>121.5975975975976</v>
      </c>
      <c r="F68" s="1477">
        <f t="shared" si="165"/>
        <v>107</v>
      </c>
      <c r="G68" s="3290">
        <v>2004</v>
      </c>
      <c r="H68" s="1487">
        <v>3</v>
      </c>
      <c r="I68" s="1487">
        <v>0.56000000000000005</v>
      </c>
      <c r="J68" s="1487">
        <v>0.8</v>
      </c>
      <c r="K68" s="1487">
        <v>0.83</v>
      </c>
      <c r="L68" s="1488">
        <v>0.06</v>
      </c>
      <c r="N68" s="1524">
        <f t="shared" si="162"/>
        <v>2.2725428130833527E-2</v>
      </c>
      <c r="O68" s="1525">
        <f t="shared" si="162"/>
        <v>1.7012227538543329E-2</v>
      </c>
      <c r="P68" s="1525">
        <f t="shared" si="163"/>
        <v>3.6925814703592477E-2</v>
      </c>
      <c r="Q68" s="1525">
        <f t="shared" si="163"/>
        <v>2.8846153846153744E-2</v>
      </c>
      <c r="R68" s="1474"/>
      <c r="S68" s="1472"/>
      <c r="T68" s="1473"/>
      <c r="U68" s="1473"/>
      <c r="V68" s="1473"/>
      <c r="X68" s="1526"/>
      <c r="Y68" s="1526"/>
      <c r="Z68" s="1526"/>
    </row>
    <row r="69" spans="1:26">
      <c r="A69" s="1461" t="s">
        <v>1196</v>
      </c>
      <c r="B69" s="1477">
        <f t="shared" si="164"/>
        <v>116.99099099099099</v>
      </c>
      <c r="C69" s="1477">
        <f t="shared" si="164"/>
        <v>118.84848484848486</v>
      </c>
      <c r="D69" s="1477">
        <f t="shared" si="130"/>
        <v>118.84848484848486</v>
      </c>
      <c r="E69" s="1477">
        <f t="shared" si="165"/>
        <v>117.60960960960961</v>
      </c>
      <c r="F69" s="1477">
        <f t="shared" si="165"/>
        <v>104</v>
      </c>
      <c r="G69" s="3290">
        <v>2004</v>
      </c>
      <c r="H69" s="1465">
        <v>2</v>
      </c>
      <c r="I69" s="1465">
        <v>1</v>
      </c>
      <c r="J69" s="1465">
        <v>1.5</v>
      </c>
      <c r="K69" s="1465">
        <v>1.5</v>
      </c>
      <c r="L69" s="1479">
        <v>0</v>
      </c>
      <c r="N69" s="1524">
        <f t="shared" si="162"/>
        <v>4.0581121662202721E-2</v>
      </c>
      <c r="O69" s="1525">
        <f t="shared" si="162"/>
        <v>3.1897926634768738E-2</v>
      </c>
      <c r="P69" s="1525">
        <f t="shared" si="163"/>
        <v>6.6733400066733395E-2</v>
      </c>
      <c r="Q69" s="1525">
        <f t="shared" si="163"/>
        <v>0</v>
      </c>
      <c r="R69" s="1474"/>
      <c r="S69" s="1472"/>
      <c r="T69" s="1473"/>
      <c r="U69" s="1473"/>
      <c r="V69" s="1473"/>
      <c r="X69" s="1526"/>
      <c r="Y69" s="1526"/>
      <c r="Z69" s="1526"/>
    </row>
    <row r="70" spans="1:26" s="1517" customFormat="1" ht="13.5" thickBot="1">
      <c r="A70" s="1461" t="s">
        <v>1197</v>
      </c>
      <c r="B70" s="1514">
        <f t="shared" si="164"/>
        <v>112.48648648648648</v>
      </c>
      <c r="C70" s="1514">
        <f t="shared" si="164"/>
        <v>115.21212121212122</v>
      </c>
      <c r="D70" s="1514">
        <f t="shared" si="130"/>
        <v>115.21212121212122</v>
      </c>
      <c r="E70" s="1514">
        <f t="shared" si="165"/>
        <v>110.4024024024024</v>
      </c>
      <c r="F70" s="1514">
        <f t="shared" si="165"/>
        <v>104</v>
      </c>
      <c r="G70" s="3291">
        <v>2004</v>
      </c>
      <c r="H70" s="1515">
        <v>1</v>
      </c>
      <c r="I70" s="1515">
        <v>0.33</v>
      </c>
      <c r="J70" s="1515">
        <v>0.5</v>
      </c>
      <c r="K70" s="1515">
        <v>0.5</v>
      </c>
      <c r="L70" s="1516">
        <v>0</v>
      </c>
      <c r="N70" s="1529">
        <f t="shared" si="162"/>
        <v>1.3391770148526898E-2</v>
      </c>
      <c r="O70" s="1530">
        <f t="shared" si="162"/>
        <v>1.063264221158958E-2</v>
      </c>
      <c r="P70" s="1530">
        <f t="shared" si="163"/>
        <v>2.2244466688911134E-2</v>
      </c>
      <c r="Q70" s="1530">
        <f t="shared" si="163"/>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0"/>
        <v>114</v>
      </c>
      <c r="E71" s="1532">
        <v>108</v>
      </c>
      <c r="F71" s="1533">
        <v>104</v>
      </c>
      <c r="G71" s="3289">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6">B73+(B$71-B$75)/4</f>
        <v>109.75</v>
      </c>
      <c r="C72" s="1536">
        <f t="shared" si="166"/>
        <v>112.25</v>
      </c>
      <c r="D72" s="1536">
        <f t="shared" si="130"/>
        <v>112.25</v>
      </c>
      <c r="E72" s="1536">
        <f t="shared" ref="E72:F74" si="167">E73+(E$71-E$75)/4</f>
        <v>107.25</v>
      </c>
      <c r="F72" s="1536">
        <f t="shared" si="167"/>
        <v>103.5</v>
      </c>
      <c r="G72" s="3290">
        <v>2003</v>
      </c>
      <c r="H72" s="1487">
        <v>3</v>
      </c>
      <c r="I72" s="1534"/>
      <c r="J72" s="1534"/>
      <c r="K72" s="1534"/>
      <c r="L72" s="1534"/>
      <c r="X72" s="1526"/>
      <c r="Y72" s="1526"/>
      <c r="Z72" s="1526"/>
    </row>
    <row r="73" spans="1:26">
      <c r="A73" s="1461" t="s">
        <v>1200</v>
      </c>
      <c r="B73" s="1536">
        <f t="shared" si="166"/>
        <v>108.5</v>
      </c>
      <c r="C73" s="1536">
        <f t="shared" si="166"/>
        <v>110.5</v>
      </c>
      <c r="D73" s="1536">
        <f t="shared" si="130"/>
        <v>110.5</v>
      </c>
      <c r="E73" s="1536">
        <f t="shared" si="167"/>
        <v>106.5</v>
      </c>
      <c r="F73" s="1536">
        <f t="shared" si="167"/>
        <v>103</v>
      </c>
      <c r="G73" s="3290">
        <v>2003</v>
      </c>
      <c r="H73" s="1465">
        <v>2</v>
      </c>
      <c r="I73" s="1534"/>
      <c r="J73" s="1534"/>
      <c r="K73" s="1534"/>
      <c r="L73" s="1534"/>
      <c r="X73" s="1526"/>
      <c r="Y73" s="1526"/>
      <c r="Z73" s="1526"/>
    </row>
    <row r="74" spans="1:26" ht="13.5" thickBot="1">
      <c r="A74" s="1461" t="s">
        <v>1201</v>
      </c>
      <c r="B74" s="1536">
        <f t="shared" si="166"/>
        <v>107.25</v>
      </c>
      <c r="C74" s="1536">
        <f t="shared" si="166"/>
        <v>108.75</v>
      </c>
      <c r="D74" s="1536">
        <f t="shared" si="130"/>
        <v>108.75</v>
      </c>
      <c r="E74" s="1536">
        <f t="shared" si="167"/>
        <v>105.75</v>
      </c>
      <c r="F74" s="1536">
        <f t="shared" si="167"/>
        <v>102.5</v>
      </c>
      <c r="G74" s="3291">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0"/>
        <v>107</v>
      </c>
      <c r="E75" s="1538">
        <v>105</v>
      </c>
      <c r="F75" s="1539">
        <v>102</v>
      </c>
      <c r="G75" s="3289">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68">B77+(B$75-B$79)/4</f>
        <v>105</v>
      </c>
      <c r="C76" s="1536">
        <f t="shared" si="168"/>
        <v>106</v>
      </c>
      <c r="D76" s="1536">
        <f t="shared" si="130"/>
        <v>106</v>
      </c>
      <c r="E76" s="1536">
        <f t="shared" ref="E76:F78" si="169">E77+(E$75-E$79)/4</f>
        <v>104.5</v>
      </c>
      <c r="F76" s="1536">
        <f t="shared" si="169"/>
        <v>101.5</v>
      </c>
      <c r="G76" s="3290">
        <v>2002</v>
      </c>
      <c r="H76" s="1487">
        <v>3</v>
      </c>
      <c r="I76" s="1534"/>
      <c r="J76" s="1534"/>
      <c r="K76" s="1534"/>
      <c r="L76" s="1534"/>
      <c r="X76" s="1526"/>
      <c r="Y76" s="1526"/>
      <c r="Z76" s="1526"/>
    </row>
    <row r="77" spans="1:26">
      <c r="A77" s="1461" t="s">
        <v>1204</v>
      </c>
      <c r="B77" s="1536">
        <f t="shared" si="168"/>
        <v>104</v>
      </c>
      <c r="C77" s="1536">
        <f t="shared" si="168"/>
        <v>105</v>
      </c>
      <c r="D77" s="1536">
        <f t="shared" si="130"/>
        <v>105</v>
      </c>
      <c r="E77" s="1536">
        <f t="shared" si="169"/>
        <v>104</v>
      </c>
      <c r="F77" s="1536">
        <f t="shared" si="169"/>
        <v>101</v>
      </c>
      <c r="G77" s="3290">
        <v>2002</v>
      </c>
      <c r="H77" s="1465">
        <v>2</v>
      </c>
      <c r="I77" s="1534"/>
      <c r="J77" s="1534"/>
      <c r="K77" s="1534"/>
      <c r="L77" s="1534"/>
      <c r="X77" s="1526"/>
      <c r="Y77" s="1526"/>
      <c r="Z77" s="1526"/>
    </row>
    <row r="78" spans="1:26" s="1498" customFormat="1" ht="13.5" thickBot="1">
      <c r="A78" s="1494" t="s">
        <v>1205</v>
      </c>
      <c r="B78" s="1540">
        <f t="shared" si="168"/>
        <v>103</v>
      </c>
      <c r="C78" s="1540">
        <f t="shared" si="168"/>
        <v>104</v>
      </c>
      <c r="D78" s="1540">
        <f t="shared" si="130"/>
        <v>104</v>
      </c>
      <c r="E78" s="1540">
        <f t="shared" si="169"/>
        <v>103.5</v>
      </c>
      <c r="F78" s="1540">
        <f t="shared" si="169"/>
        <v>100.5</v>
      </c>
      <c r="G78" s="3291">
        <v>2002</v>
      </c>
      <c r="H78" s="1541">
        <v>1</v>
      </c>
      <c r="I78" s="1542"/>
      <c r="J78" s="1542"/>
      <c r="K78" s="1542"/>
      <c r="L78" s="1542"/>
      <c r="N78" s="1543"/>
      <c r="S78" s="1543"/>
      <c r="X78" s="1544"/>
      <c r="Y78" s="1544"/>
      <c r="Z78" s="1544"/>
    </row>
    <row r="79" spans="1:26" ht="13.5" thickBot="1">
      <c r="B79" s="1545">
        <v>102</v>
      </c>
      <c r="C79" s="1546">
        <v>103</v>
      </c>
      <c r="D79" s="1546">
        <f t="shared" si="130"/>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301" t="s">
        <v>3002</v>
      </c>
      <c r="D1" s="3302"/>
      <c r="E1" s="3302"/>
      <c r="F1" s="3302"/>
      <c r="G1" s="3302"/>
      <c r="H1" s="3302"/>
      <c r="I1" s="3302"/>
      <c r="J1" s="3302"/>
      <c r="K1" s="3302"/>
      <c r="L1" s="3302"/>
      <c r="M1" s="3302"/>
      <c r="N1" s="3302"/>
      <c r="O1" s="3302"/>
      <c r="P1" s="3302"/>
      <c r="Q1" s="3302"/>
      <c r="R1" s="3302"/>
      <c r="S1" s="3303"/>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3" t="s">
        <v>3015</v>
      </c>
      <c r="E20" s="1793"/>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60" t="s">
        <v>33</v>
      </c>
      <c r="D22" s="3161"/>
      <c r="E22" s="3161"/>
      <c r="F22" s="3161"/>
      <c r="G22" s="3161"/>
      <c r="H22" s="3161"/>
      <c r="I22" s="3161"/>
      <c r="J22" s="3161"/>
      <c r="K22" s="3161"/>
      <c r="L22" s="3161"/>
      <c r="M22" s="3161"/>
      <c r="N22" s="3161"/>
      <c r="O22" s="3161"/>
      <c r="P22" s="3161"/>
      <c r="Q22" s="330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60"/>
      <c r="B4" s="2983" t="s">
        <v>1624</v>
      </c>
      <c r="C4" s="2983"/>
      <c r="D4" s="2983"/>
      <c r="E4" s="1960"/>
    </row>
    <row r="5" spans="1:5" ht="16.5" thickTop="1">
      <c r="A5" s="1958"/>
      <c r="B5" s="2981" t="s">
        <v>1616</v>
      </c>
      <c r="C5" s="1961" t="s">
        <v>1617</v>
      </c>
      <c r="D5" s="1040">
        <f ca="1">结果表!H101</f>
        <v>36436</v>
      </c>
      <c r="E5" s="1958"/>
    </row>
    <row r="6" spans="1:5" ht="15.75">
      <c r="A6" s="1958"/>
      <c r="B6" s="2981"/>
      <c r="C6" s="1961" t="s">
        <v>1618</v>
      </c>
      <c r="D6" s="1040" t="str">
        <f ca="1">NUMBERSTRING(INT(D5*10000),2)&amp;"元整"</f>
        <v>叁亿陆仟肆佰叁拾陆万元整</v>
      </c>
      <c r="E6" s="1958"/>
    </row>
    <row r="7" spans="1:5" ht="15.75">
      <c r="A7" s="1958"/>
      <c r="B7" s="2986"/>
      <c r="C7" s="1962" t="s">
        <v>1619</v>
      </c>
      <c r="D7" s="1041">
        <f ca="1">结果表!H102</f>
        <v>22507</v>
      </c>
      <c r="E7" s="1958"/>
    </row>
    <row r="8" spans="1:5" ht="15.75">
      <c r="A8" s="1958"/>
      <c r="B8" s="2987" t="str">
        <f>结果表!E103</f>
        <v>2.估价师知悉的法定优先受偿款</v>
      </c>
      <c r="C8" s="1963" t="s">
        <v>1620</v>
      </c>
      <c r="D8" s="1041">
        <f>结果表!H103</f>
        <v>0</v>
      </c>
      <c r="E8" s="1958"/>
    </row>
    <row r="9" spans="1:5" ht="15.75">
      <c r="A9" s="1958"/>
      <c r="B9" s="2989"/>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80" t="str">
        <f>结果表!E107</f>
        <v>3.房地产抵押价值</v>
      </c>
      <c r="C13" s="1966" t="s">
        <v>1617</v>
      </c>
      <c r="D13" s="1043">
        <f ca="1">结果表!H107</f>
        <v>36436</v>
      </c>
      <c r="E13" s="1958"/>
    </row>
    <row r="14" spans="1:5" ht="15.75">
      <c r="A14" s="1958"/>
      <c r="B14" s="2981"/>
      <c r="C14" s="1961" t="s">
        <v>1618</v>
      </c>
      <c r="D14" s="1040" t="str">
        <f ca="1">NUMBERSTRING(INT(D13*10000),2)&amp;"元整"</f>
        <v>叁亿陆仟肆佰叁拾陆万元整</v>
      </c>
      <c r="E14" s="1958"/>
    </row>
    <row r="15" spans="1:5" ht="15">
      <c r="A15" s="1958"/>
      <c r="B15" s="2986"/>
      <c r="C15" s="1962" t="s">
        <v>1628</v>
      </c>
      <c r="D15" s="1052">
        <f ca="1">结果表!H108</f>
        <v>22507</v>
      </c>
      <c r="E15" s="1958"/>
    </row>
    <row r="16" spans="1:5" ht="15">
      <c r="A16" s="1958"/>
      <c r="B16" s="2987" t="str">
        <f>结果表!E109</f>
        <v>——</v>
      </c>
      <c r="C16" s="1966" t="s">
        <v>1629</v>
      </c>
      <c r="D16" s="1967" t="str">
        <f>结果表!H109</f>
        <v>——</v>
      </c>
      <c r="E16" s="1958"/>
    </row>
    <row r="17" spans="1:5" ht="15.75">
      <c r="A17" s="1958"/>
      <c r="B17" s="2988"/>
      <c r="C17" s="1961" t="s">
        <v>1630</v>
      </c>
      <c r="D17" s="1040" t="e">
        <f>NUMBERSTRING(INT(D16*10000),2)&amp;"元整"</f>
        <v>#VALUE!</v>
      </c>
      <c r="E17" s="1958"/>
    </row>
    <row r="18" spans="1:5" ht="15">
      <c r="A18" s="1958"/>
      <c r="B18" s="2989"/>
      <c r="C18" s="1962" t="s">
        <v>1619</v>
      </c>
      <c r="D18" s="1052" t="str">
        <f>结果表!H110</f>
        <v>——</v>
      </c>
      <c r="E18" s="1958"/>
    </row>
    <row r="19" spans="1:5" ht="15.75">
      <c r="A19" s="1958"/>
      <c r="B19" s="2980" t="str">
        <f>结果表!E111</f>
        <v>4.抵押净值</v>
      </c>
      <c r="C19" s="1966" t="s">
        <v>1617</v>
      </c>
      <c r="D19" s="1041">
        <f ca="1">结果表!H111</f>
        <v>35855</v>
      </c>
      <c r="E19" s="1958"/>
    </row>
    <row r="20" spans="1:5" ht="15.75">
      <c r="A20" s="1958"/>
      <c r="B20" s="2981"/>
      <c r="C20" s="1961" t="s">
        <v>1630</v>
      </c>
      <c r="D20" s="1040" t="str">
        <f ca="1">NUMBERSTRING(INT(D19*10000),2)&amp;"元整"</f>
        <v>叁亿伍仟捌佰伍拾伍万元整</v>
      </c>
      <c r="E20" s="1958"/>
    </row>
    <row r="21" spans="1:5" ht="15.75" thickBot="1">
      <c r="A21" s="1958"/>
      <c r="B21" s="2982"/>
      <c r="C21" s="1968" t="s">
        <v>1628</v>
      </c>
      <c r="D21" s="1053">
        <f ca="1">结果表!H112</f>
        <v>22148</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39644</v>
      </c>
      <c r="C2" s="2" t="s">
        <v>133</v>
      </c>
      <c r="D2" s="243"/>
      <c r="E2" s="243"/>
      <c r="F2" s="243"/>
      <c r="G2" s="243"/>
    </row>
    <row r="3" spans="1:7" s="244" customFormat="1" ht="18" customHeight="1" thickBot="1">
      <c r="A3" s="247" t="s">
        <v>85</v>
      </c>
      <c r="B3" s="248">
        <f ca="1">ROUND(B2*10000/'数据-汇总表'!E3,0)</f>
        <v>24489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16188.669999999998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16188.669999999998</v>
      </c>
      <c r="E19" s="255">
        <f>'数据-取费表'!B31</f>
        <v>200</v>
      </c>
      <c r="F19" s="275"/>
      <c r="G19" s="1" t="s">
        <v>1070</v>
      </c>
    </row>
    <row r="20" spans="1:7" s="258" customFormat="1" ht="13.5" customHeight="1">
      <c r="A20" s="948" t="s">
        <v>1053</v>
      </c>
      <c r="B20" s="254" t="s">
        <v>104</v>
      </c>
      <c r="C20" s="276">
        <f>ROUND((C5+C19)*F20,0)</f>
        <v>628</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3172</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3079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48</v>
      </c>
      <c r="D24" s="282"/>
      <c r="E24" s="282"/>
      <c r="F24" s="283"/>
      <c r="G24" s="284" t="s">
        <v>109</v>
      </c>
    </row>
    <row r="25" spans="1:7" s="258" customFormat="1" ht="24">
      <c r="A25" s="951" t="s">
        <v>793</v>
      </c>
      <c r="B25" s="259" t="s">
        <v>1054</v>
      </c>
      <c r="C25" s="1355">
        <f ca="1">ROUND(IF('数据-取费表'!B22&lt;=1,C20*F22*'数据-取费表'!B23/2,C20*(POWER((1+F22),'数据-取费表'!B23/2)-1)),0)</f>
        <v>45</v>
      </c>
      <c r="D25" s="282"/>
      <c r="E25" s="285"/>
      <c r="F25" s="283"/>
      <c r="G25" s="286" t="s">
        <v>110</v>
      </c>
    </row>
    <row r="26" spans="1:7" s="258" customFormat="1">
      <c r="A26" s="951" t="s">
        <v>795</v>
      </c>
      <c r="B26" s="259" t="s">
        <v>1056</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5391</v>
      </c>
      <c r="D27" s="279">
        <f>C29</f>
        <v>7.4999999999999997E-3</v>
      </c>
      <c r="E27" s="280" t="s">
        <v>126</v>
      </c>
      <c r="F27" s="290">
        <f>'数据-取费表'!Q16</f>
        <v>0.25</v>
      </c>
      <c r="G27" s="291" t="s">
        <v>1065</v>
      </c>
    </row>
    <row r="28" spans="1:7" s="258" customFormat="1" ht="13.5" customHeight="1">
      <c r="A28" s="951" t="s">
        <v>794</v>
      </c>
      <c r="B28" s="292" t="s">
        <v>1058</v>
      </c>
      <c r="C28" s="293">
        <f>ROUND((C5+C19+C20)*F27*'数据-取费表'!B21/'数据-取费表'!B20,0)</f>
        <v>5391</v>
      </c>
      <c r="D28" s="279"/>
      <c r="E28" s="280"/>
      <c r="F28" s="290"/>
      <c r="G28" s="291"/>
    </row>
    <row r="29" spans="1:7" s="258" customFormat="1" ht="13.5" customHeight="1">
      <c r="A29" s="951" t="s">
        <v>792</v>
      </c>
      <c r="B29" s="292" t="s">
        <v>1059</v>
      </c>
      <c r="C29" s="282">
        <f>ROUND(C21*F27*'数据-取费表'!B21/'数据-取费表'!B20,4)</f>
        <v>7.4999999999999997E-3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33180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4634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4047</v>
      </c>
      <c r="D34" s="261"/>
      <c r="E34" s="264"/>
      <c r="F34" s="301">
        <f>IF('数据-取费表'!B24=0,1,'数据-取费表'!N16)</f>
        <v>1</v>
      </c>
      <c r="G34" s="263" t="s">
        <v>116</v>
      </c>
    </row>
    <row r="35" spans="1:7" ht="13.5" customHeight="1">
      <c r="A35" s="951" t="s">
        <v>796</v>
      </c>
      <c r="B35" s="259" t="s">
        <v>60</v>
      </c>
      <c r="C35" s="264">
        <f>ROUND(C34*F35,0)</f>
        <v>202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324</v>
      </c>
      <c r="D37" s="261">
        <f>'数据-汇总表'!E3</f>
        <v>16188.669999999998</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139</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344</v>
      </c>
      <c r="D41" s="279">
        <f ca="1">C44</f>
        <v>2.2000000000000001E-3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334</v>
      </c>
      <c r="D42" s="282"/>
      <c r="E42" s="282"/>
      <c r="F42" s="283"/>
      <c r="G42" s="3165" t="s">
        <v>121</v>
      </c>
    </row>
    <row r="43" spans="1:7" ht="13.5" customHeight="1">
      <c r="A43" s="951" t="s">
        <v>792</v>
      </c>
      <c r="B43" s="259" t="s">
        <v>1060</v>
      </c>
      <c r="C43" s="282">
        <f ca="1">ROUND(IF('数据-取费表'!B22&lt;=1,C39*F22*'数据-取费表'!B21/2,C39*(POWER((1+F22),'数据-取费表'!B21/2)-1)),0)</f>
        <v>10</v>
      </c>
      <c r="D43" s="282"/>
      <c r="E43" s="282"/>
      <c r="F43" s="283"/>
      <c r="G43" s="3166"/>
    </row>
    <row r="44" spans="1:7" ht="13.5" customHeight="1">
      <c r="A44" s="951" t="s">
        <v>793</v>
      </c>
      <c r="B44" s="259" t="s">
        <v>1062</v>
      </c>
      <c r="C44" s="282">
        <f ca="1">ROUND(IF('数据-取费表'!B22&lt;=1,C40*F22*'数据-取费表'!B21/2,C40*(POWER((1+F22),'数据-取费表'!B21/2)-1)),4)</f>
        <v>2.2000000000000001E-3</v>
      </c>
      <c r="D44" s="282"/>
      <c r="E44" s="282"/>
      <c r="F44" s="283"/>
      <c r="G44" s="3167"/>
    </row>
    <row r="45" spans="1:7" s="258" customFormat="1" ht="13.5" customHeight="1">
      <c r="A45" s="948" t="s">
        <v>786</v>
      </c>
      <c r="B45" s="288" t="s">
        <v>112</v>
      </c>
      <c r="C45" s="289">
        <f>C46</f>
        <v>1193</v>
      </c>
      <c r="D45" s="279">
        <f>C47</f>
        <v>7.4999999999999997E-3</v>
      </c>
      <c r="E45" s="280" t="s">
        <v>129</v>
      </c>
      <c r="F45" s="290"/>
      <c r="G45" s="291" t="s">
        <v>1068</v>
      </c>
    </row>
    <row r="46" spans="1:7" s="258" customFormat="1" ht="13.5" customHeight="1">
      <c r="A46" s="951" t="s">
        <v>794</v>
      </c>
      <c r="B46" s="292" t="s">
        <v>1061</v>
      </c>
      <c r="C46" s="293">
        <f>ROUND((C33+C39)*F27,0)</f>
        <v>1193</v>
      </c>
      <c r="D46" s="307"/>
      <c r="E46" s="280"/>
      <c r="F46" s="290"/>
      <c r="G46" s="291"/>
    </row>
    <row r="47" spans="1:7" s="258" customFormat="1" ht="13.5" customHeight="1">
      <c r="A47" s="951" t="s">
        <v>792</v>
      </c>
      <c r="B47" s="292" t="s">
        <v>1063</v>
      </c>
      <c r="C47" s="282">
        <f>ROUND(C40*F27,4)</f>
        <v>7.4999999999999997E-3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6950</v>
      </c>
      <c r="D49" s="276"/>
      <c r="E49" s="276"/>
      <c r="F49" s="308"/>
      <c r="G49" s="278" t="s">
        <v>1069</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6464</v>
      </c>
      <c r="D51" s="276"/>
      <c r="E51" s="276"/>
      <c r="F51" s="308"/>
      <c r="G51" s="278" t="s">
        <v>64</v>
      </c>
    </row>
    <row r="52" spans="1:7" s="252" customFormat="1" ht="16.5" thickBot="1">
      <c r="A52" s="309" t="s">
        <v>65</v>
      </c>
      <c r="B52" s="310"/>
      <c r="C52" s="311">
        <f ca="1">C31+C51</f>
        <v>39644</v>
      </c>
      <c r="D52" s="310"/>
      <c r="E52" s="310"/>
      <c r="F52" s="310"/>
      <c r="G52" s="312"/>
    </row>
    <row r="55" spans="1:7" ht="15">
      <c r="B55" s="314" t="s">
        <v>66</v>
      </c>
      <c r="C55" s="315"/>
    </row>
    <row r="56" spans="1:7">
      <c r="B56" s="317" t="s">
        <v>67</v>
      </c>
      <c r="C56" s="318">
        <f ca="1">ROUND(C51/C52,3)</f>
        <v>0.16300000000000001</v>
      </c>
    </row>
    <row r="57" spans="1:7">
      <c r="B57" s="317" t="s">
        <v>68</v>
      </c>
      <c r="C57" s="319">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867</v>
      </c>
      <c r="B1" s="330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43929</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8"/>
  <sheetViews>
    <sheetView topLeftCell="C1" workbookViewId="0">
      <selection activeCell="O18" sqref="O18"/>
    </sheetView>
  </sheetViews>
  <sheetFormatPr defaultRowHeight="13.5"/>
  <cols>
    <col min="7" max="7" width="9.75" bestFit="1" customWidth="1"/>
    <col min="13" max="13" width="13.625" customWidth="1"/>
  </cols>
  <sheetData>
    <row r="2" spans="2:15" ht="14.25" thickBot="1"/>
    <row r="3" spans="2:15" ht="25.5" customHeight="1" thickTop="1">
      <c r="B3" s="3310" t="s">
        <v>3095</v>
      </c>
      <c r="C3" s="3310" t="s">
        <v>3096</v>
      </c>
      <c r="D3" s="3310" t="s">
        <v>3097</v>
      </c>
      <c r="E3" s="3308" t="s">
        <v>3098</v>
      </c>
      <c r="F3" s="3309"/>
      <c r="G3" s="3308" t="s">
        <v>3099</v>
      </c>
      <c r="H3" s="3309"/>
      <c r="I3" s="3308" t="s">
        <v>3100</v>
      </c>
      <c r="J3" s="3309"/>
      <c r="M3" s="2978" t="s">
        <v>3104</v>
      </c>
      <c r="O3" s="2978" t="s">
        <v>3105</v>
      </c>
    </row>
    <row r="4" spans="2:15">
      <c r="B4" s="3311"/>
      <c r="C4" s="3311"/>
      <c r="D4" s="3311"/>
      <c r="E4" s="2961" t="s">
        <v>3101</v>
      </c>
      <c r="F4" s="2961" t="s">
        <v>3102</v>
      </c>
      <c r="G4" s="2961" t="s">
        <v>3101</v>
      </c>
      <c r="H4" s="2961" t="s">
        <v>3102</v>
      </c>
      <c r="I4" s="2961" t="s">
        <v>3101</v>
      </c>
      <c r="J4" s="2961" t="s">
        <v>3102</v>
      </c>
    </row>
    <row r="5" spans="2:15" ht="76.5">
      <c r="B5" s="2959" t="s">
        <v>3092</v>
      </c>
      <c r="C5" s="2960">
        <v>11161.74</v>
      </c>
      <c r="D5" s="2960">
        <v>6338.03</v>
      </c>
      <c r="E5" s="2960">
        <f ca="1">I5-G5</f>
        <v>10551</v>
      </c>
      <c r="F5" s="2960">
        <f ca="1">J5-H5</f>
        <v>9453</v>
      </c>
      <c r="G5" s="2960">
        <f ca="1">ROUND(H5*C5/10000,0)</f>
        <v>14571</v>
      </c>
      <c r="H5" s="2960">
        <f ca="1">结果表!G118</f>
        <v>13054</v>
      </c>
      <c r="I5" s="2960">
        <f ca="1">ROUND(J5*C5/10000,0)</f>
        <v>25122</v>
      </c>
      <c r="J5" s="2960">
        <f ca="1">结果表!I118</f>
        <v>22507</v>
      </c>
      <c r="M5">
        <v>18621.159</v>
      </c>
      <c r="O5">
        <f ca="1">'结果表-净值1'!N59</f>
        <v>24804</v>
      </c>
    </row>
    <row r="6" spans="2:15" ht="76.5">
      <c r="B6" s="2959" t="s">
        <v>3093</v>
      </c>
      <c r="C6" s="2960">
        <v>2513.06</v>
      </c>
      <c r="D6" s="2960">
        <v>1427</v>
      </c>
      <c r="E6" s="2960">
        <f t="shared" ref="E6:E7" ca="1" si="0">I6-G6</f>
        <v>2375</v>
      </c>
      <c r="F6" s="2960">
        <f t="shared" ref="F6:F7" ca="1" si="1">J6-H6</f>
        <v>9453</v>
      </c>
      <c r="G6" s="2960">
        <f t="shared" ref="G6:G7" ca="1" si="2">ROUND(H6*C6/10000,0)</f>
        <v>3281</v>
      </c>
      <c r="H6" s="2960">
        <f ca="1">H5</f>
        <v>13054</v>
      </c>
      <c r="I6" s="2960">
        <f t="shared" ref="I6:I7" ca="1" si="3">ROUND(J6*C6/10000,0)</f>
        <v>5656</v>
      </c>
      <c r="J6" s="2960">
        <f ca="1">J5</f>
        <v>22507</v>
      </c>
      <c r="M6">
        <v>4020.8960000000002</v>
      </c>
      <c r="O6">
        <f ca="1">'结果表-净值2'!N59</f>
        <v>5525</v>
      </c>
    </row>
    <row r="7" spans="2:15" ht="76.5">
      <c r="B7" s="2959" t="s">
        <v>3094</v>
      </c>
      <c r="C7" s="2960">
        <v>2513.87</v>
      </c>
      <c r="D7" s="2960">
        <v>1427.47</v>
      </c>
      <c r="E7" s="2960">
        <f t="shared" ca="1" si="0"/>
        <v>2376</v>
      </c>
      <c r="F7" s="2960">
        <f t="shared" ca="1" si="1"/>
        <v>9453</v>
      </c>
      <c r="G7" s="2960">
        <f t="shared" ca="1" si="2"/>
        <v>3282</v>
      </c>
      <c r="H7" s="2960">
        <f ca="1">H5</f>
        <v>13054</v>
      </c>
      <c r="I7" s="2960">
        <f t="shared" ca="1" si="3"/>
        <v>5658</v>
      </c>
      <c r="J7" s="2960">
        <f ca="1">J5</f>
        <v>22507</v>
      </c>
      <c r="M7">
        <v>4022.192</v>
      </c>
      <c r="O7">
        <f ca="1">'结果表-净值3'!N59</f>
        <v>5528</v>
      </c>
    </row>
    <row r="8" spans="2:15">
      <c r="E8">
        <f ca="1">SUM(E5:E7)</f>
        <v>15302</v>
      </c>
      <c r="G8">
        <f ca="1">SUM(G5:G7)</f>
        <v>21134</v>
      </c>
      <c r="I8">
        <f ca="1">SUM(I5:I7)</f>
        <v>36436</v>
      </c>
      <c r="O8">
        <f ca="1">SUM(O5:O7)</f>
        <v>35857</v>
      </c>
    </row>
  </sheetData>
  <mergeCells count="6">
    <mergeCell ref="I3:J3"/>
    <mergeCell ref="B3:B4"/>
    <mergeCell ref="C3:C4"/>
    <mergeCell ref="D3:D4"/>
    <mergeCell ref="E3:F3"/>
    <mergeCell ref="G3:H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4" zoomScale="80" zoomScaleNormal="100" zoomScaleSheetLayoutView="80" zoomScalePageLayoutView="80" workbookViewId="0">
      <selection activeCell="F55" sqref="F5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hidden="1" customHeight="1" thickBot="1">
      <c r="A1" s="2225" t="s">
        <v>2116</v>
      </c>
      <c r="B1" s="2418"/>
      <c r="C1" s="2419"/>
      <c r="D1" s="2418"/>
      <c r="E1" s="2418"/>
      <c r="F1" s="2420" t="s">
        <v>2117</v>
      </c>
      <c r="G1" s="2070" t="s">
        <v>2118</v>
      </c>
      <c r="H1" s="2421" t="str">
        <f>IF(G1="现房","——","估价对象范围")</f>
        <v>估价对象范围</v>
      </c>
      <c r="I1" s="2422"/>
    </row>
    <row r="2" spans="1:12" ht="21.75" hidden="1" customHeight="1" thickBot="1">
      <c r="A2" s="3105" t="str">
        <f>项目基本情况!S2</f>
        <v>北京市出让国有建设用地使用权及在建建筑物房地产</v>
      </c>
      <c r="B2" s="3106"/>
      <c r="C2" s="3106"/>
      <c r="D2" s="3106"/>
      <c r="E2" s="3106"/>
      <c r="F2" s="3106"/>
      <c r="G2" s="3106"/>
      <c r="H2" s="3106"/>
      <c r="I2" s="3107"/>
    </row>
    <row r="3" spans="1:12" ht="12.75" hidden="1">
      <c r="A3" s="3109" t="s">
        <v>2119</v>
      </c>
      <c r="B3" s="3110"/>
      <c r="C3" s="3110"/>
      <c r="D3" s="3110"/>
      <c r="E3" s="3110"/>
      <c r="F3" s="3110"/>
      <c r="G3" s="3110"/>
      <c r="H3" s="3110"/>
      <c r="I3" s="3110"/>
    </row>
    <row r="4" spans="1:12" ht="14.25" hidden="1">
      <c r="A4" s="2425" t="s">
        <v>2120</v>
      </c>
      <c r="B4" s="2426" t="s">
        <v>2121</v>
      </c>
      <c r="C4" s="2427" t="s">
        <v>3088</v>
      </c>
      <c r="D4" s="2427" t="s">
        <v>3076</v>
      </c>
      <c r="E4" s="3102" t="s">
        <v>2122</v>
      </c>
      <c r="F4" s="3103"/>
      <c r="G4" s="3103"/>
      <c r="H4" s="3103"/>
      <c r="I4" s="3111"/>
      <c r="K4" s="2428" t="str">
        <f>IF(ISNUMBER(FIND("比较法",'结果表-净值1'!C4)),"比较法",IF(ISNUMBER(FIND("成本法",'结果表-净值1'!C4)),"成本法",IF(ISNUMBER(FIND("假设开发法",'结果表-净值1'!C4)),"假设开发法",IF(ISNUMBER(FIND("收益法",'结果表-净值1'!C4)),"收益法","基准地价系数修正法"))))</f>
        <v>成本法</v>
      </c>
      <c r="L4" s="2428" t="str">
        <f>IF(ISNUMBER(FIND("比较法",'结果表-净值1'!D4)),"比较法",IF(ISNUMBER(FIND("成本法",'结果表-净值1'!D4)),"成本法",IF(ISNUMBER(FIND("假设开发法",'结果表-净值1'!D4)),"假设开发法",IF(ISNUMBER(FIND("收益法",'结果表-净值1'!D4)),"收益法","基准地价系数修正法"))))</f>
        <v>收益法</v>
      </c>
    </row>
    <row r="5" spans="1:12" ht="12.75" hidden="1">
      <c r="A5" s="3085" t="s">
        <v>2123</v>
      </c>
      <c r="B5" s="3023">
        <v>25</v>
      </c>
      <c r="C5" s="3088"/>
      <c r="D5" s="3108"/>
      <c r="E5" s="140" t="s">
        <v>2124</v>
      </c>
      <c r="F5" s="2429"/>
      <c r="G5" s="2429"/>
      <c r="H5" s="2429"/>
      <c r="I5" s="1831"/>
    </row>
    <row r="6" spans="1:12" ht="12.75" hidden="1">
      <c r="A6" s="3085"/>
      <c r="B6" s="3023"/>
      <c r="C6" s="3089"/>
      <c r="D6" s="3108"/>
      <c r="E6" s="140" t="s">
        <v>2125</v>
      </c>
      <c r="F6" s="2429"/>
      <c r="G6" s="2429"/>
      <c r="H6" s="2429"/>
      <c r="I6" s="1831"/>
    </row>
    <row r="7" spans="1:12" ht="12.75" hidden="1">
      <c r="A7" s="3085"/>
      <c r="B7" s="3023"/>
      <c r="C7" s="3090"/>
      <c r="D7" s="3108"/>
      <c r="E7" s="140" t="s">
        <v>2126</v>
      </c>
      <c r="F7" s="2429"/>
      <c r="G7" s="2429"/>
      <c r="H7" s="2429"/>
      <c r="I7" s="1831"/>
    </row>
    <row r="8" spans="1:12" ht="12.75" hidden="1">
      <c r="A8" s="3085" t="s">
        <v>2127</v>
      </c>
      <c r="B8" s="3023">
        <v>15</v>
      </c>
      <c r="C8" s="3088"/>
      <c r="D8" s="3108"/>
      <c r="E8" s="140" t="s">
        <v>2128</v>
      </c>
      <c r="F8" s="2429"/>
      <c r="G8" s="2429"/>
      <c r="H8" s="2429"/>
      <c r="I8" s="1831"/>
    </row>
    <row r="9" spans="1:12" ht="12.75" hidden="1">
      <c r="A9" s="3085"/>
      <c r="B9" s="3023"/>
      <c r="C9" s="3090"/>
      <c r="D9" s="3108"/>
      <c r="E9" s="140" t="s">
        <v>2129</v>
      </c>
      <c r="F9" s="2429"/>
      <c r="G9" s="2429"/>
      <c r="H9" s="2429"/>
      <c r="I9" s="1831"/>
    </row>
    <row r="10" spans="1:12" ht="12.75" hidden="1">
      <c r="A10" s="3085" t="s">
        <v>2130</v>
      </c>
      <c r="B10" s="3023">
        <v>15</v>
      </c>
      <c r="C10" s="3088"/>
      <c r="D10" s="3108"/>
      <c r="E10" s="140" t="s">
        <v>2131</v>
      </c>
      <c r="F10" s="2429"/>
      <c r="G10" s="2429"/>
      <c r="H10" s="2429"/>
      <c r="I10" s="1831"/>
    </row>
    <row r="11" spans="1:12" ht="12.75" hidden="1">
      <c r="A11" s="3085"/>
      <c r="B11" s="3023"/>
      <c r="C11" s="3090"/>
      <c r="D11" s="3108"/>
      <c r="E11" s="140" t="s">
        <v>2132</v>
      </c>
      <c r="F11" s="2429"/>
      <c r="G11" s="2429"/>
      <c r="H11" s="2429"/>
      <c r="I11" s="1831"/>
    </row>
    <row r="12" spans="1:12" ht="12.75" hidden="1">
      <c r="A12" s="3085" t="s">
        <v>2133</v>
      </c>
      <c r="B12" s="3023">
        <v>15</v>
      </c>
      <c r="C12" s="3088"/>
      <c r="D12" s="3108"/>
      <c r="E12" s="140" t="s">
        <v>2134</v>
      </c>
      <c r="F12" s="2429"/>
      <c r="G12" s="2429"/>
      <c r="H12" s="2429"/>
      <c r="I12" s="1831"/>
    </row>
    <row r="13" spans="1:12" ht="12.75" hidden="1">
      <c r="A13" s="3085"/>
      <c r="B13" s="3023"/>
      <c r="C13" s="3090"/>
      <c r="D13" s="3108"/>
      <c r="E13" s="140" t="s">
        <v>2135</v>
      </c>
      <c r="F13" s="2429"/>
      <c r="G13" s="2429"/>
      <c r="H13" s="2429"/>
      <c r="I13" s="1831"/>
    </row>
    <row r="14" spans="1:12" ht="12.75" hidden="1">
      <c r="A14" s="3085" t="s">
        <v>2136</v>
      </c>
      <c r="B14" s="3023">
        <v>30</v>
      </c>
      <c r="C14" s="3088">
        <v>3</v>
      </c>
      <c r="D14" s="3108">
        <v>7</v>
      </c>
      <c r="E14" s="140" t="s">
        <v>2137</v>
      </c>
      <c r="F14" s="2429"/>
      <c r="G14" s="2429"/>
      <c r="H14" s="2429"/>
      <c r="I14" s="1831"/>
    </row>
    <row r="15" spans="1:12" ht="12.75" hidden="1">
      <c r="A15" s="3085"/>
      <c r="B15" s="3023"/>
      <c r="C15" s="3089"/>
      <c r="D15" s="3108"/>
      <c r="E15" s="140" t="s">
        <v>2138</v>
      </c>
      <c r="F15" s="2429"/>
      <c r="G15" s="2429"/>
      <c r="H15" s="2429"/>
      <c r="I15" s="1831"/>
    </row>
    <row r="16" spans="1:12" ht="12.75" hidden="1">
      <c r="A16" s="3085"/>
      <c r="B16" s="3023"/>
      <c r="C16" s="3090"/>
      <c r="D16" s="3108"/>
      <c r="E16" s="140" t="s">
        <v>2139</v>
      </c>
      <c r="F16" s="2429"/>
      <c r="G16" s="2429"/>
      <c r="H16" s="2429"/>
      <c r="I16" s="1831"/>
    </row>
    <row r="17" spans="1:35" ht="15" hidden="1">
      <c r="A17" s="2430" t="s">
        <v>2140</v>
      </c>
      <c r="B17" s="64"/>
      <c r="C17" s="141">
        <f>SUM(C5:C16)</f>
        <v>3</v>
      </c>
      <c r="D17" s="141">
        <f>SUM(D5:D16)</f>
        <v>7</v>
      </c>
      <c r="E17" s="138"/>
      <c r="F17" s="138"/>
      <c r="G17" s="138"/>
      <c r="H17" s="138"/>
      <c r="I17" s="138"/>
      <c r="K17" s="2428"/>
      <c r="L17" s="2431" t="s">
        <v>2141</v>
      </c>
      <c r="M17" s="2431" t="s">
        <v>2142</v>
      </c>
    </row>
    <row r="18" spans="1:35" ht="15.75" hidden="1"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hidden="1">
      <c r="A19" s="2434" t="s">
        <v>2145</v>
      </c>
      <c r="B19" s="2435" t="s">
        <v>2146</v>
      </c>
      <c r="C19" s="143">
        <f ca="1">SUMIF(INDIRECT("'"&amp;C4&amp;"'"&amp;"!A:A"),'结果表-净值1'!B19,INDIRECT("'"&amp;C4&amp;"'"&amp;"!B:B"))</f>
        <v>11142</v>
      </c>
      <c r="D19" s="144">
        <f ca="1">SUMIF(INDIRECT("'"&amp;D4&amp;"'"&amp;"!A:A"),'结果表-净值1'!B19,INDIRECT("'"&amp;D4&amp;"'"&amp;"!B:B"))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hidden="1">
      <c r="A20" s="2437"/>
      <c r="B20" s="1247" t="s">
        <v>2150</v>
      </c>
      <c r="C20" s="146">
        <f ca="1">SUMIF(INDIRECT("'"&amp;C4&amp;"'"&amp;"!A:A"),'结果表-净值1'!B20,INDIRECT("'"&amp;C4&amp;"'"&amp;"!B:B"))</f>
        <v>6883</v>
      </c>
      <c r="D20" s="147">
        <f ca="1">SUMIF(INDIRECT("'"&amp;D4&amp;"'"&amp;"!A:A"),'结果表-净值1'!B20,INDIRECT("'"&amp;D4&amp;"'"&amp;"!B:B"))</f>
        <v>29203</v>
      </c>
      <c r="E20" s="2437"/>
      <c r="F20" s="1247" t="s">
        <v>2150</v>
      </c>
      <c r="G20" s="148">
        <f ca="1">ROUND(C20*$C$18+D20*$D$18,0)</f>
        <v>22507</v>
      </c>
      <c r="H20" s="980" t="s">
        <v>2151</v>
      </c>
      <c r="I20" s="138"/>
    </row>
    <row r="21" spans="1:35" ht="15" hidden="1"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hidden="1" thickBot="1">
      <c r="A22" s="2281" t="s">
        <v>2153</v>
      </c>
      <c r="B22" s="2440"/>
      <c r="C22" s="2441"/>
      <c r="D22" s="791">
        <f ca="1">IF(C19&lt;D19,D19/C19-1,C19/D19-1)</f>
        <v>3.2430443367438517</v>
      </c>
      <c r="E22" s="138"/>
      <c r="F22" s="138"/>
      <c r="G22" s="138"/>
      <c r="H22" s="138"/>
      <c r="I22" s="138"/>
    </row>
    <row r="23" spans="1:35" ht="13.5" hidden="1" thickBot="1">
      <c r="A23" s="2418"/>
      <c r="B23" s="2418"/>
      <c r="C23" s="2418"/>
      <c r="D23" s="2418"/>
      <c r="E23" s="138"/>
      <c r="F23" s="138"/>
      <c r="G23" s="138"/>
      <c r="H23" s="138"/>
      <c r="I23" s="138"/>
    </row>
    <row r="24" spans="1:35" ht="14.25" hidden="1">
      <c r="A24" s="3079" t="s">
        <v>2154</v>
      </c>
      <c r="B24" s="2435" t="s">
        <v>2146</v>
      </c>
      <c r="C24" s="145">
        <f>IF(B30=0,0,D30)</f>
        <v>0</v>
      </c>
      <c r="D24" s="2442"/>
      <c r="E24" s="138"/>
      <c r="F24" s="138"/>
      <c r="G24" s="138"/>
      <c r="H24" s="138"/>
      <c r="I24" s="138"/>
    </row>
    <row r="25" spans="1:35" ht="14.25" hidden="1">
      <c r="A25" s="3080"/>
      <c r="B25" s="1247" t="s">
        <v>2150</v>
      </c>
      <c r="C25" s="150">
        <f>IF(B30=0,0,C30)</f>
        <v>0</v>
      </c>
      <c r="D25" s="2443"/>
      <c r="E25" s="138"/>
      <c r="F25" s="138"/>
      <c r="G25" s="138"/>
      <c r="H25" s="138"/>
      <c r="I25" s="138"/>
    </row>
    <row r="26" spans="1:35" ht="13.5" hidden="1" customHeight="1">
      <c r="A26" s="2444" t="s">
        <v>2155</v>
      </c>
      <c r="B26" s="151" t="s">
        <v>2156</v>
      </c>
      <c r="C26" s="151" t="s">
        <v>2157</v>
      </c>
      <c r="D26" s="152" t="s">
        <v>2158</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1" t="s">
        <v>2159</v>
      </c>
      <c r="B30" s="151"/>
      <c r="C30" s="151"/>
      <c r="D30" s="151"/>
      <c r="E30" s="2917" t="s">
        <v>3032</v>
      </c>
      <c r="F30" s="138"/>
      <c r="G30" s="138"/>
      <c r="H30" s="138"/>
      <c r="I30" s="138"/>
    </row>
    <row r="31" spans="1:35" s="2446" customFormat="1" ht="15" hidden="1"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hidden="1" thickBot="1">
      <c r="A32" s="2447" t="s">
        <v>2160</v>
      </c>
      <c r="B32" s="2448"/>
      <c r="C32" s="153">
        <f ca="1">IF(D32="总价",G19-C24,G20-C25)</f>
        <v>36436</v>
      </c>
      <c r="D32" s="2449" t="s">
        <v>2161</v>
      </c>
      <c r="E32" s="138"/>
      <c r="F32" s="138"/>
      <c r="G32" s="138"/>
      <c r="H32" s="138"/>
      <c r="I32" s="138"/>
    </row>
    <row r="33" spans="1:15" ht="15" hidden="1">
      <c r="A33" s="957" t="s">
        <v>2162</v>
      </c>
      <c r="B33" s="2450"/>
      <c r="C33" s="2451" t="s">
        <v>3089</v>
      </c>
      <c r="D33" s="2452" t="s">
        <v>3088</v>
      </c>
      <c r="E33" s="2453" t="s">
        <v>2163</v>
      </c>
      <c r="F33" s="2962" t="str">
        <f>IF(D32="楼面单价","取值（单价）","取值（总价）")</f>
        <v>取值（总价）</v>
      </c>
      <c r="G33" s="138"/>
      <c r="H33" s="138"/>
      <c r="I33" s="138"/>
    </row>
    <row r="34" spans="1:15" ht="15" hidden="1">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hidden="1"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hidden="1" thickBot="1">
      <c r="A36" s="3097" t="s">
        <v>2168</v>
      </c>
      <c r="B36" s="2461" t="s">
        <v>2169</v>
      </c>
      <c r="C36" s="154"/>
      <c r="D36" s="2462"/>
      <c r="E36" s="2463"/>
      <c r="F36" s="2464"/>
      <c r="G36" s="138"/>
      <c r="H36" s="138"/>
      <c r="I36" s="138"/>
    </row>
    <row r="37" spans="1:15" ht="15.75" hidden="1" thickBot="1">
      <c r="A37" s="3098"/>
      <c r="B37" s="2267" t="s">
        <v>2170</v>
      </c>
      <c r="C37" s="156"/>
      <c r="D37" s="1392"/>
      <c r="E37" s="1392"/>
      <c r="F37" s="2464"/>
      <c r="G37" s="138"/>
      <c r="H37" s="138"/>
      <c r="I37" s="138"/>
    </row>
    <row r="38" spans="1:15" ht="15.75" hidden="1" thickBot="1">
      <c r="A38" s="3099"/>
      <c r="B38" s="2465" t="s">
        <v>2171</v>
      </c>
      <c r="C38" s="727"/>
      <c r="D38" s="2466" t="s">
        <v>2172</v>
      </c>
      <c r="E38" s="1392"/>
      <c r="F38" s="2464"/>
      <c r="G38" s="138"/>
      <c r="H38" s="138"/>
      <c r="I38" s="138"/>
    </row>
    <row r="39" spans="1:15" ht="15" hidden="1">
      <c r="A39" s="2437" t="s">
        <v>2173</v>
      </c>
      <c r="B39" s="2467" t="s">
        <v>2156</v>
      </c>
      <c r="C39" s="2468" t="s">
        <v>2157</v>
      </c>
      <c r="D39" s="2468" t="s">
        <v>2176</v>
      </c>
      <c r="E39" s="2469" t="s">
        <v>2158</v>
      </c>
      <c r="F39" s="2464"/>
      <c r="G39" s="138"/>
      <c r="H39" s="138"/>
      <c r="I39" s="138"/>
    </row>
    <row r="40" spans="1:15" ht="14.25" hidden="1">
      <c r="A40" s="2470" t="s">
        <v>2178</v>
      </c>
      <c r="B40" s="158"/>
      <c r="C40" s="159"/>
      <c r="D40" s="159"/>
      <c r="E40" s="160"/>
      <c r="F40" s="2464"/>
      <c r="G40" s="138"/>
      <c r="H40" s="138"/>
      <c r="I40" s="138"/>
    </row>
    <row r="41" spans="1:15" ht="14.25" hidden="1">
      <c r="A41" s="2470" t="s">
        <v>2179</v>
      </c>
      <c r="B41" s="158"/>
      <c r="C41" s="159"/>
      <c r="D41" s="159"/>
      <c r="E41" s="160"/>
      <c r="F41" s="2464"/>
      <c r="G41" s="138"/>
      <c r="H41" s="138"/>
      <c r="I41" s="138"/>
    </row>
    <row r="42" spans="1:15" ht="15" hidden="1" thickBot="1">
      <c r="A42" s="2471"/>
      <c r="B42" s="161"/>
      <c r="C42" s="162"/>
      <c r="D42" s="162"/>
      <c r="E42" s="163"/>
      <c r="F42" s="2464"/>
      <c r="G42" s="138"/>
      <c r="H42" s="138"/>
      <c r="I42" s="138"/>
    </row>
    <row r="43" spans="1:15" ht="12.75" hidden="1">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6" t="s">
        <v>2182</v>
      </c>
      <c r="B45" s="3077"/>
      <c r="C45" s="3078"/>
      <c r="D45" s="2977">
        <f ca="1">ROUND(Sheet1!I5*F45,0)</f>
        <v>20098</v>
      </c>
      <c r="E45" s="165" t="s">
        <v>2183</v>
      </c>
      <c r="F45" s="166">
        <v>0.8</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80"/>
      <c r="I46" s="168"/>
      <c r="J46" s="2967">
        <v>1</v>
      </c>
      <c r="K46" s="3136" t="s">
        <v>2187</v>
      </c>
      <c r="L46" s="3136"/>
      <c r="M46" s="3156"/>
      <c r="N46" s="3156"/>
      <c r="O46" s="3156"/>
    </row>
    <row r="47" spans="1:15" ht="12" customHeight="1">
      <c r="A47" s="169" t="s">
        <v>2188</v>
      </c>
      <c r="B47" s="170"/>
      <c r="C47" s="171"/>
      <c r="D47" s="172" t="s">
        <v>2189</v>
      </c>
      <c r="E47" s="24" t="s">
        <v>2190</v>
      </c>
      <c r="F47" s="173" t="s">
        <v>2191</v>
      </c>
      <c r="G47" s="174" t="s">
        <v>2192</v>
      </c>
      <c r="H47" s="2480"/>
      <c r="I47" s="168"/>
      <c r="J47" s="2967">
        <v>2</v>
      </c>
      <c r="K47" s="3136" t="s">
        <v>2193</v>
      </c>
      <c r="L47" s="3136"/>
      <c r="M47" s="3157">
        <f>'数据-取费表'!B2</f>
        <v>43929</v>
      </c>
      <c r="N47" s="3157"/>
      <c r="O47" s="3157"/>
    </row>
    <row r="48" spans="1:15" ht="25.5">
      <c r="A48" s="3104" t="s">
        <v>2194</v>
      </c>
      <c r="B48" s="3087"/>
      <c r="C48" s="3087"/>
      <c r="D48" s="140">
        <f ca="1">IF(H48="情况1",0,IF(H48="情况2",D52,IF(H48="情况3",D53,IF(H48="情况4",D54))))</f>
        <v>77</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6" t="s">
        <v>2196</v>
      </c>
      <c r="L48" s="3136"/>
      <c r="M48" s="3158">
        <f ca="1">Sheet1!I5</f>
        <v>25122</v>
      </c>
      <c r="N48" s="3158"/>
      <c r="O48" s="3158"/>
    </row>
    <row r="49" spans="1:35" ht="25.5" customHeight="1">
      <c r="A49" s="176" t="s">
        <v>2197</v>
      </c>
      <c r="B49" s="3072" t="s">
        <v>2198</v>
      </c>
      <c r="C49" s="3072"/>
      <c r="D49" s="177">
        <v>0</v>
      </c>
      <c r="E49" s="23" t="s">
        <v>2199</v>
      </c>
      <c r="F49" s="28" t="s">
        <v>34</v>
      </c>
      <c r="G49" s="3142"/>
      <c r="H49" s="138"/>
      <c r="I49" s="2483"/>
      <c r="J49" s="2967">
        <v>4</v>
      </c>
      <c r="K49" s="3136" t="str">
        <f>IF(项目基本情况!E8="房地产抵押价值","房地产抵押价值","抵押担保权已注销时的房地产抵押价值")</f>
        <v>房地产抵押价值</v>
      </c>
      <c r="L49" s="3136"/>
      <c r="M49" s="3158">
        <f ca="1">M48</f>
        <v>25122</v>
      </c>
      <c r="N49" s="3158"/>
      <c r="O49" s="3158"/>
    </row>
    <row r="50" spans="1:35" ht="25.5" customHeight="1">
      <c r="A50" s="178"/>
      <c r="B50" s="3072" t="s">
        <v>2200</v>
      </c>
      <c r="C50" s="3072"/>
      <c r="D50" s="179"/>
      <c r="E50" s="31"/>
      <c r="F50" s="180"/>
      <c r="G50" s="3143"/>
      <c r="H50" s="138"/>
      <c r="I50" s="2483"/>
      <c r="J50" s="3136" t="s">
        <v>2201</v>
      </c>
      <c r="K50" s="3136"/>
      <c r="L50" s="3136"/>
      <c r="M50" s="3136"/>
      <c r="N50" s="3136"/>
      <c r="O50" s="3136"/>
    </row>
    <row r="51" spans="1:35" ht="12" customHeight="1">
      <c r="A51" s="181"/>
      <c r="B51" s="3072" t="s">
        <v>2202</v>
      </c>
      <c r="C51" s="3072"/>
      <c r="D51" s="182"/>
      <c r="E51" s="30"/>
      <c r="F51" s="180"/>
      <c r="G51" s="3144"/>
      <c r="H51" s="138"/>
      <c r="I51" s="2483"/>
      <c r="J51" s="2964" t="s">
        <v>2203</v>
      </c>
      <c r="K51" s="3136" t="s">
        <v>2204</v>
      </c>
      <c r="L51" s="3136"/>
      <c r="M51" s="2964" t="s">
        <v>2205</v>
      </c>
      <c r="N51" s="2964" t="s">
        <v>2206</v>
      </c>
      <c r="O51" s="2964" t="s">
        <v>2207</v>
      </c>
    </row>
    <row r="52" spans="1:35" ht="24" customHeight="1">
      <c r="A52" s="183" t="s">
        <v>2208</v>
      </c>
      <c r="B52" s="3072" t="s">
        <v>2209</v>
      </c>
      <c r="C52" s="3072"/>
      <c r="D52" s="182">
        <f ca="1">ROUND(D45*'数据-取费表'!B41/(1+'数据-取费表'!C42),0)</f>
        <v>1053</v>
      </c>
      <c r="E52" s="11" t="s">
        <v>2210</v>
      </c>
      <c r="F52" s="184">
        <f>'数据-取费表'!B41</f>
        <v>5.5000000000000007E-2</v>
      </c>
      <c r="G52" s="2485"/>
      <c r="H52" s="138"/>
      <c r="I52" s="2483"/>
      <c r="J52" s="2967">
        <v>1</v>
      </c>
      <c r="K52" s="3137" t="s">
        <v>2211</v>
      </c>
      <c r="L52" s="3137"/>
      <c r="M52" s="1751">
        <f ca="1">D48</f>
        <v>77</v>
      </c>
      <c r="N52" s="2967" t="str">
        <f>E48</f>
        <v>(销售额-原购置价)×税（费）率</v>
      </c>
      <c r="O52" s="1752">
        <f>F48</f>
        <v>5.5000000000000007E-2</v>
      </c>
    </row>
    <row r="53" spans="1:35" ht="12" customHeight="1">
      <c r="A53" s="183" t="s">
        <v>2212</v>
      </c>
      <c r="B53" s="3095" t="s">
        <v>2213</v>
      </c>
      <c r="C53" s="3096"/>
      <c r="D53" s="182">
        <f ca="1">ROUND(D45*'数据-取费表'!B41/(1+'数据-取费表'!C42),0)</f>
        <v>1053</v>
      </c>
      <c r="E53" s="11" t="s">
        <v>2210</v>
      </c>
      <c r="F53" s="184">
        <f>'数据-取费表'!B41</f>
        <v>5.5000000000000007E-2</v>
      </c>
      <c r="G53" s="2485"/>
      <c r="H53" s="138"/>
      <c r="I53" s="2483"/>
      <c r="J53" s="2967">
        <v>2</v>
      </c>
      <c r="K53" s="3137" t="s">
        <v>2214</v>
      </c>
      <c r="L53" s="3137"/>
      <c r="M53" s="1751">
        <f t="shared" ref="M53:O54" ca="1" si="0">D55</f>
        <v>10</v>
      </c>
      <c r="N53" s="2967" t="str">
        <f t="shared" si="0"/>
        <v>销售额×税（费）率</v>
      </c>
      <c r="O53" s="1752">
        <f t="shared" si="0"/>
        <v>5.0000000000000001E-4</v>
      </c>
    </row>
    <row r="54" spans="1:35" ht="12" customHeight="1">
      <c r="A54" s="183" t="s">
        <v>2215</v>
      </c>
      <c r="B54" s="3095" t="s">
        <v>2216</v>
      </c>
      <c r="C54" s="3096"/>
      <c r="D54" s="182">
        <f ca="1">C68</f>
        <v>77</v>
      </c>
      <c r="E54" s="30" t="s">
        <v>2217</v>
      </c>
      <c r="F54" s="184">
        <f>'数据-取费表'!B41</f>
        <v>5.5000000000000007E-2</v>
      </c>
      <c r="G54" s="2485"/>
      <c r="H54" s="2486"/>
      <c r="I54" s="2483"/>
      <c r="J54" s="2967">
        <v>3</v>
      </c>
      <c r="K54" s="3137" t="s">
        <v>2218</v>
      </c>
      <c r="L54" s="3137"/>
      <c r="M54" s="1751">
        <f t="shared" ca="1" si="0"/>
        <v>231</v>
      </c>
      <c r="N54" s="2967" t="str">
        <f t="shared" si="0"/>
        <v>增值额×税（费）率</v>
      </c>
      <c r="O54" s="1753" t="str">
        <f t="shared" si="0"/>
        <v>——</v>
      </c>
    </row>
    <row r="55" spans="1:35" ht="24" customHeight="1">
      <c r="A55" s="3086" t="s">
        <v>2219</v>
      </c>
      <c r="B55" s="3087"/>
      <c r="C55" s="3087"/>
      <c r="D55" s="185">
        <f ca="1">IF(H55="个人住宅",0,ROUND(D45*I55,0))</f>
        <v>10</v>
      </c>
      <c r="E55" s="11" t="s">
        <v>2220</v>
      </c>
      <c r="F55" s="184">
        <f>IF(H55="正常",I55,"免征")</f>
        <v>5.0000000000000001E-4</v>
      </c>
      <c r="G55" s="2485"/>
      <c r="H55" s="2482" t="s">
        <v>2221</v>
      </c>
      <c r="I55" s="186">
        <f>'数据-取费表'!B49</f>
        <v>5.0000000000000001E-4</v>
      </c>
      <c r="J55" s="2967" t="str">
        <f>IF(H59="非个人房产","",4)</f>
        <v/>
      </c>
      <c r="K55" s="3137" t="str">
        <f>IF(H59="非个人房产","——","个人所得税")</f>
        <v>——</v>
      </c>
      <c r="L55" s="3137"/>
      <c r="M55" s="1754" t="str">
        <f>D59</f>
        <v>——</v>
      </c>
      <c r="N55" s="2968" t="str">
        <f>E59</f>
        <v>——</v>
      </c>
      <c r="O55" s="1755" t="str">
        <f>F59</f>
        <v>——</v>
      </c>
    </row>
    <row r="56" spans="1:35" ht="24.75">
      <c r="A56" s="3086" t="s">
        <v>2222</v>
      </c>
      <c r="B56" s="3087"/>
      <c r="C56" s="3087"/>
      <c r="D56" s="185">
        <f ca="1">IF(H56="个人住宅",D57,D58)</f>
        <v>231</v>
      </c>
      <c r="E56" s="11" t="s">
        <v>2223</v>
      </c>
      <c r="F56" s="184" t="str">
        <f>IF(H56="正常",F58,"免征")</f>
        <v>——</v>
      </c>
      <c r="G56" s="2487" t="s">
        <v>2224</v>
      </c>
      <c r="H56" s="2488" t="s">
        <v>2221</v>
      </c>
      <c r="I56" s="2489"/>
      <c r="J56" s="2967"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5"/>
      <c r="H57" s="2489"/>
      <c r="I57" s="2489"/>
      <c r="J57" s="3137">
        <f>IF(AND(J55="",J56=""),4,IF(项目基本情况!K6="上海银行",'结果表-净值1'!J56+1,'结果表-净值1'!J55+1))</f>
        <v>4</v>
      </c>
      <c r="K57" s="3137" t="s">
        <v>2226</v>
      </c>
      <c r="L57" s="2490" t="s">
        <v>2227</v>
      </c>
      <c r="M57" s="1756"/>
      <c r="N57" s="1757">
        <f ca="1">SUMIF(M52:M56,"&lt;9e307")</f>
        <v>318</v>
      </c>
      <c r="O57" s="2491"/>
      <c r="P57" s="1750">
        <f ca="1">N57/M49</f>
        <v>1.2658227848101266E-2</v>
      </c>
    </row>
    <row r="58" spans="1:35" ht="24.75">
      <c r="A58" s="183" t="s">
        <v>2208</v>
      </c>
      <c r="B58" s="3102" t="s">
        <v>2228</v>
      </c>
      <c r="C58" s="3103"/>
      <c r="D58" s="185">
        <f ca="1">IF(H58="转让取得",C81,C97)</f>
        <v>231</v>
      </c>
      <c r="E58" s="11" t="s">
        <v>2223</v>
      </c>
      <c r="F58" s="24" t="s">
        <v>34</v>
      </c>
      <c r="G58" s="2485"/>
      <c r="H58" s="2488" t="s">
        <v>3091</v>
      </c>
      <c r="I58" s="2489"/>
      <c r="J58" s="3137"/>
      <c r="K58" s="3137"/>
      <c r="L58" s="2490" t="s">
        <v>2229</v>
      </c>
      <c r="M58" s="1758"/>
      <c r="N58" s="2492" t="str">
        <f ca="1">NUMBERSTRING(INT(N57*10000),2)&amp;"元整"</f>
        <v>叁佰壹拾捌万元整</v>
      </c>
      <c r="O58" s="2493"/>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8">
        <f>J57+1</f>
        <v>5</v>
      </c>
      <c r="K59" s="3137" t="s">
        <v>2232</v>
      </c>
      <c r="L59" s="2967" t="s">
        <v>2227</v>
      </c>
      <c r="M59" s="1759"/>
      <c r="N59" s="1760">
        <f ca="1">M49-N57</f>
        <v>24804</v>
      </c>
      <c r="O59" s="2495"/>
    </row>
    <row r="60" spans="1:35" ht="12" customHeight="1">
      <c r="A60" s="2496"/>
      <c r="B60" s="2418"/>
      <c r="C60" s="2418"/>
      <c r="D60" s="2418"/>
      <c r="E60" s="2166"/>
      <c r="F60" s="2489"/>
      <c r="G60" s="2489"/>
      <c r="H60" s="2497"/>
      <c r="I60" s="138"/>
      <c r="J60" s="3139"/>
      <c r="K60" s="3137"/>
      <c r="L60" s="2490" t="s">
        <v>2229</v>
      </c>
      <c r="M60" s="1758"/>
      <c r="N60" s="2492" t="str">
        <f ca="1">NUMBERSTRING(INT(N59*10000),2)&amp;"元整"</f>
        <v>贰亿肆仟捌佰零肆万元整</v>
      </c>
      <c r="O60" s="2493"/>
    </row>
    <row r="61" spans="1:35" ht="13.5" thickBot="1">
      <c r="A61" s="3084" t="s">
        <v>2233</v>
      </c>
      <c r="B61" s="3084"/>
      <c r="C61" s="3084"/>
      <c r="D61" s="3084"/>
      <c r="E61" s="3084"/>
      <c r="F61" s="2489"/>
      <c r="G61" s="2489"/>
      <c r="H61" s="2497"/>
      <c r="I61" s="138"/>
      <c r="J61" s="2967">
        <f>J59+1</f>
        <v>6</v>
      </c>
      <c r="K61" s="3137" t="s">
        <v>2234</v>
      </c>
      <c r="L61" s="3137"/>
      <c r="M61" s="1761"/>
      <c r="N61" s="1762">
        <f ca="1">ROUND(N59*10000/'数据-汇总表'!E3,0)</f>
        <v>15322</v>
      </c>
      <c r="O61" s="2498"/>
    </row>
    <row r="62" spans="1:35" ht="12.75">
      <c r="A62" s="3100" t="s">
        <v>2235</v>
      </c>
      <c r="B62" s="3101"/>
      <c r="C62" s="2972"/>
      <c r="D62" s="2972" t="s">
        <v>2236</v>
      </c>
      <c r="E62" s="192" t="s">
        <v>2237</v>
      </c>
      <c r="F62" s="2489"/>
      <c r="G62" s="2489"/>
      <c r="H62" s="2497"/>
      <c r="I62" s="138"/>
    </row>
    <row r="63" spans="1:35" ht="12.75">
      <c r="A63" s="203" t="s">
        <v>775</v>
      </c>
      <c r="B63" s="193" t="s">
        <v>2238</v>
      </c>
      <c r="C63" s="194">
        <f ca="1">ROUND((C64+C65)/(1+'数据-取费表'!C42),0)</f>
        <v>19141</v>
      </c>
      <c r="D63" s="195"/>
      <c r="E63" s="196"/>
      <c r="F63" s="2489"/>
      <c r="G63" s="2489"/>
      <c r="H63" s="2497"/>
      <c r="I63" s="138"/>
      <c r="J63" s="3162" t="s">
        <v>2239</v>
      </c>
      <c r="K63" s="2965" t="s">
        <v>2240</v>
      </c>
      <c r="L63" s="1749">
        <f ca="1">IF(M49&gt;10000,M49*0.5%,IF(AND(M49&gt;1000,M49&lt;=10000),M49*1%,IF(AND(M49&gt;100,M49&lt;=1000),M49*3%,IF(AND(M49&gt;10,M49&lt;=100),M49*5%,M49*8%))))</f>
        <v>125.61</v>
      </c>
      <c r="M63" s="24">
        <f ca="1">ROUND(L63,1)</f>
        <v>125.6</v>
      </c>
      <c r="Z63" s="2423"/>
      <c r="AI63" s="2424"/>
    </row>
    <row r="64" spans="1:35" ht="14.25" customHeight="1">
      <c r="A64" s="197" t="s">
        <v>770</v>
      </c>
      <c r="B64" s="198" t="s">
        <v>2241</v>
      </c>
      <c r="C64" s="199">
        <f ca="1">D45</f>
        <v>20098</v>
      </c>
      <c r="D64" s="200" t="s">
        <v>32</v>
      </c>
      <c r="E64" s="201"/>
      <c r="F64" s="2489"/>
      <c r="G64" s="2489"/>
      <c r="H64" s="2497"/>
      <c r="I64" s="138"/>
      <c r="J64" s="3162"/>
      <c r="K64" s="2965" t="s">
        <v>2242</v>
      </c>
      <c r="L64" s="1749">
        <f ca="1">IF(M49&gt;2000,M49*0.5%,IF(AND(M49&gt;1000,M49&lt;=2000),M49*0.6%,IF(AND(M49&gt;500,M49&lt;=1000),M49*0.7%,IF(AND(M49&gt;200,M49&lt;=500),M49*0.8%,IF(AND(M49&gt;100,M49&lt;=200),M49*0.9%,IF(AND(M49&gt;50,M49&lt;=100),M49*1%,IF(AND(M49&gt;20,M49&lt;=50),M49*1.5%,IF(AND(M49&gt;10,M49&lt;=20),M49*2%,IF(AND(M49&gt;1,M49&lt;=10),M49*2.5%)))))))))</f>
        <v>125.61</v>
      </c>
      <c r="M64" s="24">
        <f t="shared" ref="M64:M65" ca="1" si="1">ROUND(L64,1)</f>
        <v>125.6</v>
      </c>
      <c r="N64" s="138" t="s">
        <v>2243</v>
      </c>
      <c r="Z64" s="2423"/>
      <c r="AI64" s="2424"/>
    </row>
    <row r="65" spans="1:35" ht="14.25" customHeight="1">
      <c r="A65" s="197" t="s">
        <v>771</v>
      </c>
      <c r="B65" s="198" t="s">
        <v>2244</v>
      </c>
      <c r="C65" s="202"/>
      <c r="D65" s="200"/>
      <c r="E65" s="201"/>
      <c r="F65" s="2489"/>
      <c r="G65" s="2489"/>
      <c r="H65" s="2497"/>
      <c r="I65" s="138"/>
      <c r="J65" s="3162"/>
      <c r="K65" s="2965" t="s">
        <v>2245</v>
      </c>
      <c r="L65" s="1749">
        <f ca="1">IF(M49&gt;1000,M49*0.1%,IF(AND(M49&gt;500,M49&lt;=1000),M49*0.5%,IF(AND(M49&gt;50,M49&lt;=500),M49*1%,IF(AND(M49&gt;1,M49&lt;=50),M49*1.5%))))</f>
        <v>25.122</v>
      </c>
      <c r="M65" s="24">
        <f t="shared" ca="1" si="1"/>
        <v>25.1</v>
      </c>
      <c r="N65" s="138" t="s">
        <v>2243</v>
      </c>
      <c r="Z65" s="2423"/>
      <c r="AI65" s="2424"/>
    </row>
    <row r="66" spans="1:35" ht="14.25" customHeight="1">
      <c r="A66" s="203" t="s">
        <v>772</v>
      </c>
      <c r="B66" s="204" t="s">
        <v>2246</v>
      </c>
      <c r="C66" s="205">
        <f>ROUND(Sheet1!M5/1.05,0)</f>
        <v>17734</v>
      </c>
      <c r="D66" s="206" t="s">
        <v>32</v>
      </c>
      <c r="E66" s="1773" t="s">
        <v>1366</v>
      </c>
      <c r="F66" s="2489"/>
      <c r="G66" s="2489"/>
      <c r="H66" s="2497"/>
      <c r="I66" s="138"/>
      <c r="J66" s="3162"/>
      <c r="K66" s="2965" t="s">
        <v>2247</v>
      </c>
      <c r="L66" s="1749">
        <f ca="1">M49*0.5%</f>
        <v>125.61</v>
      </c>
      <c r="M66" s="24">
        <f ca="1">IF(L66&gt;0.5,0.5,ROUND(L66,0))</f>
        <v>0.5</v>
      </c>
      <c r="N66" s="138" t="s">
        <v>2248</v>
      </c>
      <c r="Z66" s="2423"/>
      <c r="AI66" s="2424"/>
    </row>
    <row r="67" spans="1:35" ht="14.25" customHeight="1">
      <c r="A67" s="203" t="s">
        <v>773</v>
      </c>
      <c r="B67" s="204" t="s">
        <v>2249</v>
      </c>
      <c r="C67" s="207">
        <f ca="1">C63-C66</f>
        <v>1407</v>
      </c>
      <c r="D67" s="200" t="s">
        <v>32</v>
      </c>
      <c r="E67" s="201"/>
      <c r="F67" s="2489"/>
      <c r="G67" s="2489"/>
      <c r="H67" s="2497"/>
      <c r="I67" s="138"/>
      <c r="J67" s="3162"/>
      <c r="K67" s="2965" t="s">
        <v>2250</v>
      </c>
      <c r="L67" s="1749">
        <f ca="1">IF(M49&gt;=10000,(8.25+(M49-10000)*0.01%),IF(AND(M49&gt;=8000,M49&lt;10000),(7.85+(M49-8000)*0.02%),IF(AND(M49&gt;=5000,M49&lt;8000),(6.65+(M49-5000)*0.04%),IF(AND(M49&gt;=2000,M49&lt;5000),(4.25+(PM49-2000)*0.08%),IF(AND(M49&gt;=1000,M49&lt;2000),(2.75+(M49-1000)*0.15%),IF(AND(M49&gt;=100,M49&lt;1000),(0.5+(M49-100)*0.25%),IF(AND(M49&gt;0,M49&lt;100),M49*0.5%)))))))</f>
        <v>9.7622</v>
      </c>
      <c r="M67" s="24">
        <f ca="1">ROUND(L67*0.9,1)</f>
        <v>8.8000000000000007</v>
      </c>
      <c r="Z67" s="2423"/>
      <c r="AI67" s="2424"/>
    </row>
    <row r="68" spans="1:35" ht="14.25" customHeight="1" thickBot="1">
      <c r="A68" s="208" t="s">
        <v>774</v>
      </c>
      <c r="B68" s="209" t="s">
        <v>2251</v>
      </c>
      <c r="C68" s="210">
        <f ca="1">IF(C67&lt;=0,0,ROUND(C67*D68,0))</f>
        <v>77</v>
      </c>
      <c r="D68" s="211">
        <f>'数据-取费表'!B41</f>
        <v>5.5000000000000007E-2</v>
      </c>
      <c r="E68" s="212"/>
      <c r="F68" s="2489"/>
      <c r="G68" s="2489"/>
      <c r="H68" s="2497"/>
      <c r="I68" s="138"/>
      <c r="J68" s="3162"/>
      <c r="K68" s="2965" t="s">
        <v>2252</v>
      </c>
      <c r="L68" s="1749">
        <f ca="1">IF(M49&gt;10000,M49*0.5%,IF(AND(M49&gt;5000,M49&lt;=10000),M49*1%,IF(AND(M49&gt;1000,M49&lt;=5000),M49*2%,IF(AND(M49&gt;200,M49&lt;=1000),M49*3%,M49*5%))))</f>
        <v>125.61</v>
      </c>
      <c r="M68" s="24">
        <f ca="1">ROUND(L68,1)</f>
        <v>125.6</v>
      </c>
      <c r="Z68" s="2423"/>
      <c r="AI68" s="2424"/>
    </row>
    <row r="69" spans="1:35" s="2446" customFormat="1" ht="16.5" customHeight="1">
      <c r="A69" s="2500"/>
      <c r="B69" s="2501"/>
      <c r="C69" s="2502"/>
      <c r="D69" s="2503"/>
      <c r="E69" s="2504"/>
      <c r="F69" s="2166"/>
      <c r="G69" s="2166"/>
      <c r="H69" s="2165"/>
      <c r="I69" s="2418"/>
      <c r="J69" s="3162"/>
      <c r="K69" s="2965" t="s">
        <v>2253</v>
      </c>
      <c r="L69" s="2505"/>
      <c r="M69" s="24">
        <f ca="1">ROUND(SUM(M63:M68),0)</f>
        <v>411</v>
      </c>
      <c r="N69" s="1750">
        <f ca="1">M69/M49</f>
        <v>1.6360162407451636E-2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2235</v>
      </c>
      <c r="B71" s="3101"/>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19141</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18371</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18275</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f>Sheet1!M5</f>
        <v>18621.159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5" t="s">
        <v>2262</v>
      </c>
      <c r="F76" s="3072"/>
      <c r="G76" s="3072"/>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541</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96</v>
      </c>
      <c r="D78" s="226">
        <f>'数据-取费表'!B43</f>
        <v>5.000000000000001E-3</v>
      </c>
      <c r="E78" s="3081" t="s">
        <v>2267</v>
      </c>
      <c r="F78" s="3082"/>
      <c r="G78" s="3082"/>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770</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4.1913886016003481E-2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1" t="s">
        <v>2271</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0" t="s">
        <v>2235</v>
      </c>
      <c r="B84" s="3101"/>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2255</v>
      </c>
      <c r="C85" s="207">
        <f ca="1">ROUND(D45/(1+'数据-取费表'!C42),0)</f>
        <v>19141</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2256</v>
      </c>
      <c r="C86" s="207">
        <f ca="1">IF(H88="仅含出让金",C87+C90+C91+C92+C93+C94,C87+C91+C92+C93+C94)</f>
        <v>96</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2278</v>
      </c>
      <c r="B91" s="198" t="s">
        <v>2279</v>
      </c>
      <c r="C91" s="225">
        <f>IF(H91="——",成本法!C33,I91)</f>
        <v>0</v>
      </c>
      <c r="D91" s="226"/>
      <c r="E91" s="3081" t="s">
        <v>2280</v>
      </c>
      <c r="F91" s="3082"/>
      <c r="G91" s="308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2282</v>
      </c>
      <c r="B92" s="198" t="s">
        <v>2283</v>
      </c>
      <c r="C92" s="225">
        <f>ROUND((C87+C90+C91)*D92,0)</f>
        <v>0</v>
      </c>
      <c r="D92" s="226">
        <v>0.1</v>
      </c>
      <c r="E92" s="3081" t="s">
        <v>2284</v>
      </c>
      <c r="F92" s="3082"/>
      <c r="G92" s="3082"/>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2285</v>
      </c>
      <c r="B93" s="198" t="s">
        <v>2266</v>
      </c>
      <c r="C93" s="225">
        <f ca="1">ROUND(D45*D93/(1+'数据-取费表'!C42),0)</f>
        <v>96</v>
      </c>
      <c r="D93" s="226">
        <f>'数据-取费表'!B43</f>
        <v>5.000000000000001E-3</v>
      </c>
      <c r="E93" s="3081" t="s">
        <v>2267</v>
      </c>
      <c r="F93" s="3082"/>
      <c r="G93" s="3082"/>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2286</v>
      </c>
      <c r="B94" s="198" t="s">
        <v>2287</v>
      </c>
      <c r="C94" s="236">
        <f>ROUND((C87+C90+C91)*D94,0)</f>
        <v>0</v>
      </c>
      <c r="D94" s="226">
        <v>0.2</v>
      </c>
      <c r="E94" s="3092" t="s">
        <v>2288</v>
      </c>
      <c r="F94" s="3093"/>
      <c r="G94" s="3093"/>
      <c r="H94" s="309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773</v>
      </c>
      <c r="B95" s="204" t="s">
        <v>2268</v>
      </c>
      <c r="C95" s="207">
        <f ca="1">ROUND(C85-C86,0)</f>
        <v>19045</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2269</v>
      </c>
      <c r="C96" s="227">
        <f ca="1">IF(C95&lt;=0,0,C95/C86)</f>
        <v>198.38541666666666</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2270</v>
      </c>
      <c r="C97" s="228">
        <f ca="1">ROUND(IF(C95&lt;=0,0,IF(C96&gt;=200%,C95*60%-C86*35%,IF(C96&gt;=100%,C95*50%-C86*15%,IF(C96&gt;=50%,C95*40%-C86*5%,IF(C96&lt;50%,C95*30%,0))))),0)</f>
        <v>11393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6"/>
      <c r="F98" s="2166"/>
      <c r="G98" s="2166"/>
      <c r="H98" s="2165"/>
      <c r="I98" s="138"/>
    </row>
    <row r="99" spans="1:35" ht="21.75" hidden="1" customHeight="1" thickBot="1">
      <c r="A99" s="2474" t="s">
        <v>2289</v>
      </c>
      <c r="B99" s="2418"/>
      <c r="C99" s="2418"/>
      <c r="D99" s="2418"/>
      <c r="E99" s="2166"/>
      <c r="F99" s="2166"/>
      <c r="G99" s="2166"/>
      <c r="H99" s="2165"/>
      <c r="I99" s="138"/>
    </row>
    <row r="100" spans="1:35" ht="18.75" hidden="1" customHeight="1">
      <c r="A100" s="3066" t="s">
        <v>2290</v>
      </c>
      <c r="B100" s="3067"/>
      <c r="C100" s="3067"/>
      <c r="D100" s="3083"/>
      <c r="E100" s="3067" t="s">
        <v>2291</v>
      </c>
      <c r="F100" s="3067"/>
      <c r="G100" s="3067"/>
      <c r="H100" s="3083"/>
      <c r="I100" s="138"/>
    </row>
    <row r="101" spans="1:35" ht="18.75" hidden="1" customHeight="1">
      <c r="A101" s="3145" t="s">
        <v>2292</v>
      </c>
      <c r="B101" s="3146"/>
      <c r="C101" s="736" t="str">
        <f>C4</f>
        <v>成本法</v>
      </c>
      <c r="D101" s="737" t="str">
        <f>D4</f>
        <v>收益法</v>
      </c>
      <c r="E101" s="3159" t="s">
        <v>2293</v>
      </c>
      <c r="F101" s="3113"/>
      <c r="G101" s="2520" t="s">
        <v>2294</v>
      </c>
      <c r="H101" s="1045">
        <f ca="1">H118</f>
        <v>36436</v>
      </c>
      <c r="I101" s="138"/>
    </row>
    <row r="102" spans="1:35" ht="18.75" hidden="1" customHeight="1">
      <c r="A102" s="3115" t="s">
        <v>2295</v>
      </c>
      <c r="B102" s="2520" t="s">
        <v>2294</v>
      </c>
      <c r="C102" s="736">
        <f ca="1">C19</f>
        <v>11142</v>
      </c>
      <c r="D102" s="737">
        <f ca="1">D19</f>
        <v>47276</v>
      </c>
      <c r="E102" s="3159"/>
      <c r="F102" s="3113"/>
      <c r="G102" s="2520" t="s">
        <v>2296</v>
      </c>
      <c r="H102" s="371">
        <f ca="1">I118</f>
        <v>22507</v>
      </c>
      <c r="I102" s="138"/>
    </row>
    <row r="103" spans="1:35" ht="42.75" hidden="1" customHeight="1">
      <c r="A103" s="3115"/>
      <c r="B103" s="2520" t="s">
        <v>2296</v>
      </c>
      <c r="C103" s="738">
        <f ca="1">C20</f>
        <v>6883</v>
      </c>
      <c r="D103" s="739">
        <f ca="1">D20</f>
        <v>29203</v>
      </c>
      <c r="E103" s="3154" t="s">
        <v>2297</v>
      </c>
      <c r="F103" s="3155"/>
      <c r="G103" s="2521" t="s">
        <v>2298</v>
      </c>
      <c r="H103" s="1045">
        <f>IF(D36="正常操作",H104+H105+H106,H105+H106)</f>
        <v>0</v>
      </c>
      <c r="I103" s="138"/>
    </row>
    <row r="104" spans="1:35" ht="18.75" hidden="1" customHeight="1">
      <c r="A104" s="3115"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hidden="1" customHeight="1" thickBot="1">
      <c r="A105" s="3116"/>
      <c r="B105" s="2523" t="s">
        <v>2296</v>
      </c>
      <c r="C105" s="742">
        <f ca="1">I118</f>
        <v>22507</v>
      </c>
      <c r="D105" s="743"/>
      <c r="E105" s="2267" t="s">
        <v>2301</v>
      </c>
      <c r="F105" s="2258"/>
      <c r="G105" s="2521" t="s">
        <v>2298</v>
      </c>
      <c r="H105" s="1046">
        <f>C37</f>
        <v>0</v>
      </c>
      <c r="I105" s="138"/>
    </row>
    <row r="106" spans="1:35" ht="18.75" hidden="1" customHeight="1">
      <c r="A106" s="2418" t="s">
        <v>2302</v>
      </c>
      <c r="B106" s="2418"/>
      <c r="C106" s="2418"/>
      <c r="D106" s="2418"/>
      <c r="E106" s="2524" t="s">
        <v>2303</v>
      </c>
      <c r="F106" s="2258"/>
      <c r="G106" s="2521" t="s">
        <v>2298</v>
      </c>
      <c r="H106" s="1046">
        <f>C38</f>
        <v>0</v>
      </c>
      <c r="I106" s="138"/>
    </row>
    <row r="107" spans="1:35" ht="18.75" hidden="1" customHeight="1">
      <c r="A107" s="138"/>
      <c r="B107" s="138"/>
      <c r="C107" s="138"/>
      <c r="D107" s="138"/>
      <c r="E107" s="3112" t="str">
        <f>IF(项目基本情况!E8="已注销","——","3.房地产抵押价值")</f>
        <v>3.房地产抵押价值</v>
      </c>
      <c r="F107" s="3113"/>
      <c r="G107" s="2520" t="s">
        <v>2294</v>
      </c>
      <c r="H107" s="1045">
        <f ca="1">IF(E107="——","——",H101-H103)</f>
        <v>36436</v>
      </c>
      <c r="I107" s="138"/>
    </row>
    <row r="108" spans="1:35" ht="18.75" hidden="1" customHeight="1">
      <c r="A108" s="138"/>
      <c r="B108" s="138"/>
      <c r="C108" s="138"/>
      <c r="D108" s="138"/>
      <c r="E108" s="3112"/>
      <c r="F108" s="3113"/>
      <c r="G108" s="2520" t="s">
        <v>2296</v>
      </c>
      <c r="H108" s="371">
        <f ca="1">ROUND(H107*10000/'数据-汇总表'!E3,0)</f>
        <v>22507</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0" t="s">
        <v>2294</v>
      </c>
      <c r="H109" s="348" t="str">
        <f>IF(E109="——","——",H101-H105-H106)</f>
        <v>——</v>
      </c>
      <c r="I109" s="138"/>
    </row>
    <row r="110" spans="1:35" ht="18.75" hidden="1" customHeight="1">
      <c r="A110" s="138"/>
      <c r="B110" s="138"/>
      <c r="C110" s="138"/>
      <c r="D110" s="138"/>
      <c r="E110" s="3112"/>
      <c r="F110" s="3113"/>
      <c r="G110" s="2520" t="s">
        <v>2296</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4.抵押净值</v>
      </c>
      <c r="F111" s="3148"/>
      <c r="G111" s="2520" t="s">
        <v>2294</v>
      </c>
      <c r="H111" s="1045">
        <f ca="1">IF(E111="——","——",N59)</f>
        <v>24804</v>
      </c>
      <c r="I111" s="138"/>
    </row>
    <row r="112" spans="1:35" ht="18.75" hidden="1" customHeight="1" thickBot="1">
      <c r="A112" s="138"/>
      <c r="B112" s="138"/>
      <c r="C112" s="138"/>
      <c r="D112" s="138"/>
      <c r="E112" s="3149"/>
      <c r="F112" s="3150"/>
      <c r="G112" s="2525" t="s">
        <v>2296</v>
      </c>
      <c r="H112" s="790">
        <f ca="1">IF(E111="——","——",N61)</f>
        <v>15322</v>
      </c>
      <c r="I112" s="138"/>
    </row>
    <row r="113" spans="1:11" ht="18.75" hidden="1" customHeight="1">
      <c r="A113" s="138"/>
      <c r="B113" s="138"/>
      <c r="C113" s="138"/>
      <c r="D113" s="138"/>
      <c r="E113" s="3117" t="s">
        <v>2302</v>
      </c>
      <c r="F113" s="3117"/>
      <c r="G113" s="3117"/>
      <c r="H113" s="3117"/>
      <c r="I113" s="138"/>
    </row>
    <row r="114" spans="1:11" ht="3.75" hidden="1" customHeight="1">
      <c r="A114" s="2418"/>
      <c r="B114" s="2418"/>
      <c r="C114" s="2418"/>
      <c r="D114" s="2418"/>
      <c r="E114" s="2496"/>
      <c r="F114" s="2496"/>
      <c r="G114" s="2496"/>
      <c r="H114" s="2496"/>
      <c r="I114" s="2418"/>
    </row>
    <row r="115" spans="1:11" ht="18.75" hidden="1" customHeight="1">
      <c r="A115" s="3130" t="s">
        <v>2304</v>
      </c>
      <c r="B115" s="3131"/>
      <c r="C115" s="3131"/>
      <c r="D115" s="3131"/>
      <c r="E115" s="3131"/>
      <c r="F115" s="3131"/>
      <c r="G115" s="3131"/>
      <c r="H115" s="3131"/>
      <c r="I115" s="3132"/>
    </row>
    <row r="116" spans="1:11" ht="27" hidden="1" customHeight="1">
      <c r="A116" s="3023" t="s">
        <v>2305</v>
      </c>
      <c r="B116" s="3118" t="s">
        <v>2306</v>
      </c>
      <c r="C116" s="3118" t="s">
        <v>2307</v>
      </c>
      <c r="D116" s="3134" t="s">
        <v>2308</v>
      </c>
      <c r="E116" s="3135"/>
      <c r="F116" s="3126" t="s">
        <v>2309</v>
      </c>
      <c r="G116" s="3126"/>
      <c r="H116" s="3023" t="s">
        <v>2310</v>
      </c>
      <c r="I116" s="3023"/>
    </row>
    <row r="117" spans="1:11" ht="18.75" hidden="1" customHeight="1">
      <c r="A117" s="3023"/>
      <c r="B117" s="3119"/>
      <c r="C117" s="3119"/>
      <c r="D117" s="2963" t="s">
        <v>2311</v>
      </c>
      <c r="E117" s="2963" t="s">
        <v>2312</v>
      </c>
      <c r="F117" s="2963" t="s">
        <v>2311</v>
      </c>
      <c r="G117" s="2963" t="s">
        <v>2313</v>
      </c>
      <c r="H117" s="2963" t="s">
        <v>2311</v>
      </c>
      <c r="I117" s="2963" t="s">
        <v>2313</v>
      </c>
    </row>
    <row r="118" spans="1:11" ht="24.75" hidden="1"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hidden="1" customHeight="1">
      <c r="A119" s="3023" t="s">
        <v>2314</v>
      </c>
      <c r="B119" s="3023"/>
      <c r="C119" s="3023"/>
      <c r="D119" s="3123" t="str">
        <f ca="1">NUMBERSTRING(INT(D118*10000),2)&amp;"元整"</f>
        <v>壹亿伍仟叁佰零叁万元整</v>
      </c>
      <c r="E119" s="3125"/>
      <c r="F119" s="3123" t="str">
        <f ca="1">NUMBERSTRING(INT(F118*10000),2)&amp;"元整"</f>
        <v>贰亿壹仟壹佰叁拾叁万元整</v>
      </c>
      <c r="G119" s="3125"/>
      <c r="H119" s="3123" t="str">
        <f ca="1">NUMBERSTRING(INT(H118*10000),2)&amp;"元整"</f>
        <v>叁亿陆仟肆佰叁拾陆万元整</v>
      </c>
      <c r="I119" s="3125"/>
    </row>
    <row r="120" spans="1:11" ht="18.75" hidden="1" customHeight="1">
      <c r="A120" s="3151" t="str">
        <f>IF(项目基本情况!B9="房地产市场价值","",MID(E103,3,LEN(E103)-2))</f>
        <v>估价师知悉的法定优先受偿款</v>
      </c>
      <c r="B120" s="3152"/>
      <c r="C120" s="3153"/>
      <c r="D120" s="3151">
        <f>H103</f>
        <v>0</v>
      </c>
      <c r="E120" s="3152"/>
      <c r="F120" s="3152"/>
      <c r="G120" s="3152"/>
      <c r="H120" s="3152"/>
      <c r="I120" s="3153"/>
      <c r="K120" s="2423" t="str">
        <f>IF(D120=0,"故，本次评估不存在"&amp;A120,"故，本次评估"&amp;A120&amp;"为人民币"&amp;D120&amp;"万元整。")</f>
        <v>故，本次评估不存在估价师知悉的法定优先受偿款</v>
      </c>
    </row>
    <row r="121" spans="1:11" ht="18.75" hidden="1" customHeight="1">
      <c r="A121" s="3127" t="s">
        <v>2314</v>
      </c>
      <c r="B121" s="3128"/>
      <c r="C121" s="3129"/>
      <c r="D121" s="3123" t="str">
        <f>IF(D120=0,"零元整",NUMBERSTRING(INT(D120*10000),2)&amp;"元整")</f>
        <v>零元整</v>
      </c>
      <c r="E121" s="3124"/>
      <c r="F121" s="3124"/>
      <c r="G121" s="3124"/>
      <c r="H121" s="3124"/>
      <c r="I121" s="3125"/>
    </row>
    <row r="122" spans="1:11" ht="18.75" hidden="1" customHeight="1">
      <c r="A122" s="3114" t="str">
        <f>IF(项目基本情况!B9="房地产市场价值","",MID(E107,3,LEN(E107)-2))</f>
        <v>房地产抵押价值</v>
      </c>
      <c r="B122" s="3114"/>
      <c r="C122" s="3114"/>
      <c r="D122" s="3151">
        <f ca="1">H107</f>
        <v>36436</v>
      </c>
      <c r="E122" s="3152"/>
      <c r="F122" s="3152"/>
      <c r="G122" s="3152"/>
      <c r="H122" s="3152"/>
      <c r="I122" s="3153"/>
    </row>
    <row r="123" spans="1:11" ht="18.75" hidden="1" customHeight="1">
      <c r="A123" s="3023" t="s">
        <v>2314</v>
      </c>
      <c r="B123" s="3023"/>
      <c r="C123" s="3023"/>
      <c r="D123" s="3123" t="str">
        <f ca="1">NUMBERSTRING(INT(D122*10000),2)&amp;"元整"</f>
        <v>叁亿陆仟肆佰叁拾陆万元整</v>
      </c>
      <c r="E123" s="3124"/>
      <c r="F123" s="3124"/>
      <c r="G123" s="3124"/>
      <c r="H123" s="3124"/>
      <c r="I123" s="3125"/>
    </row>
    <row r="124" spans="1:11" ht="18.75" hidden="1" customHeight="1">
      <c r="A124" s="3114" t="str">
        <f>IF(项目基本情况!B9="房地产市场价值","",MID(E109,3,LEN(E109)-2))</f>
        <v/>
      </c>
      <c r="B124" s="3114"/>
      <c r="C124" s="3114"/>
      <c r="D124" s="3151" t="str">
        <f>H109</f>
        <v>——</v>
      </c>
      <c r="E124" s="3152"/>
      <c r="F124" s="3152"/>
      <c r="G124" s="3152"/>
      <c r="H124" s="3152"/>
      <c r="I124" s="3153"/>
    </row>
    <row r="125" spans="1:11" ht="18.75" hidden="1" customHeight="1">
      <c r="A125" s="3023" t="s">
        <v>2314</v>
      </c>
      <c r="B125" s="3023"/>
      <c r="C125" s="3023"/>
      <c r="D125" s="3123" t="e">
        <f>NUMBERSTRING(INT(D124*10000),2)&amp;"元整"</f>
        <v>#VALUE!</v>
      </c>
      <c r="E125" s="3124"/>
      <c r="F125" s="3124"/>
      <c r="G125" s="3124"/>
      <c r="H125" s="3124"/>
      <c r="I125" s="3125"/>
    </row>
    <row r="126" spans="1:11" ht="18.75" hidden="1" customHeight="1">
      <c r="A126" s="3114" t="str">
        <f>IF(项目基本情况!B9="房地产市场价值","",MID(E111,3,LEN(E111)-2))</f>
        <v>抵押净值</v>
      </c>
      <c r="B126" s="3114"/>
      <c r="C126" s="3114"/>
      <c r="D126" s="3151">
        <f ca="1">H111</f>
        <v>24804</v>
      </c>
      <c r="E126" s="3152"/>
      <c r="F126" s="3152"/>
      <c r="G126" s="3152"/>
      <c r="H126" s="3152"/>
      <c r="I126" s="3153"/>
    </row>
    <row r="127" spans="1:11" ht="18.75" hidden="1" customHeight="1">
      <c r="A127" s="3023" t="s">
        <v>2314</v>
      </c>
      <c r="B127" s="3023"/>
      <c r="C127" s="3023"/>
      <c r="D127" s="3123" t="str">
        <f ca="1">NUMBERSTRING(INT(D126*10000),2)&amp;"元整"</f>
        <v>贰亿肆仟捌佰零肆万元整</v>
      </c>
      <c r="E127" s="3124"/>
      <c r="F127" s="3124"/>
      <c r="G127" s="3124"/>
      <c r="H127" s="3124"/>
      <c r="I127" s="3125"/>
    </row>
    <row r="128" spans="1:11" ht="21.75" hidden="1" customHeight="1">
      <c r="A128" s="3133" t="s">
        <v>2315</v>
      </c>
      <c r="B128" s="3133"/>
      <c r="C128" s="3133"/>
      <c r="D128" s="3133"/>
      <c r="E128" s="3133"/>
      <c r="F128" s="3133"/>
      <c r="G128" s="3133"/>
      <c r="H128" s="3133"/>
      <c r="I128" s="3133"/>
    </row>
    <row r="129" spans="1:35" ht="21.75" hidden="1" customHeight="1">
      <c r="A129" s="2527" t="s">
        <v>2316</v>
      </c>
      <c r="B129" s="2528"/>
      <c r="C129" s="2529" t="s">
        <v>2317</v>
      </c>
      <c r="D129" s="2530"/>
      <c r="E129" s="2530"/>
      <c r="F129" s="2530"/>
      <c r="G129" s="2530"/>
      <c r="H129" s="2531"/>
      <c r="I129" s="2532"/>
    </row>
    <row r="130" spans="1:35" ht="21.75" hidden="1" customHeight="1">
      <c r="A130" s="2533">
        <v>1</v>
      </c>
      <c r="B130" s="2534"/>
      <c r="C130" s="2534"/>
      <c r="D130" s="2535"/>
      <c r="E130" s="2535"/>
      <c r="F130" s="2535"/>
      <c r="G130" s="2535"/>
      <c r="H130" s="2536"/>
      <c r="I130" s="2537"/>
    </row>
    <row r="131" spans="1:35" ht="21.75" hidden="1" customHeight="1">
      <c r="A131" s="2533">
        <v>2</v>
      </c>
      <c r="B131" s="2534"/>
      <c r="C131" s="2534"/>
      <c r="D131" s="2535"/>
      <c r="E131" s="2535"/>
      <c r="F131" s="2535"/>
      <c r="G131" s="2535"/>
      <c r="H131" s="2536"/>
      <c r="I131" s="2537"/>
    </row>
    <row r="132" spans="1:35" ht="21.75" hidden="1" customHeight="1">
      <c r="A132" s="2533">
        <v>3</v>
      </c>
      <c r="B132" s="2534"/>
      <c r="C132" s="2534"/>
      <c r="D132" s="2535"/>
      <c r="E132" s="2535"/>
      <c r="F132" s="2535"/>
      <c r="G132" s="2535"/>
      <c r="H132" s="2536"/>
      <c r="I132" s="2537"/>
    </row>
    <row r="133" spans="1:35" ht="21.75" hidden="1" customHeight="1">
      <c r="A133" s="2538"/>
      <c r="B133" s="2539"/>
      <c r="C133" s="2539"/>
      <c r="D133" s="2540"/>
      <c r="E133" s="2540"/>
      <c r="F133" s="2540"/>
      <c r="G133" s="2540"/>
      <c r="H133" s="2541"/>
      <c r="I133" s="2542"/>
    </row>
    <row r="134" spans="1:35" ht="21.75" hidden="1" customHeight="1">
      <c r="A134" s="2534"/>
      <c r="B134" s="2534"/>
      <c r="C134" s="2534"/>
      <c r="D134" s="2535"/>
      <c r="E134" s="2535"/>
      <c r="F134" s="2535"/>
      <c r="G134" s="2535"/>
      <c r="H134" s="2536"/>
      <c r="I134" s="795"/>
    </row>
    <row r="135" spans="1:35" ht="21.75" hidden="1" customHeight="1">
      <c r="A135" s="795"/>
      <c r="B135" s="795"/>
      <c r="C135" s="795"/>
      <c r="D135" s="795"/>
      <c r="E135" s="795"/>
      <c r="F135" s="2543" t="s">
        <v>2318</v>
      </c>
      <c r="G135" s="2544"/>
      <c r="H135" s="2544"/>
      <c r="I135" s="2545" t="s">
        <v>2319</v>
      </c>
    </row>
    <row r="136" spans="1:35" ht="21.75" hidden="1" customHeight="1">
      <c r="A136" s="795"/>
      <c r="B136" s="2546" t="s">
        <v>2320</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44"/>
      <c r="C138" s="2544"/>
      <c r="D138" s="2544"/>
      <c r="E138" s="2544"/>
      <c r="F138" s="2544"/>
      <c r="G138" s="2544"/>
      <c r="H138" s="2544"/>
      <c r="I138" s="2545" t="s">
        <v>2321</v>
      </c>
    </row>
    <row r="139" spans="1:35" ht="21.75" hidden="1" customHeight="1">
      <c r="A139" s="795"/>
      <c r="B139" s="2546" t="s">
        <v>2322</v>
      </c>
      <c r="C139" s="795"/>
      <c r="D139" s="795"/>
      <c r="E139" s="795"/>
      <c r="F139" s="795"/>
      <c r="G139" s="795"/>
      <c r="H139" s="795"/>
      <c r="I139" s="795"/>
    </row>
    <row r="140" spans="1:35" ht="21.75" hidden="1" customHeight="1">
      <c r="A140" s="795"/>
      <c r="B140" s="2546"/>
      <c r="C140" s="795"/>
      <c r="D140" s="795"/>
      <c r="E140" s="795"/>
      <c r="F140" s="795"/>
      <c r="G140" s="795"/>
      <c r="H140" s="795"/>
      <c r="I140" s="795"/>
    </row>
    <row r="141" spans="1:35" ht="21.75" hidden="1" customHeight="1">
      <c r="A141" s="795"/>
      <c r="B141" s="2544"/>
      <c r="C141" s="2544"/>
      <c r="D141" s="2544"/>
      <c r="E141" s="2544"/>
      <c r="F141" s="2544"/>
      <c r="G141" s="2544"/>
      <c r="H141" s="2544"/>
      <c r="I141" s="2545" t="s">
        <v>2321</v>
      </c>
    </row>
    <row r="142" spans="1:35" ht="21.75" hidden="1"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C10:D13">
    <cfRule type="cellIs" dxfId="24" priority="5" stopIfTrue="1" operator="equal">
      <formula>15</formula>
    </cfRule>
  </conditionalFormatting>
  <conditionalFormatting sqref="D14:D16">
    <cfRule type="cellIs" dxfId="23" priority="4" stopIfTrue="1" operator="equal">
      <formula>30</formula>
    </cfRule>
  </conditionalFormatting>
  <conditionalFormatting sqref="C90">
    <cfRule type="expression" dxfId="22" priority="3" stopIfTrue="1">
      <formula>$H$88&lt;&gt;"仅含出让金"</formula>
    </cfRule>
  </conditionalFormatting>
  <conditionalFormatting sqref="C91">
    <cfRule type="expression" dxfId="21" priority="2" stopIfTrue="1">
      <formula>$H$91="由企业提供"</formula>
    </cfRule>
  </conditionalFormatting>
  <conditionalFormatting sqref="E36">
    <cfRule type="expression" dxfId="2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4" zoomScale="70" zoomScaleNormal="100" zoomScaleSheetLayoutView="70" zoomScalePageLayoutView="80" workbookViewId="0">
      <selection activeCell="C80" sqref="C8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hidden="1" customHeight="1" thickBot="1">
      <c r="A1" s="2225" t="s">
        <v>2116</v>
      </c>
      <c r="B1" s="2418"/>
      <c r="C1" s="2419"/>
      <c r="D1" s="2418"/>
      <c r="E1" s="2418"/>
      <c r="F1" s="2420" t="s">
        <v>2117</v>
      </c>
      <c r="G1" s="2070" t="s">
        <v>2118</v>
      </c>
      <c r="H1" s="2421" t="str">
        <f>IF(G1="现房","——","估价对象范围")</f>
        <v>估价对象范围</v>
      </c>
      <c r="I1" s="2422"/>
    </row>
    <row r="2" spans="1:12" ht="21.75" hidden="1" customHeight="1" thickBot="1">
      <c r="A2" s="3105" t="str">
        <f>项目基本情况!S2</f>
        <v>北京市出让国有建设用地使用权及在建建筑物房地产</v>
      </c>
      <c r="B2" s="3106"/>
      <c r="C2" s="3106"/>
      <c r="D2" s="3106"/>
      <c r="E2" s="3106"/>
      <c r="F2" s="3106"/>
      <c r="G2" s="3106"/>
      <c r="H2" s="3106"/>
      <c r="I2" s="3107"/>
    </row>
    <row r="3" spans="1:12" ht="12.75" hidden="1">
      <c r="A3" s="3109" t="s">
        <v>2119</v>
      </c>
      <c r="B3" s="3110"/>
      <c r="C3" s="3110"/>
      <c r="D3" s="3110"/>
      <c r="E3" s="3110"/>
      <c r="F3" s="3110"/>
      <c r="G3" s="3110"/>
      <c r="H3" s="3110"/>
      <c r="I3" s="3110"/>
    </row>
    <row r="4" spans="1:12" ht="14.25" hidden="1">
      <c r="A4" s="2425" t="s">
        <v>2120</v>
      </c>
      <c r="B4" s="2426" t="s">
        <v>2121</v>
      </c>
      <c r="C4" s="2427" t="s">
        <v>3088</v>
      </c>
      <c r="D4" s="2427" t="s">
        <v>3076</v>
      </c>
      <c r="E4" s="3102" t="s">
        <v>2122</v>
      </c>
      <c r="F4" s="3103"/>
      <c r="G4" s="3103"/>
      <c r="H4" s="3103"/>
      <c r="I4" s="3111"/>
      <c r="K4" s="2428" t="str">
        <f>IF(ISNUMBER(FIND("比较法",'结果表-净值2'!C4)),"比较法",IF(ISNUMBER(FIND("成本法",'结果表-净值2'!C4)),"成本法",IF(ISNUMBER(FIND("假设开发法",'结果表-净值2'!C4)),"假设开发法",IF(ISNUMBER(FIND("收益法",'结果表-净值2'!C4)),"收益法","基准地价系数修正法"))))</f>
        <v>成本法</v>
      </c>
      <c r="L4" s="2428" t="str">
        <f>IF(ISNUMBER(FIND("比较法",'结果表-净值2'!D4)),"比较法",IF(ISNUMBER(FIND("成本法",'结果表-净值2'!D4)),"成本法",IF(ISNUMBER(FIND("假设开发法",'结果表-净值2'!D4)),"假设开发法",IF(ISNUMBER(FIND("收益法",'结果表-净值2'!D4)),"收益法","基准地价系数修正法"))))</f>
        <v>收益法</v>
      </c>
    </row>
    <row r="5" spans="1:12" ht="12.75" hidden="1">
      <c r="A5" s="3085" t="s">
        <v>2123</v>
      </c>
      <c r="B5" s="3023">
        <v>25</v>
      </c>
      <c r="C5" s="3088"/>
      <c r="D5" s="3108"/>
      <c r="E5" s="140" t="s">
        <v>2124</v>
      </c>
      <c r="F5" s="2429"/>
      <c r="G5" s="2429"/>
      <c r="H5" s="2429"/>
      <c r="I5" s="1831"/>
    </row>
    <row r="6" spans="1:12" ht="12.75" hidden="1">
      <c r="A6" s="3085"/>
      <c r="B6" s="3023"/>
      <c r="C6" s="3089"/>
      <c r="D6" s="3108"/>
      <c r="E6" s="140" t="s">
        <v>2125</v>
      </c>
      <c r="F6" s="2429"/>
      <c r="G6" s="2429"/>
      <c r="H6" s="2429"/>
      <c r="I6" s="1831"/>
    </row>
    <row r="7" spans="1:12" ht="12.75" hidden="1">
      <c r="A7" s="3085"/>
      <c r="B7" s="3023"/>
      <c r="C7" s="3090"/>
      <c r="D7" s="3108"/>
      <c r="E7" s="140" t="s">
        <v>2126</v>
      </c>
      <c r="F7" s="2429"/>
      <c r="G7" s="2429"/>
      <c r="H7" s="2429"/>
      <c r="I7" s="1831"/>
    </row>
    <row r="8" spans="1:12" ht="12.75" hidden="1">
      <c r="A8" s="3085" t="s">
        <v>2127</v>
      </c>
      <c r="B8" s="3023">
        <v>15</v>
      </c>
      <c r="C8" s="3088"/>
      <c r="D8" s="3108"/>
      <c r="E8" s="140" t="s">
        <v>2128</v>
      </c>
      <c r="F8" s="2429"/>
      <c r="G8" s="2429"/>
      <c r="H8" s="2429"/>
      <c r="I8" s="1831"/>
    </row>
    <row r="9" spans="1:12" ht="12.75" hidden="1">
      <c r="A9" s="3085"/>
      <c r="B9" s="3023"/>
      <c r="C9" s="3090"/>
      <c r="D9" s="3108"/>
      <c r="E9" s="140" t="s">
        <v>2129</v>
      </c>
      <c r="F9" s="2429"/>
      <c r="G9" s="2429"/>
      <c r="H9" s="2429"/>
      <c r="I9" s="1831"/>
    </row>
    <row r="10" spans="1:12" ht="12.75" hidden="1">
      <c r="A10" s="3085" t="s">
        <v>2130</v>
      </c>
      <c r="B10" s="3023">
        <v>15</v>
      </c>
      <c r="C10" s="3088"/>
      <c r="D10" s="3108"/>
      <c r="E10" s="140" t="s">
        <v>2131</v>
      </c>
      <c r="F10" s="2429"/>
      <c r="G10" s="2429"/>
      <c r="H10" s="2429"/>
      <c r="I10" s="1831"/>
    </row>
    <row r="11" spans="1:12" ht="12.75" hidden="1">
      <c r="A11" s="3085"/>
      <c r="B11" s="3023"/>
      <c r="C11" s="3090"/>
      <c r="D11" s="3108"/>
      <c r="E11" s="140" t="s">
        <v>2132</v>
      </c>
      <c r="F11" s="2429"/>
      <c r="G11" s="2429"/>
      <c r="H11" s="2429"/>
      <c r="I11" s="1831"/>
    </row>
    <row r="12" spans="1:12" ht="12.75" hidden="1">
      <c r="A12" s="3085" t="s">
        <v>2133</v>
      </c>
      <c r="B12" s="3023">
        <v>15</v>
      </c>
      <c r="C12" s="3088"/>
      <c r="D12" s="3108"/>
      <c r="E12" s="140" t="s">
        <v>2134</v>
      </c>
      <c r="F12" s="2429"/>
      <c r="G12" s="2429"/>
      <c r="H12" s="2429"/>
      <c r="I12" s="1831"/>
    </row>
    <row r="13" spans="1:12" ht="12.75" hidden="1">
      <c r="A13" s="3085"/>
      <c r="B13" s="3023"/>
      <c r="C13" s="3090"/>
      <c r="D13" s="3108"/>
      <c r="E13" s="140" t="s">
        <v>2135</v>
      </c>
      <c r="F13" s="2429"/>
      <c r="G13" s="2429"/>
      <c r="H13" s="2429"/>
      <c r="I13" s="1831"/>
    </row>
    <row r="14" spans="1:12" ht="12.75" hidden="1">
      <c r="A14" s="3085" t="s">
        <v>2136</v>
      </c>
      <c r="B14" s="3023">
        <v>30</v>
      </c>
      <c r="C14" s="3088">
        <v>3</v>
      </c>
      <c r="D14" s="3108">
        <v>7</v>
      </c>
      <c r="E14" s="140" t="s">
        <v>2137</v>
      </c>
      <c r="F14" s="2429"/>
      <c r="G14" s="2429"/>
      <c r="H14" s="2429"/>
      <c r="I14" s="1831"/>
    </row>
    <row r="15" spans="1:12" ht="12.75" hidden="1">
      <c r="A15" s="3085"/>
      <c r="B15" s="3023"/>
      <c r="C15" s="3089"/>
      <c r="D15" s="3108"/>
      <c r="E15" s="140" t="s">
        <v>2138</v>
      </c>
      <c r="F15" s="2429"/>
      <c r="G15" s="2429"/>
      <c r="H15" s="2429"/>
      <c r="I15" s="1831"/>
    </row>
    <row r="16" spans="1:12" ht="12.75" hidden="1">
      <c r="A16" s="3085"/>
      <c r="B16" s="3023"/>
      <c r="C16" s="3090"/>
      <c r="D16" s="3108"/>
      <c r="E16" s="140" t="s">
        <v>2139</v>
      </c>
      <c r="F16" s="2429"/>
      <c r="G16" s="2429"/>
      <c r="H16" s="2429"/>
      <c r="I16" s="1831"/>
    </row>
    <row r="17" spans="1:35" ht="15" hidden="1">
      <c r="A17" s="2430" t="s">
        <v>2140</v>
      </c>
      <c r="B17" s="64"/>
      <c r="C17" s="141">
        <f>SUM(C5:C16)</f>
        <v>3</v>
      </c>
      <c r="D17" s="141">
        <f>SUM(D5:D16)</f>
        <v>7</v>
      </c>
      <c r="E17" s="138"/>
      <c r="F17" s="138"/>
      <c r="G17" s="138"/>
      <c r="H17" s="138"/>
      <c r="I17" s="138"/>
      <c r="K17" s="2428"/>
      <c r="L17" s="2431" t="s">
        <v>2141</v>
      </c>
      <c r="M17" s="2431" t="s">
        <v>2142</v>
      </c>
    </row>
    <row r="18" spans="1:35" ht="15.75" hidden="1"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hidden="1">
      <c r="A19" s="2434" t="s">
        <v>2145</v>
      </c>
      <c r="B19" s="2435" t="s">
        <v>2146</v>
      </c>
      <c r="C19" s="143">
        <f ca="1">SUMIF(INDIRECT("'"&amp;C4&amp;"'"&amp;"!A:A"),'结果表-净值2'!B19,INDIRECT("'"&amp;C4&amp;"'"&amp;"!B:B"))</f>
        <v>11142</v>
      </c>
      <c r="D19" s="144">
        <f ca="1">SUMIF(INDIRECT("'"&amp;D4&amp;"'"&amp;"!A:A"),'结果表-净值2'!B19,INDIRECT("'"&amp;D4&amp;"'"&amp;"!B:B"))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hidden="1">
      <c r="A20" s="2437"/>
      <c r="B20" s="1247" t="s">
        <v>2150</v>
      </c>
      <c r="C20" s="146">
        <f ca="1">SUMIF(INDIRECT("'"&amp;C4&amp;"'"&amp;"!A:A"),'结果表-净值2'!B20,INDIRECT("'"&amp;C4&amp;"'"&amp;"!B:B"))</f>
        <v>6883</v>
      </c>
      <c r="D20" s="147">
        <f ca="1">SUMIF(INDIRECT("'"&amp;D4&amp;"'"&amp;"!A:A"),'结果表-净值2'!B20,INDIRECT("'"&amp;D4&amp;"'"&amp;"!B:B"))</f>
        <v>29203</v>
      </c>
      <c r="E20" s="2437"/>
      <c r="F20" s="1247" t="s">
        <v>2150</v>
      </c>
      <c r="G20" s="148">
        <f ca="1">ROUND(C20*$C$18+D20*$D$18,0)</f>
        <v>22507</v>
      </c>
      <c r="H20" s="980" t="s">
        <v>2151</v>
      </c>
      <c r="I20" s="138"/>
    </row>
    <row r="21" spans="1:35" ht="15" hidden="1"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hidden="1" thickBot="1">
      <c r="A22" s="2281" t="s">
        <v>2153</v>
      </c>
      <c r="B22" s="2440"/>
      <c r="C22" s="2441"/>
      <c r="D22" s="791">
        <f ca="1">IF(C19&lt;D19,D19/C19-1,C19/D19-1)</f>
        <v>3.2430443367438517</v>
      </c>
      <c r="E22" s="138"/>
      <c r="F22" s="138"/>
      <c r="G22" s="138"/>
      <c r="H22" s="138"/>
      <c r="I22" s="138"/>
    </row>
    <row r="23" spans="1:35" ht="13.5" hidden="1" thickBot="1">
      <c r="A23" s="2418"/>
      <c r="B23" s="2418"/>
      <c r="C23" s="2418"/>
      <c r="D23" s="2418"/>
      <c r="E23" s="138"/>
      <c r="F23" s="138"/>
      <c r="G23" s="138"/>
      <c r="H23" s="138"/>
      <c r="I23" s="138"/>
    </row>
    <row r="24" spans="1:35" ht="14.25" hidden="1">
      <c r="A24" s="3079" t="s">
        <v>2154</v>
      </c>
      <c r="B24" s="2435" t="s">
        <v>2146</v>
      </c>
      <c r="C24" s="145">
        <f>IF(B30=0,0,D30)</f>
        <v>0</v>
      </c>
      <c r="D24" s="2442"/>
      <c r="E24" s="138"/>
      <c r="F24" s="138"/>
      <c r="G24" s="138"/>
      <c r="H24" s="138"/>
      <c r="I24" s="138"/>
    </row>
    <row r="25" spans="1:35" ht="14.25" hidden="1">
      <c r="A25" s="3080"/>
      <c r="B25" s="1247" t="s">
        <v>2150</v>
      </c>
      <c r="C25" s="150">
        <f>IF(B30=0,0,C30)</f>
        <v>0</v>
      </c>
      <c r="D25" s="2443"/>
      <c r="E25" s="138"/>
      <c r="F25" s="138"/>
      <c r="G25" s="138"/>
      <c r="H25" s="138"/>
      <c r="I25" s="138"/>
    </row>
    <row r="26" spans="1:35" ht="13.5" hidden="1" customHeight="1">
      <c r="A26" s="2444" t="s">
        <v>2155</v>
      </c>
      <c r="B26" s="151" t="s">
        <v>2156</v>
      </c>
      <c r="C26" s="151" t="s">
        <v>2157</v>
      </c>
      <c r="D26" s="152" t="s">
        <v>2158</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1" t="s">
        <v>2159</v>
      </c>
      <c r="B30" s="151"/>
      <c r="C30" s="151"/>
      <c r="D30" s="151"/>
      <c r="E30" s="2917" t="s">
        <v>3032</v>
      </c>
      <c r="F30" s="138"/>
      <c r="G30" s="138"/>
      <c r="H30" s="138"/>
      <c r="I30" s="138"/>
    </row>
    <row r="31" spans="1:35" s="2446" customFormat="1" ht="15" hidden="1"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hidden="1" thickBot="1">
      <c r="A32" s="2447" t="s">
        <v>2160</v>
      </c>
      <c r="B32" s="2448"/>
      <c r="C32" s="153">
        <f ca="1">IF(D32="总价",G19-C24,G20-C25)</f>
        <v>36436</v>
      </c>
      <c r="D32" s="2449" t="s">
        <v>2161</v>
      </c>
      <c r="E32" s="138"/>
      <c r="F32" s="138"/>
      <c r="G32" s="138"/>
      <c r="H32" s="138"/>
      <c r="I32" s="138"/>
    </row>
    <row r="33" spans="1:15" ht="15" hidden="1">
      <c r="A33" s="957" t="s">
        <v>2162</v>
      </c>
      <c r="B33" s="2450"/>
      <c r="C33" s="2451" t="s">
        <v>3089</v>
      </c>
      <c r="D33" s="2452" t="s">
        <v>3088</v>
      </c>
      <c r="E33" s="2453" t="s">
        <v>2163</v>
      </c>
      <c r="F33" s="2962" t="str">
        <f>IF(D32="楼面单价","取值（单价）","取值（总价）")</f>
        <v>取值（总价）</v>
      </c>
      <c r="G33" s="138"/>
      <c r="H33" s="138"/>
      <c r="I33" s="138"/>
    </row>
    <row r="34" spans="1:15" ht="15" hidden="1">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hidden="1"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hidden="1" thickBot="1">
      <c r="A36" s="3097" t="s">
        <v>2168</v>
      </c>
      <c r="B36" s="2461" t="s">
        <v>2169</v>
      </c>
      <c r="C36" s="154"/>
      <c r="D36" s="2462"/>
      <c r="E36" s="2463"/>
      <c r="F36" s="2464"/>
      <c r="G36" s="138"/>
      <c r="H36" s="138"/>
      <c r="I36" s="138"/>
    </row>
    <row r="37" spans="1:15" ht="15.75" hidden="1" thickBot="1">
      <c r="A37" s="3098"/>
      <c r="B37" s="2267" t="s">
        <v>2170</v>
      </c>
      <c r="C37" s="156"/>
      <c r="D37" s="1392"/>
      <c r="E37" s="1392"/>
      <c r="F37" s="2464"/>
      <c r="G37" s="138"/>
      <c r="H37" s="138"/>
      <c r="I37" s="138"/>
    </row>
    <row r="38" spans="1:15" ht="15.75" hidden="1" thickBot="1">
      <c r="A38" s="3099"/>
      <c r="B38" s="2465" t="s">
        <v>2171</v>
      </c>
      <c r="C38" s="727"/>
      <c r="D38" s="2466" t="s">
        <v>2172</v>
      </c>
      <c r="E38" s="1392"/>
      <c r="F38" s="2464"/>
      <c r="G38" s="138"/>
      <c r="H38" s="138"/>
      <c r="I38" s="138"/>
    </row>
    <row r="39" spans="1:15" ht="15" hidden="1">
      <c r="A39" s="2437" t="s">
        <v>2173</v>
      </c>
      <c r="B39" s="2467" t="s">
        <v>2156</v>
      </c>
      <c r="C39" s="2468" t="s">
        <v>2157</v>
      </c>
      <c r="D39" s="2468" t="s">
        <v>2176</v>
      </c>
      <c r="E39" s="2469" t="s">
        <v>2158</v>
      </c>
      <c r="F39" s="2464"/>
      <c r="G39" s="138"/>
      <c r="H39" s="138"/>
      <c r="I39" s="138"/>
    </row>
    <row r="40" spans="1:15" ht="14.25" hidden="1">
      <c r="A40" s="2470" t="s">
        <v>2178</v>
      </c>
      <c r="B40" s="158"/>
      <c r="C40" s="159"/>
      <c r="D40" s="159"/>
      <c r="E40" s="160"/>
      <c r="F40" s="2464"/>
      <c r="G40" s="138"/>
      <c r="H40" s="138"/>
      <c r="I40" s="138"/>
    </row>
    <row r="41" spans="1:15" ht="14.25" hidden="1">
      <c r="A41" s="2470" t="s">
        <v>2179</v>
      </c>
      <c r="B41" s="158"/>
      <c r="C41" s="159"/>
      <c r="D41" s="159"/>
      <c r="E41" s="160"/>
      <c r="F41" s="2464"/>
      <c r="G41" s="138"/>
      <c r="H41" s="138"/>
      <c r="I41" s="138"/>
    </row>
    <row r="42" spans="1:15" ht="15" hidden="1" thickBot="1">
      <c r="A42" s="2471"/>
      <c r="B42" s="161"/>
      <c r="C42" s="162"/>
      <c r="D42" s="162"/>
      <c r="E42" s="163"/>
      <c r="F42" s="2464"/>
      <c r="G42" s="138"/>
      <c r="H42" s="138"/>
      <c r="I42" s="138"/>
    </row>
    <row r="43" spans="1:15" ht="12.75" hidden="1">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6" t="s">
        <v>2182</v>
      </c>
      <c r="B45" s="3077"/>
      <c r="C45" s="3078"/>
      <c r="D45" s="2977">
        <f ca="1">ROUND(Sheet1!I6*F45,0)</f>
        <v>4525</v>
      </c>
      <c r="E45" s="165" t="s">
        <v>2183</v>
      </c>
      <c r="F45" s="166">
        <v>0.8</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80"/>
      <c r="I46" s="168"/>
      <c r="J46" s="2967">
        <v>1</v>
      </c>
      <c r="K46" s="3136" t="s">
        <v>2187</v>
      </c>
      <c r="L46" s="3136"/>
      <c r="M46" s="3156"/>
      <c r="N46" s="3156"/>
      <c r="O46" s="3156"/>
    </row>
    <row r="47" spans="1:15" ht="12" customHeight="1">
      <c r="A47" s="169" t="s">
        <v>2188</v>
      </c>
      <c r="B47" s="170"/>
      <c r="C47" s="171"/>
      <c r="D47" s="172" t="s">
        <v>2189</v>
      </c>
      <c r="E47" s="24" t="s">
        <v>2190</v>
      </c>
      <c r="F47" s="173" t="s">
        <v>2191</v>
      </c>
      <c r="G47" s="174" t="s">
        <v>2192</v>
      </c>
      <c r="H47" s="2480"/>
      <c r="I47" s="168"/>
      <c r="J47" s="2967">
        <v>2</v>
      </c>
      <c r="K47" s="3136" t="s">
        <v>2193</v>
      </c>
      <c r="L47" s="3136"/>
      <c r="M47" s="3157">
        <f>'数据-取费表'!B2</f>
        <v>43929</v>
      </c>
      <c r="N47" s="3157"/>
      <c r="O47" s="3157"/>
    </row>
    <row r="48" spans="1:15" ht="25.5">
      <c r="A48" s="3104" t="s">
        <v>2194</v>
      </c>
      <c r="B48" s="3087"/>
      <c r="C48" s="3087"/>
      <c r="D48" s="140">
        <f ca="1">IF(H48="情况1",0,IF(H48="情况2",D52,IF(H48="情况3",D53,IF(H48="情况4",D54))))</f>
        <v>26</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6" t="s">
        <v>2196</v>
      </c>
      <c r="L48" s="3136"/>
      <c r="M48" s="3158">
        <f ca="1">Sheet1!I6</f>
        <v>5656</v>
      </c>
      <c r="N48" s="3158"/>
      <c r="O48" s="3158"/>
    </row>
    <row r="49" spans="1:35" ht="25.5" customHeight="1">
      <c r="A49" s="176" t="s">
        <v>2197</v>
      </c>
      <c r="B49" s="3072" t="s">
        <v>2198</v>
      </c>
      <c r="C49" s="3072"/>
      <c r="D49" s="177">
        <v>0</v>
      </c>
      <c r="E49" s="23" t="s">
        <v>2199</v>
      </c>
      <c r="F49" s="28" t="s">
        <v>34</v>
      </c>
      <c r="G49" s="3142"/>
      <c r="H49" s="138"/>
      <c r="I49" s="2483"/>
      <c r="J49" s="2967">
        <v>4</v>
      </c>
      <c r="K49" s="3136" t="str">
        <f>IF(项目基本情况!E8="房地产抵押价值","房地产抵押价值","抵押担保权已注销时的房地产抵押价值")</f>
        <v>房地产抵押价值</v>
      </c>
      <c r="L49" s="3136"/>
      <c r="M49" s="3158">
        <f ca="1">M48</f>
        <v>5656</v>
      </c>
      <c r="N49" s="3158"/>
      <c r="O49" s="3158"/>
    </row>
    <row r="50" spans="1:35" ht="25.5" customHeight="1">
      <c r="A50" s="178"/>
      <c r="B50" s="3072" t="s">
        <v>2200</v>
      </c>
      <c r="C50" s="3072"/>
      <c r="D50" s="179"/>
      <c r="E50" s="31"/>
      <c r="F50" s="180"/>
      <c r="G50" s="3143"/>
      <c r="H50" s="138"/>
      <c r="I50" s="2483"/>
      <c r="J50" s="3136" t="s">
        <v>2201</v>
      </c>
      <c r="K50" s="3136"/>
      <c r="L50" s="3136"/>
      <c r="M50" s="3136"/>
      <c r="N50" s="3136"/>
      <c r="O50" s="3136"/>
    </row>
    <row r="51" spans="1:35" ht="12" customHeight="1">
      <c r="A51" s="181"/>
      <c r="B51" s="3072" t="s">
        <v>2202</v>
      </c>
      <c r="C51" s="3072"/>
      <c r="D51" s="182"/>
      <c r="E51" s="30"/>
      <c r="F51" s="180"/>
      <c r="G51" s="3144"/>
      <c r="H51" s="138"/>
      <c r="I51" s="2483"/>
      <c r="J51" s="2964" t="s">
        <v>2203</v>
      </c>
      <c r="K51" s="3136" t="s">
        <v>2204</v>
      </c>
      <c r="L51" s="3136"/>
      <c r="M51" s="2964" t="s">
        <v>2205</v>
      </c>
      <c r="N51" s="2964" t="s">
        <v>2206</v>
      </c>
      <c r="O51" s="2964" t="s">
        <v>2207</v>
      </c>
    </row>
    <row r="52" spans="1:35" ht="24" customHeight="1">
      <c r="A52" s="183" t="s">
        <v>2208</v>
      </c>
      <c r="B52" s="3072" t="s">
        <v>2209</v>
      </c>
      <c r="C52" s="3072"/>
      <c r="D52" s="182">
        <f ca="1">ROUND(D45*'数据-取费表'!B41/(1+'数据-取费表'!C42),0)</f>
        <v>237</v>
      </c>
      <c r="E52" s="11" t="s">
        <v>2210</v>
      </c>
      <c r="F52" s="184">
        <f>'数据-取费表'!B41</f>
        <v>5.5000000000000007E-2</v>
      </c>
      <c r="G52" s="2485"/>
      <c r="H52" s="138"/>
      <c r="I52" s="2483"/>
      <c r="J52" s="2967">
        <v>1</v>
      </c>
      <c r="K52" s="3137" t="s">
        <v>2211</v>
      </c>
      <c r="L52" s="3137"/>
      <c r="M52" s="1751">
        <f ca="1">D48</f>
        <v>26</v>
      </c>
      <c r="N52" s="2967" t="str">
        <f>E48</f>
        <v>(销售额-原购置价)×税（费）率</v>
      </c>
      <c r="O52" s="1752">
        <f>F48</f>
        <v>5.5000000000000007E-2</v>
      </c>
    </row>
    <row r="53" spans="1:35" ht="12" customHeight="1">
      <c r="A53" s="183" t="s">
        <v>2212</v>
      </c>
      <c r="B53" s="3095" t="s">
        <v>2213</v>
      </c>
      <c r="C53" s="3096"/>
      <c r="D53" s="182">
        <f ca="1">ROUND(D45*'数据-取费表'!B41/(1+'数据-取费表'!C42),0)</f>
        <v>237</v>
      </c>
      <c r="E53" s="11" t="s">
        <v>2210</v>
      </c>
      <c r="F53" s="184">
        <f>'数据-取费表'!B41</f>
        <v>5.5000000000000007E-2</v>
      </c>
      <c r="G53" s="2485"/>
      <c r="H53" s="138"/>
      <c r="I53" s="2483"/>
      <c r="J53" s="2967">
        <v>2</v>
      </c>
      <c r="K53" s="3137" t="s">
        <v>2214</v>
      </c>
      <c r="L53" s="3137"/>
      <c r="M53" s="1751">
        <f t="shared" ref="M53:O54" ca="1" si="0">D55</f>
        <v>2</v>
      </c>
      <c r="N53" s="2967" t="str">
        <f t="shared" si="0"/>
        <v>销售额×税（费）率</v>
      </c>
      <c r="O53" s="1752">
        <f t="shared" si="0"/>
        <v>5.0000000000000001E-4</v>
      </c>
    </row>
    <row r="54" spans="1:35" ht="12" customHeight="1">
      <c r="A54" s="183" t="s">
        <v>2215</v>
      </c>
      <c r="B54" s="3095" t="s">
        <v>2216</v>
      </c>
      <c r="C54" s="3096"/>
      <c r="D54" s="182">
        <f ca="1">C68</f>
        <v>26</v>
      </c>
      <c r="E54" s="30" t="s">
        <v>2217</v>
      </c>
      <c r="F54" s="184">
        <f>'数据-取费表'!B41</f>
        <v>5.5000000000000007E-2</v>
      </c>
      <c r="G54" s="2485"/>
      <c r="H54" s="2486"/>
      <c r="I54" s="2483"/>
      <c r="J54" s="2967">
        <v>3</v>
      </c>
      <c r="K54" s="3137" t="s">
        <v>2218</v>
      </c>
      <c r="L54" s="3137"/>
      <c r="M54" s="1751">
        <f t="shared" ca="1" si="0"/>
        <v>103</v>
      </c>
      <c r="N54" s="2967" t="str">
        <f t="shared" si="0"/>
        <v>增值额×税（费）率</v>
      </c>
      <c r="O54" s="1753" t="str">
        <f t="shared" si="0"/>
        <v>——</v>
      </c>
    </row>
    <row r="55" spans="1:35" ht="24" customHeight="1">
      <c r="A55" s="3086" t="s">
        <v>2219</v>
      </c>
      <c r="B55" s="3087"/>
      <c r="C55" s="3087"/>
      <c r="D55" s="185">
        <f ca="1">IF(H55="个人住宅",0,ROUND(D45*I55,0))</f>
        <v>2</v>
      </c>
      <c r="E55" s="11" t="s">
        <v>2220</v>
      </c>
      <c r="F55" s="184">
        <f>IF(H55="正常",I55,"免征")</f>
        <v>5.0000000000000001E-4</v>
      </c>
      <c r="G55" s="2485"/>
      <c r="H55" s="2482" t="s">
        <v>2221</v>
      </c>
      <c r="I55" s="186">
        <f>'数据-取费表'!B49</f>
        <v>5.0000000000000001E-4</v>
      </c>
      <c r="J55" s="2967" t="str">
        <f>IF(H59="非个人房产","",4)</f>
        <v/>
      </c>
      <c r="K55" s="3137" t="str">
        <f>IF(H59="非个人房产","——","个人所得税")</f>
        <v>——</v>
      </c>
      <c r="L55" s="3137"/>
      <c r="M55" s="1754" t="str">
        <f>D59</f>
        <v>——</v>
      </c>
      <c r="N55" s="2968" t="str">
        <f>E59</f>
        <v>——</v>
      </c>
      <c r="O55" s="1755" t="str">
        <f>F59</f>
        <v>——</v>
      </c>
    </row>
    <row r="56" spans="1:35" ht="24.75">
      <c r="A56" s="3086" t="s">
        <v>2222</v>
      </c>
      <c r="B56" s="3087"/>
      <c r="C56" s="3087"/>
      <c r="D56" s="185">
        <f ca="1">IF(H56="个人住宅",D57,D58)</f>
        <v>103</v>
      </c>
      <c r="E56" s="11" t="s">
        <v>2223</v>
      </c>
      <c r="F56" s="184" t="str">
        <f>IF(H56="正常",F58,"免征")</f>
        <v>——</v>
      </c>
      <c r="G56" s="2487" t="s">
        <v>2224</v>
      </c>
      <c r="H56" s="2488" t="s">
        <v>2221</v>
      </c>
      <c r="I56" s="2489"/>
      <c r="J56" s="2967"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5"/>
      <c r="H57" s="2489"/>
      <c r="I57" s="2489"/>
      <c r="J57" s="3137">
        <f>IF(AND(J55="",J56=""),4,IF(项目基本情况!K6="上海银行",'结果表-净值2'!J56+1,'结果表-净值2'!J55+1))</f>
        <v>4</v>
      </c>
      <c r="K57" s="3137" t="s">
        <v>2226</v>
      </c>
      <c r="L57" s="2490" t="s">
        <v>2227</v>
      </c>
      <c r="M57" s="1756"/>
      <c r="N57" s="1757">
        <f ca="1">SUMIF(M52:M56,"&lt;9e307")</f>
        <v>131</v>
      </c>
      <c r="O57" s="2491"/>
      <c r="P57" s="1750">
        <f ca="1">N57/M49</f>
        <v>2.316124469589816E-2</v>
      </c>
    </row>
    <row r="58" spans="1:35" ht="24.75">
      <c r="A58" s="183" t="s">
        <v>2208</v>
      </c>
      <c r="B58" s="3102" t="s">
        <v>2228</v>
      </c>
      <c r="C58" s="3103"/>
      <c r="D58" s="185">
        <f ca="1">IF(H58="转让取得",C81,C97)</f>
        <v>103</v>
      </c>
      <c r="E58" s="11" t="s">
        <v>2223</v>
      </c>
      <c r="F58" s="24" t="s">
        <v>34</v>
      </c>
      <c r="G58" s="2485"/>
      <c r="H58" s="2488" t="s">
        <v>3091</v>
      </c>
      <c r="I58" s="2489"/>
      <c r="J58" s="3137"/>
      <c r="K58" s="3137"/>
      <c r="L58" s="2490" t="s">
        <v>2229</v>
      </c>
      <c r="M58" s="1758"/>
      <c r="N58" s="2492" t="str">
        <f ca="1">NUMBERSTRING(INT(N57*10000),2)&amp;"元整"</f>
        <v>壹佰叁拾壹万元整</v>
      </c>
      <c r="O58" s="2493"/>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8">
        <f>J57+1</f>
        <v>5</v>
      </c>
      <c r="K59" s="3137" t="s">
        <v>2232</v>
      </c>
      <c r="L59" s="2967" t="s">
        <v>2227</v>
      </c>
      <c r="M59" s="1759"/>
      <c r="N59" s="1760">
        <f ca="1">M49-N57</f>
        <v>5525</v>
      </c>
      <c r="O59" s="2495"/>
    </row>
    <row r="60" spans="1:35" ht="12" customHeight="1">
      <c r="A60" s="2496"/>
      <c r="B60" s="2418"/>
      <c r="C60" s="2418"/>
      <c r="D60" s="2418"/>
      <c r="E60" s="2166"/>
      <c r="F60" s="2489"/>
      <c r="G60" s="2489"/>
      <c r="H60" s="2497"/>
      <c r="I60" s="138"/>
      <c r="J60" s="3139"/>
      <c r="K60" s="3137"/>
      <c r="L60" s="2490" t="s">
        <v>2229</v>
      </c>
      <c r="M60" s="1758"/>
      <c r="N60" s="2492" t="str">
        <f ca="1">NUMBERSTRING(INT(N59*10000),2)&amp;"元整"</f>
        <v>伍仟伍佰贰拾伍万元整</v>
      </c>
      <c r="O60" s="2493"/>
    </row>
    <row r="61" spans="1:35" ht="13.5" thickBot="1">
      <c r="A61" s="3084" t="s">
        <v>2233</v>
      </c>
      <c r="B61" s="3084"/>
      <c r="C61" s="3084"/>
      <c r="D61" s="3084"/>
      <c r="E61" s="3084"/>
      <c r="F61" s="2489"/>
      <c r="G61" s="2489"/>
      <c r="H61" s="2497"/>
      <c r="I61" s="138"/>
      <c r="J61" s="2967">
        <f>J59+1</f>
        <v>6</v>
      </c>
      <c r="K61" s="3137" t="s">
        <v>2234</v>
      </c>
      <c r="L61" s="3137"/>
      <c r="M61" s="1761"/>
      <c r="N61" s="1762">
        <f ca="1">ROUND(N59*10000/'数据-汇总表'!E3,0)</f>
        <v>3413</v>
      </c>
      <c r="O61" s="2498"/>
    </row>
    <row r="62" spans="1:35" ht="12.75">
      <c r="A62" s="3100" t="s">
        <v>2235</v>
      </c>
      <c r="B62" s="3101"/>
      <c r="C62" s="2972"/>
      <c r="D62" s="2972" t="s">
        <v>2236</v>
      </c>
      <c r="E62" s="192" t="s">
        <v>2237</v>
      </c>
      <c r="F62" s="2489"/>
      <c r="G62" s="2489"/>
      <c r="H62" s="2497"/>
      <c r="I62" s="138"/>
    </row>
    <row r="63" spans="1:35" ht="12.75">
      <c r="A63" s="203" t="s">
        <v>775</v>
      </c>
      <c r="B63" s="193" t="s">
        <v>2238</v>
      </c>
      <c r="C63" s="194">
        <f ca="1">ROUND((C64+C65)/(1+'数据-取费表'!C42),0)</f>
        <v>4310</v>
      </c>
      <c r="D63" s="195"/>
      <c r="E63" s="196"/>
      <c r="F63" s="2489"/>
      <c r="G63" s="2489"/>
      <c r="H63" s="2497"/>
      <c r="I63" s="138"/>
      <c r="J63" s="3162" t="s">
        <v>2239</v>
      </c>
      <c r="K63" s="2965" t="s">
        <v>2240</v>
      </c>
      <c r="L63" s="1749">
        <f ca="1">IF(M49&gt;10000,M49*0.5%,IF(AND(M49&gt;1000,M49&lt;=10000),M49*1%,IF(AND(M49&gt;100,M49&lt;=1000),M49*3%,IF(AND(M49&gt;10,M49&lt;=100),M49*5%,M49*8%))))</f>
        <v>56.56</v>
      </c>
      <c r="M63" s="24">
        <f ca="1">ROUND(L63,1)</f>
        <v>56.6</v>
      </c>
      <c r="Z63" s="2423"/>
      <c r="AI63" s="2424"/>
    </row>
    <row r="64" spans="1:35" ht="14.25" customHeight="1">
      <c r="A64" s="197" t="s">
        <v>770</v>
      </c>
      <c r="B64" s="198" t="s">
        <v>2241</v>
      </c>
      <c r="C64" s="199">
        <f ca="1">D45</f>
        <v>4525</v>
      </c>
      <c r="D64" s="200" t="s">
        <v>32</v>
      </c>
      <c r="E64" s="201"/>
      <c r="F64" s="2489"/>
      <c r="G64" s="2489"/>
      <c r="H64" s="2497"/>
      <c r="I64" s="138"/>
      <c r="J64" s="3162"/>
      <c r="K64" s="2965" t="s">
        <v>2242</v>
      </c>
      <c r="L64" s="1749">
        <f ca="1">IF(M49&gt;2000,M49*0.5%,IF(AND(M49&gt;1000,M49&lt;=2000),M49*0.6%,IF(AND(M49&gt;500,M49&lt;=1000),M49*0.7%,IF(AND(M49&gt;200,M49&lt;=500),M49*0.8%,IF(AND(M49&gt;100,M49&lt;=200),M49*0.9%,IF(AND(M49&gt;50,M49&lt;=100),M49*1%,IF(AND(M49&gt;20,M49&lt;=50),M49*1.5%,IF(AND(M49&gt;10,M49&lt;=20),M49*2%,IF(AND(M49&gt;1,M49&lt;=10),M49*2.5%)))))))))</f>
        <v>28.28</v>
      </c>
      <c r="M64" s="24">
        <f t="shared" ref="M64:M65" ca="1" si="1">ROUND(L64,1)</f>
        <v>28.3</v>
      </c>
      <c r="N64" s="138" t="s">
        <v>2243</v>
      </c>
      <c r="Z64" s="2423"/>
      <c r="AI64" s="2424"/>
    </row>
    <row r="65" spans="1:35" ht="14.25" customHeight="1">
      <c r="A65" s="197" t="s">
        <v>771</v>
      </c>
      <c r="B65" s="198" t="s">
        <v>2244</v>
      </c>
      <c r="C65" s="202"/>
      <c r="D65" s="200"/>
      <c r="E65" s="201"/>
      <c r="F65" s="2489"/>
      <c r="G65" s="2489"/>
      <c r="H65" s="2497"/>
      <c r="I65" s="138"/>
      <c r="J65" s="3162"/>
      <c r="K65" s="2965" t="s">
        <v>2245</v>
      </c>
      <c r="L65" s="1749">
        <f ca="1">IF(M49&gt;1000,M49*0.1%,IF(AND(M49&gt;500,M49&lt;=1000),M49*0.5%,IF(AND(M49&gt;50,M49&lt;=500),M49*1%,IF(AND(M49&gt;1,M49&lt;=50),M49*1.5%))))</f>
        <v>5.6559999999999997</v>
      </c>
      <c r="M65" s="24">
        <f t="shared" ca="1" si="1"/>
        <v>5.7</v>
      </c>
      <c r="N65" s="138" t="s">
        <v>2243</v>
      </c>
      <c r="Z65" s="2423"/>
      <c r="AI65" s="2424"/>
    </row>
    <row r="66" spans="1:35" ht="14.25" customHeight="1">
      <c r="A66" s="203" t="s">
        <v>772</v>
      </c>
      <c r="B66" s="204" t="s">
        <v>2246</v>
      </c>
      <c r="C66" s="205">
        <f>ROUND(Sheet1!M6/1.05,0)</f>
        <v>3829</v>
      </c>
      <c r="D66" s="206" t="s">
        <v>32</v>
      </c>
      <c r="E66" s="1773" t="s">
        <v>1366</v>
      </c>
      <c r="F66" s="2489"/>
      <c r="G66" s="2489"/>
      <c r="H66" s="2497"/>
      <c r="I66" s="138"/>
      <c r="J66" s="3162"/>
      <c r="K66" s="2965" t="s">
        <v>2247</v>
      </c>
      <c r="L66" s="1749">
        <f ca="1">M49*0.5%</f>
        <v>28.28</v>
      </c>
      <c r="M66" s="24">
        <f ca="1">IF(L66&gt;0.5,0.5,ROUND(L66,0))</f>
        <v>0.5</v>
      </c>
      <c r="N66" s="138" t="s">
        <v>2248</v>
      </c>
      <c r="Z66" s="2423"/>
      <c r="AI66" s="2424"/>
    </row>
    <row r="67" spans="1:35" ht="14.25" customHeight="1">
      <c r="A67" s="203" t="s">
        <v>773</v>
      </c>
      <c r="B67" s="204" t="s">
        <v>2249</v>
      </c>
      <c r="C67" s="207">
        <f ca="1">C63-C66</f>
        <v>481</v>
      </c>
      <c r="D67" s="200" t="s">
        <v>32</v>
      </c>
      <c r="E67" s="201"/>
      <c r="F67" s="2489"/>
      <c r="G67" s="2489"/>
      <c r="H67" s="2497"/>
      <c r="I67" s="138"/>
      <c r="J67" s="3162"/>
      <c r="K67" s="2965" t="s">
        <v>2250</v>
      </c>
      <c r="L67" s="1749">
        <f ca="1">IF(M49&gt;=10000,(8.25+(M49-10000)*0.01%),IF(AND(M49&gt;=8000,M49&lt;10000),(7.85+(M49-8000)*0.02%),IF(AND(M49&gt;=5000,M49&lt;8000),(6.65+(M49-5000)*0.04%),IF(AND(M49&gt;=2000,M49&lt;5000),(4.25+(PM49-2000)*0.08%),IF(AND(M49&gt;=1000,M49&lt;2000),(2.75+(M49-1000)*0.15%),IF(AND(M49&gt;=100,M49&lt;1000),(0.5+(M49-100)*0.25%),IF(AND(M49&gt;0,M49&lt;100),M49*0.5%)))))))</f>
        <v>6.9124000000000008</v>
      </c>
      <c r="M67" s="24">
        <f ca="1">ROUND(L67*0.9,1)</f>
        <v>6.2</v>
      </c>
      <c r="Z67" s="2423"/>
      <c r="AI67" s="2424"/>
    </row>
    <row r="68" spans="1:35" ht="14.25" customHeight="1" thickBot="1">
      <c r="A68" s="208" t="s">
        <v>774</v>
      </c>
      <c r="B68" s="209" t="s">
        <v>2251</v>
      </c>
      <c r="C68" s="210">
        <f ca="1">IF(C67&lt;=0,0,ROUND(C67*D68,0))</f>
        <v>26</v>
      </c>
      <c r="D68" s="211">
        <f>'数据-取费表'!B41</f>
        <v>5.5000000000000007E-2</v>
      </c>
      <c r="E68" s="212"/>
      <c r="F68" s="2489"/>
      <c r="G68" s="2489"/>
      <c r="H68" s="2497"/>
      <c r="I68" s="138"/>
      <c r="J68" s="3162"/>
      <c r="K68" s="2965" t="s">
        <v>2252</v>
      </c>
      <c r="L68" s="1749">
        <f ca="1">IF(M49&gt;10000,M49*0.5%,IF(AND(M49&gt;5000,M49&lt;=10000),M49*1%,IF(AND(M49&gt;1000,M49&lt;=5000),M49*2%,IF(AND(M49&gt;200,M49&lt;=1000),M49*3%,M49*5%))))</f>
        <v>56.56</v>
      </c>
      <c r="M68" s="24">
        <f ca="1">ROUND(L68,1)</f>
        <v>56.6</v>
      </c>
      <c r="Z68" s="2423"/>
      <c r="AI68" s="2424"/>
    </row>
    <row r="69" spans="1:35" s="2446" customFormat="1" ht="16.5" customHeight="1">
      <c r="A69" s="2500"/>
      <c r="B69" s="2501"/>
      <c r="C69" s="2502"/>
      <c r="D69" s="2503"/>
      <c r="E69" s="2504"/>
      <c r="F69" s="2166"/>
      <c r="G69" s="2166"/>
      <c r="H69" s="2165"/>
      <c r="I69" s="2418"/>
      <c r="J69" s="3162"/>
      <c r="K69" s="2965" t="s">
        <v>2253</v>
      </c>
      <c r="L69" s="2505"/>
      <c r="M69" s="24">
        <f ca="1">ROUND(SUM(M63:M68),0)</f>
        <v>154</v>
      </c>
      <c r="N69" s="1750">
        <f ca="1">M69/M49</f>
        <v>2.7227722772277228E-2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2235</v>
      </c>
      <c r="B71" s="3101"/>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4310</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3968</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3946</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f>Sheet1!M6</f>
        <v>4020.8960000000002</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5" t="s">
        <v>2262</v>
      </c>
      <c r="F76" s="3072"/>
      <c r="G76" s="3072"/>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117</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v>
      </c>
      <c r="D78" s="226">
        <f>'数据-取费表'!B43</f>
        <v>5.000000000000001E-3</v>
      </c>
      <c r="E78" s="3081" t="s">
        <v>2267</v>
      </c>
      <c r="F78" s="3082"/>
      <c r="G78" s="3082"/>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342</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8.6189516129032265E-2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1" t="s">
        <v>2271</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0" t="s">
        <v>2235</v>
      </c>
      <c r="B84" s="3101"/>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2255</v>
      </c>
      <c r="C85" s="207">
        <f ca="1">ROUND(D45/(1+'数据-取费表'!C42),0)</f>
        <v>4310</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2256</v>
      </c>
      <c r="C86" s="207">
        <f ca="1">IF(H88="仅含出让金",C87+C90+C91+C92+C93+C94,C87+C91+C92+C93+C94)</f>
        <v>22</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2278</v>
      </c>
      <c r="B91" s="198" t="s">
        <v>2279</v>
      </c>
      <c r="C91" s="225">
        <f>IF(H91="——",成本法!C33,I91)</f>
        <v>0</v>
      </c>
      <c r="D91" s="226"/>
      <c r="E91" s="3081" t="s">
        <v>2280</v>
      </c>
      <c r="F91" s="3082"/>
      <c r="G91" s="308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2282</v>
      </c>
      <c r="B92" s="198" t="s">
        <v>2283</v>
      </c>
      <c r="C92" s="225">
        <f>ROUND((C87+C90+C91)*D92,0)</f>
        <v>0</v>
      </c>
      <c r="D92" s="226">
        <v>0.1</v>
      </c>
      <c r="E92" s="3081" t="s">
        <v>2284</v>
      </c>
      <c r="F92" s="3082"/>
      <c r="G92" s="3082"/>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2285</v>
      </c>
      <c r="B93" s="198" t="s">
        <v>2266</v>
      </c>
      <c r="C93" s="225">
        <f ca="1">ROUND(D45*D93/(1+'数据-取费表'!C42),0)</f>
        <v>22</v>
      </c>
      <c r="D93" s="226">
        <f>'数据-取费表'!B43</f>
        <v>5.000000000000001E-3</v>
      </c>
      <c r="E93" s="3081" t="s">
        <v>2267</v>
      </c>
      <c r="F93" s="3082"/>
      <c r="G93" s="3082"/>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2286</v>
      </c>
      <c r="B94" s="198" t="s">
        <v>2287</v>
      </c>
      <c r="C94" s="236">
        <f>ROUND((C87+C90+C91)*D94,0)</f>
        <v>0</v>
      </c>
      <c r="D94" s="226">
        <v>0.2</v>
      </c>
      <c r="E94" s="3092" t="s">
        <v>2288</v>
      </c>
      <c r="F94" s="3093"/>
      <c r="G94" s="3093"/>
      <c r="H94" s="309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773</v>
      </c>
      <c r="B95" s="204" t="s">
        <v>2268</v>
      </c>
      <c r="C95" s="207">
        <f ca="1">ROUND(C85-C86,0)</f>
        <v>4288</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2269</v>
      </c>
      <c r="C96" s="227">
        <f ca="1">IF(C95&lt;=0,0,C95/C86)</f>
        <v>194.90909090909091</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2270</v>
      </c>
      <c r="C97" s="228">
        <f ca="1">ROUND(IF(C95&lt;=0,0,IF(C96&gt;=200%,C95*60%-C86*35%,IF(C96&gt;=100%,C95*50%-C86*15%,IF(C96&gt;=50%,C95*40%-C86*5%,IF(C96&lt;50%,C95*30%,0))))),0)</f>
        <v>2565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6"/>
      <c r="F98" s="2166"/>
      <c r="G98" s="2166"/>
      <c r="H98" s="2165"/>
      <c r="I98" s="138"/>
    </row>
    <row r="99" spans="1:35" ht="21.75" hidden="1" customHeight="1" thickBot="1">
      <c r="A99" s="2474" t="s">
        <v>2289</v>
      </c>
      <c r="B99" s="2418"/>
      <c r="C99" s="2418"/>
      <c r="D99" s="2418"/>
      <c r="E99" s="2166"/>
      <c r="F99" s="2166"/>
      <c r="G99" s="2166"/>
      <c r="H99" s="2165"/>
      <c r="I99" s="138"/>
    </row>
    <row r="100" spans="1:35" ht="18.75" hidden="1" customHeight="1">
      <c r="A100" s="3066" t="s">
        <v>2290</v>
      </c>
      <c r="B100" s="3067"/>
      <c r="C100" s="3067"/>
      <c r="D100" s="3083"/>
      <c r="E100" s="3067" t="s">
        <v>2291</v>
      </c>
      <c r="F100" s="3067"/>
      <c r="G100" s="3067"/>
      <c r="H100" s="3083"/>
      <c r="I100" s="138"/>
    </row>
    <row r="101" spans="1:35" ht="18.75" hidden="1" customHeight="1">
      <c r="A101" s="3145" t="s">
        <v>2292</v>
      </c>
      <c r="B101" s="3146"/>
      <c r="C101" s="736" t="str">
        <f>C4</f>
        <v>成本法</v>
      </c>
      <c r="D101" s="737" t="str">
        <f>D4</f>
        <v>收益法</v>
      </c>
      <c r="E101" s="3159" t="s">
        <v>2293</v>
      </c>
      <c r="F101" s="3113"/>
      <c r="G101" s="2520" t="s">
        <v>2294</v>
      </c>
      <c r="H101" s="1045">
        <f ca="1">H118</f>
        <v>36436</v>
      </c>
      <c r="I101" s="138"/>
    </row>
    <row r="102" spans="1:35" ht="18.75" hidden="1" customHeight="1">
      <c r="A102" s="3115" t="s">
        <v>2295</v>
      </c>
      <c r="B102" s="2520" t="s">
        <v>2294</v>
      </c>
      <c r="C102" s="736">
        <f ca="1">C19</f>
        <v>11142</v>
      </c>
      <c r="D102" s="737">
        <f ca="1">D19</f>
        <v>47276</v>
      </c>
      <c r="E102" s="3159"/>
      <c r="F102" s="3113"/>
      <c r="G102" s="2520" t="s">
        <v>2296</v>
      </c>
      <c r="H102" s="371">
        <f ca="1">I118</f>
        <v>22507</v>
      </c>
      <c r="I102" s="138"/>
    </row>
    <row r="103" spans="1:35" ht="42.75" hidden="1" customHeight="1">
      <c r="A103" s="3115"/>
      <c r="B103" s="2520" t="s">
        <v>2296</v>
      </c>
      <c r="C103" s="738">
        <f ca="1">C20</f>
        <v>6883</v>
      </c>
      <c r="D103" s="739">
        <f ca="1">D20</f>
        <v>29203</v>
      </c>
      <c r="E103" s="3154" t="s">
        <v>2297</v>
      </c>
      <c r="F103" s="3155"/>
      <c r="G103" s="2521" t="s">
        <v>2298</v>
      </c>
      <c r="H103" s="1045">
        <f>IF(D36="正常操作",H104+H105+H106,H105+H106)</f>
        <v>0</v>
      </c>
      <c r="I103" s="138"/>
    </row>
    <row r="104" spans="1:35" ht="18.75" hidden="1" customHeight="1">
      <c r="A104" s="3115"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hidden="1" customHeight="1" thickBot="1">
      <c r="A105" s="3116"/>
      <c r="B105" s="2523" t="s">
        <v>2296</v>
      </c>
      <c r="C105" s="742">
        <f ca="1">I118</f>
        <v>22507</v>
      </c>
      <c r="D105" s="743"/>
      <c r="E105" s="2267" t="s">
        <v>2301</v>
      </c>
      <c r="F105" s="2258"/>
      <c r="G105" s="2521" t="s">
        <v>2298</v>
      </c>
      <c r="H105" s="1046">
        <f>C37</f>
        <v>0</v>
      </c>
      <c r="I105" s="138"/>
    </row>
    <row r="106" spans="1:35" ht="18.75" hidden="1" customHeight="1">
      <c r="A106" s="2418" t="s">
        <v>2302</v>
      </c>
      <c r="B106" s="2418"/>
      <c r="C106" s="2418"/>
      <c r="D106" s="2418"/>
      <c r="E106" s="2524" t="s">
        <v>2303</v>
      </c>
      <c r="F106" s="2258"/>
      <c r="G106" s="2521" t="s">
        <v>2298</v>
      </c>
      <c r="H106" s="1046">
        <f>C38</f>
        <v>0</v>
      </c>
      <c r="I106" s="138"/>
    </row>
    <row r="107" spans="1:35" ht="18.75" hidden="1" customHeight="1">
      <c r="A107" s="138"/>
      <c r="B107" s="138"/>
      <c r="C107" s="138"/>
      <c r="D107" s="138"/>
      <c r="E107" s="3112" t="str">
        <f>IF(项目基本情况!E8="已注销","——","3.房地产抵押价值")</f>
        <v>3.房地产抵押价值</v>
      </c>
      <c r="F107" s="3113"/>
      <c r="G107" s="2520" t="s">
        <v>2294</v>
      </c>
      <c r="H107" s="1045">
        <f ca="1">IF(E107="——","——",H101-H103)</f>
        <v>36436</v>
      </c>
      <c r="I107" s="138"/>
    </row>
    <row r="108" spans="1:35" ht="18.75" hidden="1" customHeight="1">
      <c r="A108" s="138"/>
      <c r="B108" s="138"/>
      <c r="C108" s="138"/>
      <c r="D108" s="138"/>
      <c r="E108" s="3112"/>
      <c r="F108" s="3113"/>
      <c r="G108" s="2520" t="s">
        <v>2296</v>
      </c>
      <c r="H108" s="371">
        <f ca="1">ROUND(H107*10000/'数据-汇总表'!E3,0)</f>
        <v>22507</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0" t="s">
        <v>2294</v>
      </c>
      <c r="H109" s="348" t="str">
        <f>IF(E109="——","——",H101-H105-H106)</f>
        <v>——</v>
      </c>
      <c r="I109" s="138"/>
    </row>
    <row r="110" spans="1:35" ht="18.75" hidden="1" customHeight="1">
      <c r="A110" s="138"/>
      <c r="B110" s="138"/>
      <c r="C110" s="138"/>
      <c r="D110" s="138"/>
      <c r="E110" s="3112"/>
      <c r="F110" s="3113"/>
      <c r="G110" s="2520" t="s">
        <v>2296</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4.抵押净值</v>
      </c>
      <c r="F111" s="3148"/>
      <c r="G111" s="2520" t="s">
        <v>2294</v>
      </c>
      <c r="H111" s="1045">
        <f ca="1">IF(E111="——","——",N59)</f>
        <v>5525</v>
      </c>
      <c r="I111" s="138"/>
    </row>
    <row r="112" spans="1:35" ht="18.75" hidden="1" customHeight="1" thickBot="1">
      <c r="A112" s="138"/>
      <c r="B112" s="138"/>
      <c r="C112" s="138"/>
      <c r="D112" s="138"/>
      <c r="E112" s="3149"/>
      <c r="F112" s="3150"/>
      <c r="G112" s="2525" t="s">
        <v>2296</v>
      </c>
      <c r="H112" s="790">
        <f ca="1">IF(E111="——","——",N61)</f>
        <v>3413</v>
      </c>
      <c r="I112" s="138"/>
    </row>
    <row r="113" spans="1:11" ht="18.75" hidden="1" customHeight="1">
      <c r="A113" s="138"/>
      <c r="B113" s="138"/>
      <c r="C113" s="138"/>
      <c r="D113" s="138"/>
      <c r="E113" s="3117" t="s">
        <v>2302</v>
      </c>
      <c r="F113" s="3117"/>
      <c r="G113" s="3117"/>
      <c r="H113" s="3117"/>
      <c r="I113" s="138"/>
    </row>
    <row r="114" spans="1:11" ht="3.75" hidden="1" customHeight="1">
      <c r="A114" s="2418"/>
      <c r="B114" s="2418"/>
      <c r="C114" s="2418"/>
      <c r="D114" s="2418"/>
      <c r="E114" s="2496"/>
      <c r="F114" s="2496"/>
      <c r="G114" s="2496"/>
      <c r="H114" s="2496"/>
      <c r="I114" s="2418"/>
    </row>
    <row r="115" spans="1:11" ht="18.75" hidden="1" customHeight="1">
      <c r="A115" s="3130" t="s">
        <v>2304</v>
      </c>
      <c r="B115" s="3131"/>
      <c r="C115" s="3131"/>
      <c r="D115" s="3131"/>
      <c r="E115" s="3131"/>
      <c r="F115" s="3131"/>
      <c r="G115" s="3131"/>
      <c r="H115" s="3131"/>
      <c r="I115" s="3132"/>
    </row>
    <row r="116" spans="1:11" ht="27" hidden="1" customHeight="1">
      <c r="A116" s="3023" t="s">
        <v>2305</v>
      </c>
      <c r="B116" s="3118" t="s">
        <v>2306</v>
      </c>
      <c r="C116" s="3118" t="s">
        <v>2307</v>
      </c>
      <c r="D116" s="3134" t="s">
        <v>2308</v>
      </c>
      <c r="E116" s="3135"/>
      <c r="F116" s="3126" t="s">
        <v>2309</v>
      </c>
      <c r="G116" s="3126"/>
      <c r="H116" s="3023" t="s">
        <v>2310</v>
      </c>
      <c r="I116" s="3023"/>
    </row>
    <row r="117" spans="1:11" ht="18.75" hidden="1" customHeight="1">
      <c r="A117" s="3023"/>
      <c r="B117" s="3119"/>
      <c r="C117" s="3119"/>
      <c r="D117" s="2963" t="s">
        <v>2311</v>
      </c>
      <c r="E117" s="2963" t="s">
        <v>2312</v>
      </c>
      <c r="F117" s="2963" t="s">
        <v>2311</v>
      </c>
      <c r="G117" s="2963" t="s">
        <v>2313</v>
      </c>
      <c r="H117" s="2963" t="s">
        <v>2311</v>
      </c>
      <c r="I117" s="2963" t="s">
        <v>2313</v>
      </c>
    </row>
    <row r="118" spans="1:11" ht="24.75" hidden="1"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hidden="1" customHeight="1">
      <c r="A119" s="3023" t="s">
        <v>2314</v>
      </c>
      <c r="B119" s="3023"/>
      <c r="C119" s="3023"/>
      <c r="D119" s="3123" t="str">
        <f ca="1">NUMBERSTRING(INT(D118*10000),2)&amp;"元整"</f>
        <v>壹亿伍仟叁佰零叁万元整</v>
      </c>
      <c r="E119" s="3125"/>
      <c r="F119" s="3123" t="str">
        <f ca="1">NUMBERSTRING(INT(F118*10000),2)&amp;"元整"</f>
        <v>贰亿壹仟壹佰叁拾叁万元整</v>
      </c>
      <c r="G119" s="3125"/>
      <c r="H119" s="3123" t="str">
        <f ca="1">NUMBERSTRING(INT(H118*10000),2)&amp;"元整"</f>
        <v>叁亿陆仟肆佰叁拾陆万元整</v>
      </c>
      <c r="I119" s="3125"/>
    </row>
    <row r="120" spans="1:11" ht="18.75" hidden="1" customHeight="1">
      <c r="A120" s="3151" t="str">
        <f>IF(项目基本情况!B9="房地产市场价值","",MID(E103,3,LEN(E103)-2))</f>
        <v>估价师知悉的法定优先受偿款</v>
      </c>
      <c r="B120" s="3152"/>
      <c r="C120" s="3153"/>
      <c r="D120" s="3151">
        <f>H103</f>
        <v>0</v>
      </c>
      <c r="E120" s="3152"/>
      <c r="F120" s="3152"/>
      <c r="G120" s="3152"/>
      <c r="H120" s="3152"/>
      <c r="I120" s="3153"/>
      <c r="K120" s="2423" t="str">
        <f>IF(D120=0,"故，本次评估不存在"&amp;A120,"故，本次评估"&amp;A120&amp;"为人民币"&amp;D120&amp;"万元整。")</f>
        <v>故，本次评估不存在估价师知悉的法定优先受偿款</v>
      </c>
    </row>
    <row r="121" spans="1:11" ht="18.75" hidden="1" customHeight="1">
      <c r="A121" s="3127" t="s">
        <v>2314</v>
      </c>
      <c r="B121" s="3128"/>
      <c r="C121" s="3129"/>
      <c r="D121" s="3123" t="str">
        <f>IF(D120=0,"零元整",NUMBERSTRING(INT(D120*10000),2)&amp;"元整")</f>
        <v>零元整</v>
      </c>
      <c r="E121" s="3124"/>
      <c r="F121" s="3124"/>
      <c r="G121" s="3124"/>
      <c r="H121" s="3124"/>
      <c r="I121" s="3125"/>
    </row>
    <row r="122" spans="1:11" ht="18.75" hidden="1" customHeight="1">
      <c r="A122" s="3114" t="str">
        <f>IF(项目基本情况!B9="房地产市场价值","",MID(E107,3,LEN(E107)-2))</f>
        <v>房地产抵押价值</v>
      </c>
      <c r="B122" s="3114"/>
      <c r="C122" s="3114"/>
      <c r="D122" s="3151">
        <f ca="1">H107</f>
        <v>36436</v>
      </c>
      <c r="E122" s="3152"/>
      <c r="F122" s="3152"/>
      <c r="G122" s="3152"/>
      <c r="H122" s="3152"/>
      <c r="I122" s="3153"/>
    </row>
    <row r="123" spans="1:11" ht="18.75" hidden="1" customHeight="1">
      <c r="A123" s="3023" t="s">
        <v>2314</v>
      </c>
      <c r="B123" s="3023"/>
      <c r="C123" s="3023"/>
      <c r="D123" s="3123" t="str">
        <f ca="1">NUMBERSTRING(INT(D122*10000),2)&amp;"元整"</f>
        <v>叁亿陆仟肆佰叁拾陆万元整</v>
      </c>
      <c r="E123" s="3124"/>
      <c r="F123" s="3124"/>
      <c r="G123" s="3124"/>
      <c r="H123" s="3124"/>
      <c r="I123" s="3125"/>
    </row>
    <row r="124" spans="1:11" ht="18.75" hidden="1" customHeight="1">
      <c r="A124" s="3114" t="str">
        <f>IF(项目基本情况!B9="房地产市场价值","",MID(E109,3,LEN(E109)-2))</f>
        <v/>
      </c>
      <c r="B124" s="3114"/>
      <c r="C124" s="3114"/>
      <c r="D124" s="3151" t="str">
        <f>H109</f>
        <v>——</v>
      </c>
      <c r="E124" s="3152"/>
      <c r="F124" s="3152"/>
      <c r="G124" s="3152"/>
      <c r="H124" s="3152"/>
      <c r="I124" s="3153"/>
    </row>
    <row r="125" spans="1:11" ht="18.75" hidden="1" customHeight="1">
      <c r="A125" s="3023" t="s">
        <v>2314</v>
      </c>
      <c r="B125" s="3023"/>
      <c r="C125" s="3023"/>
      <c r="D125" s="3123" t="e">
        <f>NUMBERSTRING(INT(D124*10000),2)&amp;"元整"</f>
        <v>#VALUE!</v>
      </c>
      <c r="E125" s="3124"/>
      <c r="F125" s="3124"/>
      <c r="G125" s="3124"/>
      <c r="H125" s="3124"/>
      <c r="I125" s="3125"/>
    </row>
    <row r="126" spans="1:11" ht="18.75" hidden="1" customHeight="1">
      <c r="A126" s="3114" t="str">
        <f>IF(项目基本情况!B9="房地产市场价值","",MID(E111,3,LEN(E111)-2))</f>
        <v>抵押净值</v>
      </c>
      <c r="B126" s="3114"/>
      <c r="C126" s="3114"/>
      <c r="D126" s="3151">
        <f ca="1">H111</f>
        <v>5525</v>
      </c>
      <c r="E126" s="3152"/>
      <c r="F126" s="3152"/>
      <c r="G126" s="3152"/>
      <c r="H126" s="3152"/>
      <c r="I126" s="3153"/>
    </row>
    <row r="127" spans="1:11" ht="18.75" hidden="1" customHeight="1">
      <c r="A127" s="3023" t="s">
        <v>2314</v>
      </c>
      <c r="B127" s="3023"/>
      <c r="C127" s="3023"/>
      <c r="D127" s="3123" t="str">
        <f ca="1">NUMBERSTRING(INT(D126*10000),2)&amp;"元整"</f>
        <v>伍仟伍佰贰拾伍万元整</v>
      </c>
      <c r="E127" s="3124"/>
      <c r="F127" s="3124"/>
      <c r="G127" s="3124"/>
      <c r="H127" s="3124"/>
      <c r="I127" s="3125"/>
    </row>
    <row r="128" spans="1:11" ht="21.75" hidden="1" customHeight="1">
      <c r="A128" s="3133" t="s">
        <v>2315</v>
      </c>
      <c r="B128" s="3133"/>
      <c r="C128" s="3133"/>
      <c r="D128" s="3133"/>
      <c r="E128" s="3133"/>
      <c r="F128" s="3133"/>
      <c r="G128" s="3133"/>
      <c r="H128" s="3133"/>
      <c r="I128" s="3133"/>
    </row>
    <row r="129" spans="1:35" ht="21.75" hidden="1" customHeight="1">
      <c r="A129" s="2527" t="s">
        <v>2316</v>
      </c>
      <c r="B129" s="2528"/>
      <c r="C129" s="2529" t="s">
        <v>2317</v>
      </c>
      <c r="D129" s="2530"/>
      <c r="E129" s="2530"/>
      <c r="F129" s="2530"/>
      <c r="G129" s="2530"/>
      <c r="H129" s="2531"/>
      <c r="I129" s="2532"/>
    </row>
    <row r="130" spans="1:35" ht="21.75" hidden="1" customHeight="1">
      <c r="A130" s="2533">
        <v>1</v>
      </c>
      <c r="B130" s="2534"/>
      <c r="C130" s="2534"/>
      <c r="D130" s="2535"/>
      <c r="E130" s="2535"/>
      <c r="F130" s="2535"/>
      <c r="G130" s="2535"/>
      <c r="H130" s="2536"/>
      <c r="I130" s="2537"/>
    </row>
    <row r="131" spans="1:35" ht="21.75" hidden="1" customHeight="1">
      <c r="A131" s="2533">
        <v>2</v>
      </c>
      <c r="B131" s="2534"/>
      <c r="C131" s="2534"/>
      <c r="D131" s="2535"/>
      <c r="E131" s="2535"/>
      <c r="F131" s="2535"/>
      <c r="G131" s="2535"/>
      <c r="H131" s="2536"/>
      <c r="I131" s="2537"/>
    </row>
    <row r="132" spans="1:35" ht="21.75" hidden="1" customHeight="1">
      <c r="A132" s="2533">
        <v>3</v>
      </c>
      <c r="B132" s="2534"/>
      <c r="C132" s="2534"/>
      <c r="D132" s="2535"/>
      <c r="E132" s="2535"/>
      <c r="F132" s="2535"/>
      <c r="G132" s="2535"/>
      <c r="H132" s="2536"/>
      <c r="I132" s="2537"/>
    </row>
    <row r="133" spans="1:35" ht="21.75" hidden="1" customHeight="1">
      <c r="A133" s="2538"/>
      <c r="B133" s="2539"/>
      <c r="C133" s="2539"/>
      <c r="D133" s="2540"/>
      <c r="E133" s="2540"/>
      <c r="F133" s="2540"/>
      <c r="G133" s="2540"/>
      <c r="H133" s="2541"/>
      <c r="I133" s="2542"/>
    </row>
    <row r="134" spans="1:35" ht="21.75" hidden="1" customHeight="1">
      <c r="A134" s="2534"/>
      <c r="B134" s="2534"/>
      <c r="C134" s="2534"/>
      <c r="D134" s="2535"/>
      <c r="E134" s="2535"/>
      <c r="F134" s="2535"/>
      <c r="G134" s="2535"/>
      <c r="H134" s="2536"/>
      <c r="I134" s="795"/>
    </row>
    <row r="135" spans="1:35" ht="21.75" hidden="1" customHeight="1">
      <c r="A135" s="795"/>
      <c r="B135" s="795"/>
      <c r="C135" s="795"/>
      <c r="D135" s="795"/>
      <c r="E135" s="795"/>
      <c r="F135" s="2543" t="s">
        <v>2318</v>
      </c>
      <c r="G135" s="2544"/>
      <c r="H135" s="2544"/>
      <c r="I135" s="2545" t="s">
        <v>2319</v>
      </c>
    </row>
    <row r="136" spans="1:35" ht="21.75" hidden="1" customHeight="1">
      <c r="A136" s="795"/>
      <c r="B136" s="2546" t="s">
        <v>2320</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44"/>
      <c r="C138" s="2544"/>
      <c r="D138" s="2544"/>
      <c r="E138" s="2544"/>
      <c r="F138" s="2544"/>
      <c r="G138" s="2544"/>
      <c r="H138" s="2544"/>
      <c r="I138" s="2545" t="s">
        <v>2321</v>
      </c>
    </row>
    <row r="139" spans="1:35" ht="21.75" hidden="1" customHeight="1">
      <c r="A139" s="795"/>
      <c r="B139" s="2546" t="s">
        <v>2322</v>
      </c>
      <c r="C139" s="795"/>
      <c r="D139" s="795"/>
      <c r="E139" s="795"/>
      <c r="F139" s="795"/>
      <c r="G139" s="795"/>
      <c r="H139" s="795"/>
      <c r="I139" s="795"/>
    </row>
    <row r="140" spans="1:35" ht="21.75" hidden="1" customHeight="1">
      <c r="A140" s="795"/>
      <c r="B140" s="2546"/>
      <c r="C140" s="795"/>
      <c r="D140" s="795"/>
      <c r="E140" s="795"/>
      <c r="F140" s="795"/>
      <c r="G140" s="795"/>
      <c r="H140" s="795"/>
      <c r="I140" s="795"/>
    </row>
    <row r="141" spans="1:35" ht="21.75" hidden="1" customHeight="1">
      <c r="A141" s="795"/>
      <c r="B141" s="2544"/>
      <c r="C141" s="2544"/>
      <c r="D141" s="2544"/>
      <c r="E141" s="2544"/>
      <c r="F141" s="2544"/>
      <c r="G141" s="2544"/>
      <c r="H141" s="2544"/>
      <c r="I141" s="2545" t="s">
        <v>2321</v>
      </c>
    </row>
    <row r="142" spans="1:35" ht="21.75" hidden="1"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44" zoomScale="80" zoomScaleNormal="100" zoomScaleSheetLayoutView="80" zoomScalePageLayoutView="80" workbookViewId="0">
      <selection activeCell="D68" sqref="D6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hidden="1" customHeight="1" thickBot="1">
      <c r="A1" s="2225" t="s">
        <v>2116</v>
      </c>
      <c r="B1" s="2418"/>
      <c r="C1" s="2419"/>
      <c r="D1" s="2418"/>
      <c r="E1" s="2418"/>
      <c r="F1" s="2420" t="s">
        <v>2117</v>
      </c>
      <c r="G1" s="2070" t="s">
        <v>2118</v>
      </c>
      <c r="H1" s="2421" t="str">
        <f>IF(G1="现房","——","估价对象范围")</f>
        <v>估价对象范围</v>
      </c>
      <c r="I1" s="2422"/>
    </row>
    <row r="2" spans="1:12" ht="21.75" hidden="1" customHeight="1" thickBot="1">
      <c r="A2" s="3105" t="str">
        <f>项目基本情况!S2</f>
        <v>北京市出让国有建设用地使用权及在建建筑物房地产</v>
      </c>
      <c r="B2" s="3106"/>
      <c r="C2" s="3106"/>
      <c r="D2" s="3106"/>
      <c r="E2" s="3106"/>
      <c r="F2" s="3106"/>
      <c r="G2" s="3106"/>
      <c r="H2" s="3106"/>
      <c r="I2" s="3107"/>
    </row>
    <row r="3" spans="1:12" ht="12.75" hidden="1">
      <c r="A3" s="3109" t="s">
        <v>2119</v>
      </c>
      <c r="B3" s="3110"/>
      <c r="C3" s="3110"/>
      <c r="D3" s="3110"/>
      <c r="E3" s="3110"/>
      <c r="F3" s="3110"/>
      <c r="G3" s="3110"/>
      <c r="H3" s="3110"/>
      <c r="I3" s="3110"/>
    </row>
    <row r="4" spans="1:12" ht="14.25" hidden="1">
      <c r="A4" s="2425" t="s">
        <v>2120</v>
      </c>
      <c r="B4" s="2426" t="s">
        <v>2121</v>
      </c>
      <c r="C4" s="2427" t="s">
        <v>3088</v>
      </c>
      <c r="D4" s="2427" t="s">
        <v>3076</v>
      </c>
      <c r="E4" s="3102" t="s">
        <v>2122</v>
      </c>
      <c r="F4" s="3103"/>
      <c r="G4" s="3103"/>
      <c r="H4" s="3103"/>
      <c r="I4" s="3111"/>
      <c r="K4" s="2428" t="str">
        <f>IF(ISNUMBER(FIND("比较法",'结果表-净值3'!C4)),"比较法",IF(ISNUMBER(FIND("成本法",'结果表-净值3'!C4)),"成本法",IF(ISNUMBER(FIND("假设开发法",'结果表-净值3'!C4)),"假设开发法",IF(ISNUMBER(FIND("收益法",'结果表-净值3'!C4)),"收益法","基准地价系数修正法"))))</f>
        <v>成本法</v>
      </c>
      <c r="L4" s="2428" t="str">
        <f>IF(ISNUMBER(FIND("比较法",'结果表-净值3'!D4)),"比较法",IF(ISNUMBER(FIND("成本法",'结果表-净值3'!D4)),"成本法",IF(ISNUMBER(FIND("假设开发法",'结果表-净值3'!D4)),"假设开发法",IF(ISNUMBER(FIND("收益法",'结果表-净值3'!D4)),"收益法","基准地价系数修正法"))))</f>
        <v>收益法</v>
      </c>
    </row>
    <row r="5" spans="1:12" ht="12.75" hidden="1">
      <c r="A5" s="3085" t="s">
        <v>2123</v>
      </c>
      <c r="B5" s="3023">
        <v>25</v>
      </c>
      <c r="C5" s="3088"/>
      <c r="D5" s="3108"/>
      <c r="E5" s="140" t="s">
        <v>2124</v>
      </c>
      <c r="F5" s="2429"/>
      <c r="G5" s="2429"/>
      <c r="H5" s="2429"/>
      <c r="I5" s="1831"/>
    </row>
    <row r="6" spans="1:12" ht="12.75" hidden="1">
      <c r="A6" s="3085"/>
      <c r="B6" s="3023"/>
      <c r="C6" s="3089"/>
      <c r="D6" s="3108"/>
      <c r="E6" s="140" t="s">
        <v>2125</v>
      </c>
      <c r="F6" s="2429"/>
      <c r="G6" s="2429"/>
      <c r="H6" s="2429"/>
      <c r="I6" s="1831"/>
    </row>
    <row r="7" spans="1:12" ht="12.75" hidden="1">
      <c r="A7" s="3085"/>
      <c r="B7" s="3023"/>
      <c r="C7" s="3090"/>
      <c r="D7" s="3108"/>
      <c r="E7" s="140" t="s">
        <v>2126</v>
      </c>
      <c r="F7" s="2429"/>
      <c r="G7" s="2429"/>
      <c r="H7" s="2429"/>
      <c r="I7" s="1831"/>
    </row>
    <row r="8" spans="1:12" ht="12.75" hidden="1">
      <c r="A8" s="3085" t="s">
        <v>2127</v>
      </c>
      <c r="B8" s="3023">
        <v>15</v>
      </c>
      <c r="C8" s="3088"/>
      <c r="D8" s="3108"/>
      <c r="E8" s="140" t="s">
        <v>2128</v>
      </c>
      <c r="F8" s="2429"/>
      <c r="G8" s="2429"/>
      <c r="H8" s="2429"/>
      <c r="I8" s="1831"/>
    </row>
    <row r="9" spans="1:12" ht="12.75" hidden="1">
      <c r="A9" s="3085"/>
      <c r="B9" s="3023"/>
      <c r="C9" s="3090"/>
      <c r="D9" s="3108"/>
      <c r="E9" s="140" t="s">
        <v>2129</v>
      </c>
      <c r="F9" s="2429"/>
      <c r="G9" s="2429"/>
      <c r="H9" s="2429"/>
      <c r="I9" s="1831"/>
    </row>
    <row r="10" spans="1:12" ht="12.75" hidden="1">
      <c r="A10" s="3085" t="s">
        <v>2130</v>
      </c>
      <c r="B10" s="3023">
        <v>15</v>
      </c>
      <c r="C10" s="3088"/>
      <c r="D10" s="3108"/>
      <c r="E10" s="140" t="s">
        <v>2131</v>
      </c>
      <c r="F10" s="2429"/>
      <c r="G10" s="2429"/>
      <c r="H10" s="2429"/>
      <c r="I10" s="1831"/>
    </row>
    <row r="11" spans="1:12" ht="12.75" hidden="1">
      <c r="A11" s="3085"/>
      <c r="B11" s="3023"/>
      <c r="C11" s="3090"/>
      <c r="D11" s="3108"/>
      <c r="E11" s="140" t="s">
        <v>2132</v>
      </c>
      <c r="F11" s="2429"/>
      <c r="G11" s="2429"/>
      <c r="H11" s="2429"/>
      <c r="I11" s="1831"/>
    </row>
    <row r="12" spans="1:12" ht="12.75" hidden="1">
      <c r="A12" s="3085" t="s">
        <v>2133</v>
      </c>
      <c r="B12" s="3023">
        <v>15</v>
      </c>
      <c r="C12" s="3088"/>
      <c r="D12" s="3108"/>
      <c r="E12" s="140" t="s">
        <v>2134</v>
      </c>
      <c r="F12" s="2429"/>
      <c r="G12" s="2429"/>
      <c r="H12" s="2429"/>
      <c r="I12" s="1831"/>
    </row>
    <row r="13" spans="1:12" ht="12.75" hidden="1">
      <c r="A13" s="3085"/>
      <c r="B13" s="3023"/>
      <c r="C13" s="3090"/>
      <c r="D13" s="3108"/>
      <c r="E13" s="140" t="s">
        <v>2135</v>
      </c>
      <c r="F13" s="2429"/>
      <c r="G13" s="2429"/>
      <c r="H13" s="2429"/>
      <c r="I13" s="1831"/>
    </row>
    <row r="14" spans="1:12" ht="12.75" hidden="1">
      <c r="A14" s="3085" t="s">
        <v>2136</v>
      </c>
      <c r="B14" s="3023">
        <v>30</v>
      </c>
      <c r="C14" s="3088">
        <v>3</v>
      </c>
      <c r="D14" s="3108">
        <v>7</v>
      </c>
      <c r="E14" s="140" t="s">
        <v>2137</v>
      </c>
      <c r="F14" s="2429"/>
      <c r="G14" s="2429"/>
      <c r="H14" s="2429"/>
      <c r="I14" s="1831"/>
    </row>
    <row r="15" spans="1:12" ht="12.75" hidden="1">
      <c r="A15" s="3085"/>
      <c r="B15" s="3023"/>
      <c r="C15" s="3089"/>
      <c r="D15" s="3108"/>
      <c r="E15" s="140" t="s">
        <v>2138</v>
      </c>
      <c r="F15" s="2429"/>
      <c r="G15" s="2429"/>
      <c r="H15" s="2429"/>
      <c r="I15" s="1831"/>
    </row>
    <row r="16" spans="1:12" ht="12.75" hidden="1">
      <c r="A16" s="3085"/>
      <c r="B16" s="3023"/>
      <c r="C16" s="3090"/>
      <c r="D16" s="3108"/>
      <c r="E16" s="140" t="s">
        <v>2139</v>
      </c>
      <c r="F16" s="2429"/>
      <c r="G16" s="2429"/>
      <c r="H16" s="2429"/>
      <c r="I16" s="1831"/>
    </row>
    <row r="17" spans="1:35" ht="15" hidden="1">
      <c r="A17" s="2430" t="s">
        <v>2140</v>
      </c>
      <c r="B17" s="64"/>
      <c r="C17" s="141">
        <f>SUM(C5:C16)</f>
        <v>3</v>
      </c>
      <c r="D17" s="141">
        <f>SUM(D5:D16)</f>
        <v>7</v>
      </c>
      <c r="E17" s="138"/>
      <c r="F17" s="138"/>
      <c r="G17" s="138"/>
      <c r="H17" s="138"/>
      <c r="I17" s="138"/>
      <c r="K17" s="2428"/>
      <c r="L17" s="2431" t="s">
        <v>2141</v>
      </c>
      <c r="M17" s="2431" t="s">
        <v>2142</v>
      </c>
    </row>
    <row r="18" spans="1:35" ht="15.75" hidden="1"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hidden="1">
      <c r="A19" s="2434" t="s">
        <v>2145</v>
      </c>
      <c r="B19" s="2435" t="s">
        <v>2146</v>
      </c>
      <c r="C19" s="143">
        <f ca="1">SUMIF(INDIRECT("'"&amp;C4&amp;"'"&amp;"!A:A"),'结果表-净值3'!B19,INDIRECT("'"&amp;C4&amp;"'"&amp;"!B:B"))</f>
        <v>11142</v>
      </c>
      <c r="D19" s="144">
        <f ca="1">SUMIF(INDIRECT("'"&amp;D4&amp;"'"&amp;"!A:A"),'结果表-净值3'!B19,INDIRECT("'"&amp;D4&amp;"'"&amp;"!B:B"))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hidden="1">
      <c r="A20" s="2437"/>
      <c r="B20" s="1247" t="s">
        <v>2150</v>
      </c>
      <c r="C20" s="146">
        <f ca="1">SUMIF(INDIRECT("'"&amp;C4&amp;"'"&amp;"!A:A"),'结果表-净值3'!B20,INDIRECT("'"&amp;C4&amp;"'"&amp;"!B:B"))</f>
        <v>6883</v>
      </c>
      <c r="D20" s="147">
        <f ca="1">SUMIF(INDIRECT("'"&amp;D4&amp;"'"&amp;"!A:A"),'结果表-净值3'!B20,INDIRECT("'"&amp;D4&amp;"'"&amp;"!B:B"))</f>
        <v>29203</v>
      </c>
      <c r="E20" s="2437"/>
      <c r="F20" s="1247" t="s">
        <v>2150</v>
      </c>
      <c r="G20" s="148">
        <f ca="1">ROUND(C20*$C$18+D20*$D$18,0)</f>
        <v>22507</v>
      </c>
      <c r="H20" s="980" t="s">
        <v>2151</v>
      </c>
      <c r="I20" s="138"/>
    </row>
    <row r="21" spans="1:35" ht="15" hidden="1"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hidden="1" thickBot="1">
      <c r="A22" s="2281" t="s">
        <v>2153</v>
      </c>
      <c r="B22" s="2440"/>
      <c r="C22" s="2441"/>
      <c r="D22" s="791">
        <f ca="1">IF(C19&lt;D19,D19/C19-1,C19/D19-1)</f>
        <v>3.2430443367438517</v>
      </c>
      <c r="E22" s="138"/>
      <c r="F22" s="138"/>
      <c r="G22" s="138"/>
      <c r="H22" s="138"/>
      <c r="I22" s="138"/>
    </row>
    <row r="23" spans="1:35" ht="13.5" hidden="1" thickBot="1">
      <c r="A23" s="2418"/>
      <c r="B23" s="2418"/>
      <c r="C23" s="2418"/>
      <c r="D23" s="2418"/>
      <c r="E23" s="138"/>
      <c r="F23" s="138"/>
      <c r="G23" s="138"/>
      <c r="H23" s="138"/>
      <c r="I23" s="138"/>
    </row>
    <row r="24" spans="1:35" ht="14.25" hidden="1">
      <c r="A24" s="3079" t="s">
        <v>2154</v>
      </c>
      <c r="B24" s="2435" t="s">
        <v>2146</v>
      </c>
      <c r="C24" s="145">
        <f>IF(B30=0,0,D30)</f>
        <v>0</v>
      </c>
      <c r="D24" s="2442"/>
      <c r="E24" s="138"/>
      <c r="F24" s="138"/>
      <c r="G24" s="138"/>
      <c r="H24" s="138"/>
      <c r="I24" s="138"/>
    </row>
    <row r="25" spans="1:35" ht="14.25" hidden="1">
      <c r="A25" s="3080"/>
      <c r="B25" s="1247" t="s">
        <v>2150</v>
      </c>
      <c r="C25" s="150">
        <f>IF(B30=0,0,C30)</f>
        <v>0</v>
      </c>
      <c r="D25" s="2443"/>
      <c r="E25" s="138"/>
      <c r="F25" s="138"/>
      <c r="G25" s="138"/>
      <c r="H25" s="138"/>
      <c r="I25" s="138"/>
    </row>
    <row r="26" spans="1:35" ht="13.5" hidden="1" customHeight="1">
      <c r="A26" s="2444" t="s">
        <v>2155</v>
      </c>
      <c r="B26" s="151" t="s">
        <v>2156</v>
      </c>
      <c r="C26" s="151" t="s">
        <v>2157</v>
      </c>
      <c r="D26" s="152" t="s">
        <v>2158</v>
      </c>
      <c r="E26" s="138"/>
      <c r="F26" s="138"/>
      <c r="G26" s="138"/>
      <c r="H26" s="138"/>
      <c r="I26" s="138"/>
    </row>
    <row r="27" spans="1:35" ht="14.25" hidden="1">
      <c r="A27" s="2444"/>
      <c r="B27" s="151">
        <v>0</v>
      </c>
      <c r="C27" s="151">
        <v>0</v>
      </c>
      <c r="D27" s="152">
        <f>ROUND(C27*B27/10000,0)</f>
        <v>0</v>
      </c>
      <c r="E27" s="138"/>
      <c r="F27" s="138"/>
      <c r="G27" s="138"/>
      <c r="H27" s="138"/>
      <c r="I27" s="138"/>
    </row>
    <row r="28" spans="1:35" ht="14.25" hidden="1">
      <c r="A28" s="2444"/>
      <c r="B28" s="151"/>
      <c r="C28" s="151"/>
      <c r="D28" s="152"/>
      <c r="E28" s="138"/>
      <c r="F28" s="138"/>
      <c r="G28" s="138"/>
      <c r="H28" s="138"/>
      <c r="I28" s="138"/>
    </row>
    <row r="29" spans="1:35" ht="14.25" hidden="1">
      <c r="A29" s="2444"/>
      <c r="B29" s="151"/>
      <c r="C29" s="151"/>
      <c r="D29" s="152"/>
      <c r="E29" s="138"/>
      <c r="F29" s="138"/>
      <c r="G29" s="138"/>
      <c r="H29" s="138"/>
      <c r="I29" s="138"/>
    </row>
    <row r="30" spans="1:35" ht="14.25" hidden="1">
      <c r="A30" s="151" t="s">
        <v>2159</v>
      </c>
      <c r="B30" s="151"/>
      <c r="C30" s="151"/>
      <c r="D30" s="151"/>
      <c r="E30" s="2917" t="s">
        <v>3032</v>
      </c>
      <c r="F30" s="138"/>
      <c r="G30" s="138"/>
      <c r="H30" s="138"/>
      <c r="I30" s="138"/>
    </row>
    <row r="31" spans="1:35" s="2446" customFormat="1" ht="15" hidden="1"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hidden="1" thickBot="1">
      <c r="A32" s="2447" t="s">
        <v>2160</v>
      </c>
      <c r="B32" s="2448"/>
      <c r="C32" s="153">
        <f ca="1">IF(D32="总价",G19-C24,G20-C25)</f>
        <v>36436</v>
      </c>
      <c r="D32" s="2449" t="s">
        <v>2161</v>
      </c>
      <c r="E32" s="138"/>
      <c r="F32" s="138"/>
      <c r="G32" s="138"/>
      <c r="H32" s="138"/>
      <c r="I32" s="138"/>
    </row>
    <row r="33" spans="1:15" ht="15" hidden="1">
      <c r="A33" s="957" t="s">
        <v>2162</v>
      </c>
      <c r="B33" s="2450"/>
      <c r="C33" s="2451" t="s">
        <v>3089</v>
      </c>
      <c r="D33" s="2452" t="s">
        <v>3088</v>
      </c>
      <c r="E33" s="2453" t="s">
        <v>2163</v>
      </c>
      <c r="F33" s="2962" t="str">
        <f>IF(D32="楼面单价","取值（单价）","取值（总价）")</f>
        <v>取值（总价）</v>
      </c>
      <c r="G33" s="138"/>
      <c r="H33" s="138"/>
      <c r="I33" s="138"/>
    </row>
    <row r="34" spans="1:15" ht="15" hidden="1">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hidden="1"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hidden="1" thickBot="1">
      <c r="A36" s="3097" t="s">
        <v>2168</v>
      </c>
      <c r="B36" s="2461" t="s">
        <v>2169</v>
      </c>
      <c r="C36" s="154"/>
      <c r="D36" s="2462"/>
      <c r="E36" s="2463"/>
      <c r="F36" s="2464"/>
      <c r="G36" s="138"/>
      <c r="H36" s="138"/>
      <c r="I36" s="138"/>
    </row>
    <row r="37" spans="1:15" ht="15.75" hidden="1" thickBot="1">
      <c r="A37" s="3098"/>
      <c r="B37" s="2267" t="s">
        <v>2170</v>
      </c>
      <c r="C37" s="156"/>
      <c r="D37" s="1392"/>
      <c r="E37" s="1392"/>
      <c r="F37" s="2464"/>
      <c r="G37" s="138"/>
      <c r="H37" s="138"/>
      <c r="I37" s="138"/>
    </row>
    <row r="38" spans="1:15" ht="15.75" hidden="1" thickBot="1">
      <c r="A38" s="3099"/>
      <c r="B38" s="2465" t="s">
        <v>2171</v>
      </c>
      <c r="C38" s="727"/>
      <c r="D38" s="2466" t="s">
        <v>2172</v>
      </c>
      <c r="E38" s="1392"/>
      <c r="F38" s="2464"/>
      <c r="G38" s="138"/>
      <c r="H38" s="138"/>
      <c r="I38" s="138"/>
    </row>
    <row r="39" spans="1:15" ht="15" hidden="1">
      <c r="A39" s="2437" t="s">
        <v>2173</v>
      </c>
      <c r="B39" s="2467" t="s">
        <v>2156</v>
      </c>
      <c r="C39" s="2468" t="s">
        <v>2157</v>
      </c>
      <c r="D39" s="2468" t="s">
        <v>2176</v>
      </c>
      <c r="E39" s="2469" t="s">
        <v>2158</v>
      </c>
      <c r="F39" s="2464"/>
      <c r="G39" s="138"/>
      <c r="H39" s="138"/>
      <c r="I39" s="138"/>
    </row>
    <row r="40" spans="1:15" ht="14.25" hidden="1">
      <c r="A40" s="2470" t="s">
        <v>2178</v>
      </c>
      <c r="B40" s="158"/>
      <c r="C40" s="159"/>
      <c r="D40" s="159"/>
      <c r="E40" s="160"/>
      <c r="F40" s="2464"/>
      <c r="G40" s="138"/>
      <c r="H40" s="138"/>
      <c r="I40" s="138"/>
    </row>
    <row r="41" spans="1:15" ht="14.25" hidden="1">
      <c r="A41" s="2470" t="s">
        <v>2179</v>
      </c>
      <c r="B41" s="158"/>
      <c r="C41" s="159"/>
      <c r="D41" s="159"/>
      <c r="E41" s="160"/>
      <c r="F41" s="2464"/>
      <c r="G41" s="138"/>
      <c r="H41" s="138"/>
      <c r="I41" s="138"/>
    </row>
    <row r="42" spans="1:15" ht="15" hidden="1" thickBot="1">
      <c r="A42" s="2471"/>
      <c r="B42" s="161"/>
      <c r="C42" s="162"/>
      <c r="D42" s="162"/>
      <c r="E42" s="163"/>
      <c r="F42" s="2464"/>
      <c r="G42" s="138"/>
      <c r="H42" s="138"/>
      <c r="I42" s="138"/>
    </row>
    <row r="43" spans="1:15" ht="12.75" hidden="1">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6" t="s">
        <v>2182</v>
      </c>
      <c r="B45" s="3077"/>
      <c r="C45" s="3078"/>
      <c r="D45" s="2977">
        <f ca="1">ROUND(Sheet1!I7*F45,0)</f>
        <v>4526</v>
      </c>
      <c r="E45" s="165" t="s">
        <v>2183</v>
      </c>
      <c r="F45" s="166">
        <v>0.8</v>
      </c>
      <c r="G45" s="167" t="s">
        <v>2184</v>
      </c>
      <c r="H45" s="138"/>
      <c r="I45" s="138"/>
      <c r="J45" s="3136" t="s">
        <v>2185</v>
      </c>
      <c r="K45" s="3136"/>
      <c r="L45" s="3136"/>
      <c r="M45" s="3136"/>
      <c r="N45" s="3136"/>
      <c r="O45" s="3136"/>
    </row>
    <row r="46" spans="1:15" ht="14.25" customHeight="1">
      <c r="A46" s="3073" t="s">
        <v>2186</v>
      </c>
      <c r="B46" s="3074"/>
      <c r="C46" s="3074"/>
      <c r="D46" s="3074"/>
      <c r="E46" s="3074"/>
      <c r="F46" s="3074"/>
      <c r="G46" s="3075"/>
      <c r="H46" s="2480"/>
      <c r="I46" s="168"/>
      <c r="J46" s="2967">
        <v>1</v>
      </c>
      <c r="K46" s="3136" t="s">
        <v>2187</v>
      </c>
      <c r="L46" s="3136"/>
      <c r="M46" s="3156"/>
      <c r="N46" s="3156"/>
      <c r="O46" s="3156"/>
    </row>
    <row r="47" spans="1:15" ht="12" customHeight="1">
      <c r="A47" s="169" t="s">
        <v>2188</v>
      </c>
      <c r="B47" s="170"/>
      <c r="C47" s="171"/>
      <c r="D47" s="172" t="s">
        <v>2189</v>
      </c>
      <c r="E47" s="24" t="s">
        <v>2190</v>
      </c>
      <c r="F47" s="173" t="s">
        <v>2191</v>
      </c>
      <c r="G47" s="174" t="s">
        <v>2192</v>
      </c>
      <c r="H47" s="2480"/>
      <c r="I47" s="168"/>
      <c r="J47" s="2967">
        <v>2</v>
      </c>
      <c r="K47" s="3136" t="s">
        <v>2193</v>
      </c>
      <c r="L47" s="3136"/>
      <c r="M47" s="3157">
        <f>'数据-取费表'!B2</f>
        <v>43929</v>
      </c>
      <c r="N47" s="3157"/>
      <c r="O47" s="3157"/>
    </row>
    <row r="48" spans="1:15" ht="25.5">
      <c r="A48" s="3104" t="s">
        <v>2194</v>
      </c>
      <c r="B48" s="3087"/>
      <c r="C48" s="3087"/>
      <c r="D48" s="140">
        <f ca="1">IF(H48="情况1",0,IF(H48="情况2",D52,IF(H48="情况3",D53,IF(H48="情况4",D54))))</f>
        <v>26</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6" t="s">
        <v>2196</v>
      </c>
      <c r="L48" s="3136"/>
      <c r="M48" s="3158">
        <f ca="1">Sheet1!I7</f>
        <v>5658</v>
      </c>
      <c r="N48" s="3158"/>
      <c r="O48" s="3158"/>
    </row>
    <row r="49" spans="1:35" ht="25.5" customHeight="1">
      <c r="A49" s="176" t="s">
        <v>2197</v>
      </c>
      <c r="B49" s="3072" t="s">
        <v>2198</v>
      </c>
      <c r="C49" s="3072"/>
      <c r="D49" s="177">
        <v>0</v>
      </c>
      <c r="E49" s="23" t="s">
        <v>2199</v>
      </c>
      <c r="F49" s="28" t="s">
        <v>34</v>
      </c>
      <c r="G49" s="3142"/>
      <c r="H49" s="138"/>
      <c r="I49" s="2483"/>
      <c r="J49" s="2967">
        <v>4</v>
      </c>
      <c r="K49" s="3136" t="str">
        <f>IF(项目基本情况!E8="房地产抵押价值","房地产抵押价值","抵押担保权已注销时的房地产抵押价值")</f>
        <v>房地产抵押价值</v>
      </c>
      <c r="L49" s="3136"/>
      <c r="M49" s="3158">
        <f ca="1">M48</f>
        <v>5658</v>
      </c>
      <c r="N49" s="3158"/>
      <c r="O49" s="3158"/>
    </row>
    <row r="50" spans="1:35" ht="25.5" customHeight="1">
      <c r="A50" s="178"/>
      <c r="B50" s="3072" t="s">
        <v>2200</v>
      </c>
      <c r="C50" s="3072"/>
      <c r="D50" s="179"/>
      <c r="E50" s="31"/>
      <c r="F50" s="180"/>
      <c r="G50" s="3143"/>
      <c r="H50" s="138"/>
      <c r="I50" s="2483"/>
      <c r="J50" s="3136" t="s">
        <v>2201</v>
      </c>
      <c r="K50" s="3136"/>
      <c r="L50" s="3136"/>
      <c r="M50" s="3136"/>
      <c r="N50" s="3136"/>
      <c r="O50" s="3136"/>
    </row>
    <row r="51" spans="1:35" ht="12" customHeight="1">
      <c r="A51" s="181"/>
      <c r="B51" s="3072" t="s">
        <v>2202</v>
      </c>
      <c r="C51" s="3072"/>
      <c r="D51" s="182"/>
      <c r="E51" s="30"/>
      <c r="F51" s="180"/>
      <c r="G51" s="3144"/>
      <c r="H51" s="138"/>
      <c r="I51" s="2483"/>
      <c r="J51" s="2964" t="s">
        <v>2203</v>
      </c>
      <c r="K51" s="3136" t="s">
        <v>2204</v>
      </c>
      <c r="L51" s="3136"/>
      <c r="M51" s="2964" t="s">
        <v>2205</v>
      </c>
      <c r="N51" s="2964" t="s">
        <v>2206</v>
      </c>
      <c r="O51" s="2964" t="s">
        <v>2207</v>
      </c>
    </row>
    <row r="52" spans="1:35" ht="24" customHeight="1">
      <c r="A52" s="183" t="s">
        <v>2208</v>
      </c>
      <c r="B52" s="3072" t="s">
        <v>2209</v>
      </c>
      <c r="C52" s="3072"/>
      <c r="D52" s="182">
        <f ca="1">ROUND(D45*'数据-取费表'!B41/(1+'数据-取费表'!C42),0)</f>
        <v>237</v>
      </c>
      <c r="E52" s="11" t="s">
        <v>2210</v>
      </c>
      <c r="F52" s="184">
        <f>'数据-取费表'!B41</f>
        <v>5.5000000000000007E-2</v>
      </c>
      <c r="G52" s="2485"/>
      <c r="H52" s="138"/>
      <c r="I52" s="2483"/>
      <c r="J52" s="2967">
        <v>1</v>
      </c>
      <c r="K52" s="3137" t="s">
        <v>2211</v>
      </c>
      <c r="L52" s="3137"/>
      <c r="M52" s="1751">
        <f ca="1">D48</f>
        <v>26</v>
      </c>
      <c r="N52" s="2967" t="str">
        <f>E48</f>
        <v>(销售额-原购置价)×税（费）率</v>
      </c>
      <c r="O52" s="1752">
        <f>F48</f>
        <v>5.5000000000000007E-2</v>
      </c>
    </row>
    <row r="53" spans="1:35" ht="12" customHeight="1">
      <c r="A53" s="183" t="s">
        <v>2212</v>
      </c>
      <c r="B53" s="3095" t="s">
        <v>2213</v>
      </c>
      <c r="C53" s="3096"/>
      <c r="D53" s="182">
        <f ca="1">ROUND(D45*'数据-取费表'!B41/(1+'数据-取费表'!C42),0)</f>
        <v>237</v>
      </c>
      <c r="E53" s="11" t="s">
        <v>2210</v>
      </c>
      <c r="F53" s="184">
        <f>'数据-取费表'!B41</f>
        <v>5.5000000000000007E-2</v>
      </c>
      <c r="G53" s="2485"/>
      <c r="H53" s="138"/>
      <c r="I53" s="2483"/>
      <c r="J53" s="2967">
        <v>2</v>
      </c>
      <c r="K53" s="3137" t="s">
        <v>2214</v>
      </c>
      <c r="L53" s="3137"/>
      <c r="M53" s="1751">
        <f t="shared" ref="M53:O54" ca="1" si="0">D55</f>
        <v>2</v>
      </c>
      <c r="N53" s="2967" t="str">
        <f t="shared" si="0"/>
        <v>销售额×税（费）率</v>
      </c>
      <c r="O53" s="1752">
        <f t="shared" si="0"/>
        <v>5.0000000000000001E-4</v>
      </c>
    </row>
    <row r="54" spans="1:35" ht="12" customHeight="1">
      <c r="A54" s="183" t="s">
        <v>2215</v>
      </c>
      <c r="B54" s="3095" t="s">
        <v>2216</v>
      </c>
      <c r="C54" s="3096"/>
      <c r="D54" s="182">
        <f ca="1">C68</f>
        <v>26</v>
      </c>
      <c r="E54" s="30" t="s">
        <v>2217</v>
      </c>
      <c r="F54" s="184">
        <f>'数据-取费表'!B41</f>
        <v>5.5000000000000007E-2</v>
      </c>
      <c r="G54" s="2485"/>
      <c r="H54" s="2486"/>
      <c r="I54" s="2483"/>
      <c r="J54" s="2967">
        <v>3</v>
      </c>
      <c r="K54" s="3137" t="s">
        <v>2218</v>
      </c>
      <c r="L54" s="3137"/>
      <c r="M54" s="1751">
        <f t="shared" ca="1" si="0"/>
        <v>102</v>
      </c>
      <c r="N54" s="2967" t="str">
        <f t="shared" si="0"/>
        <v>增值额×税（费）率</v>
      </c>
      <c r="O54" s="1753" t="str">
        <f t="shared" si="0"/>
        <v>——</v>
      </c>
    </row>
    <row r="55" spans="1:35" ht="24" customHeight="1">
      <c r="A55" s="3086" t="s">
        <v>2219</v>
      </c>
      <c r="B55" s="3087"/>
      <c r="C55" s="3087"/>
      <c r="D55" s="185">
        <f ca="1">IF(H55="个人住宅",0,ROUND(D45*I55,0))</f>
        <v>2</v>
      </c>
      <c r="E55" s="11" t="s">
        <v>2220</v>
      </c>
      <c r="F55" s="184">
        <f>IF(H55="正常",I55,"免征")</f>
        <v>5.0000000000000001E-4</v>
      </c>
      <c r="G55" s="2485"/>
      <c r="H55" s="2482" t="s">
        <v>2221</v>
      </c>
      <c r="I55" s="186">
        <f>'数据-取费表'!B49</f>
        <v>5.0000000000000001E-4</v>
      </c>
      <c r="J55" s="2967" t="str">
        <f>IF(H59="非个人房产","",4)</f>
        <v/>
      </c>
      <c r="K55" s="3137" t="str">
        <f>IF(H59="非个人房产","——","个人所得税")</f>
        <v>——</v>
      </c>
      <c r="L55" s="3137"/>
      <c r="M55" s="1754" t="str">
        <f>D59</f>
        <v>——</v>
      </c>
      <c r="N55" s="2968" t="str">
        <f>E59</f>
        <v>——</v>
      </c>
      <c r="O55" s="1755" t="str">
        <f>F59</f>
        <v>——</v>
      </c>
    </row>
    <row r="56" spans="1:35" ht="24.75">
      <c r="A56" s="3086" t="s">
        <v>2222</v>
      </c>
      <c r="B56" s="3087"/>
      <c r="C56" s="3087"/>
      <c r="D56" s="185">
        <f ca="1">IF(H56="个人住宅",D57,D58)</f>
        <v>102</v>
      </c>
      <c r="E56" s="11" t="s">
        <v>2223</v>
      </c>
      <c r="F56" s="184" t="str">
        <f>IF(H56="正常",F58,"免征")</f>
        <v>——</v>
      </c>
      <c r="G56" s="2487" t="s">
        <v>2224</v>
      </c>
      <c r="H56" s="2488" t="s">
        <v>2221</v>
      </c>
      <c r="I56" s="2489"/>
      <c r="J56" s="2967" t="str">
        <f>IF(项目基本情况!K6="上海银行",IF(J55="",4,J55+1),"")</f>
        <v/>
      </c>
      <c r="K56" s="3160" t="str">
        <f>IF(项目基本情况!K6="上海银行","其他处置费用","")</f>
        <v/>
      </c>
      <c r="L56" s="3161"/>
      <c r="M56" s="1751" t="str">
        <f>IF(项目基本情况!K6="上海银行",M69,"")</f>
        <v/>
      </c>
      <c r="N56" s="3163" t="str">
        <f>IF(项目基本情况!K6="上海银行","包含处置中涉及的律师、诉讼、拍卖、评估等费用","")</f>
        <v/>
      </c>
      <c r="O56" s="3164"/>
    </row>
    <row r="57" spans="1:35" ht="12.75">
      <c r="A57" s="183" t="s">
        <v>2197</v>
      </c>
      <c r="B57" s="3102" t="s">
        <v>2225</v>
      </c>
      <c r="C57" s="3111"/>
      <c r="D57" s="187">
        <v>0</v>
      </c>
      <c r="E57" s="23" t="s">
        <v>2199</v>
      </c>
      <c r="F57" s="155"/>
      <c r="G57" s="2485"/>
      <c r="H57" s="2489"/>
      <c r="I57" s="2489"/>
      <c r="J57" s="3137">
        <f>IF(AND(J55="",J56=""),4,IF(项目基本情况!K6="上海银行",'结果表-净值3'!J56+1,'结果表-净值3'!J55+1))</f>
        <v>4</v>
      </c>
      <c r="K57" s="3137" t="s">
        <v>2226</v>
      </c>
      <c r="L57" s="2490" t="s">
        <v>2227</v>
      </c>
      <c r="M57" s="1756"/>
      <c r="N57" s="1757">
        <f ca="1">SUMIF(M52:M56,"&lt;9e307")</f>
        <v>130</v>
      </c>
      <c r="O57" s="2491"/>
      <c r="P57" s="1750">
        <f ca="1">N57/M49</f>
        <v>2.2976316719688937E-2</v>
      </c>
    </row>
    <row r="58" spans="1:35" ht="24.75">
      <c r="A58" s="183" t="s">
        <v>2208</v>
      </c>
      <c r="B58" s="3102" t="s">
        <v>2228</v>
      </c>
      <c r="C58" s="3103"/>
      <c r="D58" s="185">
        <f ca="1">IF(H58="转让取得",C81,C97)</f>
        <v>102</v>
      </c>
      <c r="E58" s="11" t="s">
        <v>2223</v>
      </c>
      <c r="F58" s="24" t="s">
        <v>34</v>
      </c>
      <c r="G58" s="2485"/>
      <c r="H58" s="2488" t="s">
        <v>3091</v>
      </c>
      <c r="I58" s="2489"/>
      <c r="J58" s="3137"/>
      <c r="K58" s="3137"/>
      <c r="L58" s="2490" t="s">
        <v>2229</v>
      </c>
      <c r="M58" s="1758"/>
      <c r="N58" s="2492" t="str">
        <f ca="1">NUMBERSTRING(INT(N57*10000),2)&amp;"元整"</f>
        <v>壹佰叁拾万元整</v>
      </c>
      <c r="O58" s="2493"/>
    </row>
    <row r="59" spans="1:35" ht="24.75" thickBot="1">
      <c r="A59" s="3140" t="s">
        <v>2230</v>
      </c>
      <c r="B59" s="3141"/>
      <c r="C59" s="3141"/>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8">
        <f>J57+1</f>
        <v>5</v>
      </c>
      <c r="K59" s="3137" t="s">
        <v>2232</v>
      </c>
      <c r="L59" s="2967" t="s">
        <v>2227</v>
      </c>
      <c r="M59" s="1759"/>
      <c r="N59" s="1760">
        <f ca="1">M49-N57</f>
        <v>5528</v>
      </c>
      <c r="O59" s="2495"/>
    </row>
    <row r="60" spans="1:35" ht="12" customHeight="1">
      <c r="A60" s="2496"/>
      <c r="B60" s="2418"/>
      <c r="C60" s="2418"/>
      <c r="D60" s="2418"/>
      <c r="E60" s="2166"/>
      <c r="F60" s="2489"/>
      <c r="G60" s="2489"/>
      <c r="H60" s="2497"/>
      <c r="I60" s="138"/>
      <c r="J60" s="3139"/>
      <c r="K60" s="3137"/>
      <c r="L60" s="2490" t="s">
        <v>2229</v>
      </c>
      <c r="M60" s="1758"/>
      <c r="N60" s="2492" t="str">
        <f ca="1">NUMBERSTRING(INT(N59*10000),2)&amp;"元整"</f>
        <v>伍仟伍佰贰拾捌万元整</v>
      </c>
      <c r="O60" s="2493"/>
    </row>
    <row r="61" spans="1:35" ht="13.5" thickBot="1">
      <c r="A61" s="3084" t="s">
        <v>2233</v>
      </c>
      <c r="B61" s="3084"/>
      <c r="C61" s="3084"/>
      <c r="D61" s="3084"/>
      <c r="E61" s="3084"/>
      <c r="F61" s="2489"/>
      <c r="G61" s="2489"/>
      <c r="H61" s="2497"/>
      <c r="I61" s="138"/>
      <c r="J61" s="2967">
        <f>J59+1</f>
        <v>6</v>
      </c>
      <c r="K61" s="3137" t="s">
        <v>2234</v>
      </c>
      <c r="L61" s="3137"/>
      <c r="M61" s="1761"/>
      <c r="N61" s="1762">
        <f ca="1">ROUND(N59*10000/'数据-汇总表'!E3,0)</f>
        <v>3415</v>
      </c>
      <c r="O61" s="2498"/>
    </row>
    <row r="62" spans="1:35" ht="12.75">
      <c r="A62" s="3100" t="s">
        <v>2235</v>
      </c>
      <c r="B62" s="3101"/>
      <c r="C62" s="2972"/>
      <c r="D62" s="2972" t="s">
        <v>2236</v>
      </c>
      <c r="E62" s="192" t="s">
        <v>2237</v>
      </c>
      <c r="F62" s="2489"/>
      <c r="G62" s="2489"/>
      <c r="H62" s="2497"/>
      <c r="I62" s="138"/>
    </row>
    <row r="63" spans="1:35" ht="12.75">
      <c r="A63" s="203" t="s">
        <v>775</v>
      </c>
      <c r="B63" s="193" t="s">
        <v>2238</v>
      </c>
      <c r="C63" s="194">
        <f ca="1">ROUND((C64+C65)/(1+'数据-取费表'!C42),0)</f>
        <v>4310</v>
      </c>
      <c r="D63" s="195"/>
      <c r="E63" s="196"/>
      <c r="F63" s="2489"/>
      <c r="G63" s="2489"/>
      <c r="H63" s="2497"/>
      <c r="I63" s="138"/>
      <c r="J63" s="3162" t="s">
        <v>2239</v>
      </c>
      <c r="K63" s="2965" t="s">
        <v>2240</v>
      </c>
      <c r="L63" s="1749">
        <f ca="1">IF(M49&gt;10000,M49*0.5%,IF(AND(M49&gt;1000,M49&lt;=10000),M49*1%,IF(AND(M49&gt;100,M49&lt;=1000),M49*3%,IF(AND(M49&gt;10,M49&lt;=100),M49*5%,M49*8%))))</f>
        <v>56.58</v>
      </c>
      <c r="M63" s="24">
        <f ca="1">ROUND(L63,1)</f>
        <v>56.6</v>
      </c>
      <c r="Z63" s="2423"/>
      <c r="AI63" s="2424"/>
    </row>
    <row r="64" spans="1:35" ht="14.25" customHeight="1">
      <c r="A64" s="197" t="s">
        <v>770</v>
      </c>
      <c r="B64" s="198" t="s">
        <v>2241</v>
      </c>
      <c r="C64" s="199">
        <f ca="1">D45</f>
        <v>4526</v>
      </c>
      <c r="D64" s="200" t="s">
        <v>32</v>
      </c>
      <c r="E64" s="201"/>
      <c r="F64" s="2489"/>
      <c r="G64" s="2489"/>
      <c r="H64" s="2497"/>
      <c r="I64" s="138"/>
      <c r="J64" s="3162"/>
      <c r="K64" s="2965" t="s">
        <v>2242</v>
      </c>
      <c r="L64" s="1749">
        <f ca="1">IF(M49&gt;2000,M49*0.5%,IF(AND(M49&gt;1000,M49&lt;=2000),M49*0.6%,IF(AND(M49&gt;500,M49&lt;=1000),M49*0.7%,IF(AND(M49&gt;200,M49&lt;=500),M49*0.8%,IF(AND(M49&gt;100,M49&lt;=200),M49*0.9%,IF(AND(M49&gt;50,M49&lt;=100),M49*1%,IF(AND(M49&gt;20,M49&lt;=50),M49*1.5%,IF(AND(M49&gt;10,M49&lt;=20),M49*2%,IF(AND(M49&gt;1,M49&lt;=10),M49*2.5%)))))))))</f>
        <v>28.29</v>
      </c>
      <c r="M64" s="24">
        <f t="shared" ref="M64:M65" ca="1" si="1">ROUND(L64,1)</f>
        <v>28.3</v>
      </c>
      <c r="N64" s="138" t="s">
        <v>2243</v>
      </c>
      <c r="Z64" s="2423"/>
      <c r="AI64" s="2424"/>
    </row>
    <row r="65" spans="1:35" ht="14.25" customHeight="1">
      <c r="A65" s="197" t="s">
        <v>771</v>
      </c>
      <c r="B65" s="198" t="s">
        <v>2244</v>
      </c>
      <c r="C65" s="202"/>
      <c r="D65" s="200"/>
      <c r="E65" s="201"/>
      <c r="F65" s="2489"/>
      <c r="G65" s="2489"/>
      <c r="H65" s="2497"/>
      <c r="I65" s="138"/>
      <c r="J65" s="3162"/>
      <c r="K65" s="2965" t="s">
        <v>2245</v>
      </c>
      <c r="L65" s="1749">
        <f ca="1">IF(M49&gt;1000,M49*0.1%,IF(AND(M49&gt;500,M49&lt;=1000),M49*0.5%,IF(AND(M49&gt;50,M49&lt;=500),M49*1%,IF(AND(M49&gt;1,M49&lt;=50),M49*1.5%))))</f>
        <v>5.6580000000000004</v>
      </c>
      <c r="M65" s="24">
        <f t="shared" ca="1" si="1"/>
        <v>5.7</v>
      </c>
      <c r="N65" s="138" t="s">
        <v>2243</v>
      </c>
      <c r="Z65" s="2423"/>
      <c r="AI65" s="2424"/>
    </row>
    <row r="66" spans="1:35" ht="14.25" customHeight="1">
      <c r="A66" s="203" t="s">
        <v>772</v>
      </c>
      <c r="B66" s="204" t="s">
        <v>2246</v>
      </c>
      <c r="C66" s="205">
        <f>ROUND(Sheet1!M7/1.05,0)</f>
        <v>3831</v>
      </c>
      <c r="D66" s="206" t="s">
        <v>32</v>
      </c>
      <c r="E66" s="1773" t="s">
        <v>1366</v>
      </c>
      <c r="F66" s="2489"/>
      <c r="G66" s="2489"/>
      <c r="H66" s="2497"/>
      <c r="I66" s="138"/>
      <c r="J66" s="3162"/>
      <c r="K66" s="2965" t="s">
        <v>2247</v>
      </c>
      <c r="L66" s="1749">
        <f ca="1">M49*0.5%</f>
        <v>28.29</v>
      </c>
      <c r="M66" s="24">
        <f ca="1">IF(L66&gt;0.5,0.5,ROUND(L66,0))</f>
        <v>0.5</v>
      </c>
      <c r="N66" s="138" t="s">
        <v>2248</v>
      </c>
      <c r="Z66" s="2423"/>
      <c r="AI66" s="2424"/>
    </row>
    <row r="67" spans="1:35" ht="14.25" customHeight="1">
      <c r="A67" s="203" t="s">
        <v>773</v>
      </c>
      <c r="B67" s="204" t="s">
        <v>2249</v>
      </c>
      <c r="C67" s="207">
        <f ca="1">C63-C66</f>
        <v>479</v>
      </c>
      <c r="D67" s="200" t="s">
        <v>32</v>
      </c>
      <c r="E67" s="201"/>
      <c r="F67" s="2489"/>
      <c r="G67" s="2489"/>
      <c r="H67" s="2497"/>
      <c r="I67" s="138"/>
      <c r="J67" s="3162"/>
      <c r="K67" s="2965" t="s">
        <v>2250</v>
      </c>
      <c r="L67" s="1749">
        <f ca="1">IF(M49&gt;=10000,(8.25+(M49-10000)*0.01%),IF(AND(M49&gt;=8000,M49&lt;10000),(7.85+(M49-8000)*0.02%),IF(AND(M49&gt;=5000,M49&lt;8000),(6.65+(M49-5000)*0.04%),IF(AND(M49&gt;=2000,M49&lt;5000),(4.25+(PM49-2000)*0.08%),IF(AND(M49&gt;=1000,M49&lt;2000),(2.75+(M49-1000)*0.15%),IF(AND(M49&gt;=100,M49&lt;1000),(0.5+(M49-100)*0.25%),IF(AND(M49&gt;0,M49&lt;100),M49*0.5%)))))))</f>
        <v>6.9132000000000007</v>
      </c>
      <c r="M67" s="24">
        <f ca="1">ROUND(L67*0.9,1)</f>
        <v>6.2</v>
      </c>
      <c r="Z67" s="2423"/>
      <c r="AI67" s="2424"/>
    </row>
    <row r="68" spans="1:35" ht="14.25" customHeight="1" thickBot="1">
      <c r="A68" s="208" t="s">
        <v>774</v>
      </c>
      <c r="B68" s="209" t="s">
        <v>2251</v>
      </c>
      <c r="C68" s="210">
        <f ca="1">IF(C67&lt;=0,0,ROUND(C67*D68,0))</f>
        <v>26</v>
      </c>
      <c r="D68" s="211">
        <f>'数据-取费表'!B41</f>
        <v>5.5000000000000007E-2</v>
      </c>
      <c r="E68" s="212"/>
      <c r="F68" s="2489"/>
      <c r="G68" s="2489"/>
      <c r="H68" s="2497"/>
      <c r="I68" s="138"/>
      <c r="J68" s="3162"/>
      <c r="K68" s="2965" t="s">
        <v>2252</v>
      </c>
      <c r="L68" s="1749">
        <f ca="1">IF(M49&gt;10000,M49*0.5%,IF(AND(M49&gt;5000,M49&lt;=10000),M49*1%,IF(AND(M49&gt;1000,M49&lt;=5000),M49*2%,IF(AND(M49&gt;200,M49&lt;=1000),M49*3%,M49*5%))))</f>
        <v>56.58</v>
      </c>
      <c r="M68" s="24">
        <f ca="1">ROUND(L68,1)</f>
        <v>56.6</v>
      </c>
      <c r="Z68" s="2423"/>
      <c r="AI68" s="2424"/>
    </row>
    <row r="69" spans="1:35" s="2446" customFormat="1" ht="16.5" customHeight="1">
      <c r="A69" s="2500"/>
      <c r="B69" s="2501"/>
      <c r="C69" s="2502"/>
      <c r="D69" s="2503"/>
      <c r="E69" s="2504"/>
      <c r="F69" s="2166"/>
      <c r="G69" s="2166"/>
      <c r="H69" s="2165"/>
      <c r="I69" s="2418"/>
      <c r="J69" s="3162"/>
      <c r="K69" s="2965" t="s">
        <v>2253</v>
      </c>
      <c r="L69" s="2505"/>
      <c r="M69" s="24">
        <f ca="1">ROUND(SUM(M63:M68),0)</f>
        <v>154</v>
      </c>
      <c r="N69" s="1750">
        <f ca="1">M69/M49</f>
        <v>2.7218098267939202E-2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1" t="s">
        <v>2254</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0" t="s">
        <v>2235</v>
      </c>
      <c r="B71" s="3101"/>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4310</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3970</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3948</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f>Sheet1!M7</f>
        <v>4022.192</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5" t="s">
        <v>2262</v>
      </c>
      <c r="F76" s="3072"/>
      <c r="G76" s="3072"/>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117</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v>
      </c>
      <c r="D78" s="226">
        <f>'数据-取费表'!B43</f>
        <v>5.000000000000001E-3</v>
      </c>
      <c r="E78" s="3081" t="s">
        <v>2267</v>
      </c>
      <c r="F78" s="3082"/>
      <c r="G78" s="3082"/>
      <c r="H78" s="309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340</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8.5642317380352648E-2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102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hidden="1" thickBot="1">
      <c r="A83" s="3121" t="s">
        <v>2271</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hidden="1">
      <c r="A84" s="3100" t="s">
        <v>2235</v>
      </c>
      <c r="B84" s="3101"/>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hidden="1">
      <c r="A85" s="203" t="s">
        <v>775</v>
      </c>
      <c r="B85" s="204" t="s">
        <v>2255</v>
      </c>
      <c r="C85" s="207">
        <f ca="1">ROUND(D45/(1+'数据-取费表'!C42),0)</f>
        <v>4310</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hidden="1">
      <c r="A86" s="203" t="s">
        <v>772</v>
      </c>
      <c r="B86" s="173" t="s">
        <v>2256</v>
      </c>
      <c r="C86" s="207">
        <f ca="1">IF(H88="仅含出让金",C87+C90+C91+C92+C93+C94,C87+C91+C92+C93+C94)</f>
        <v>22</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hidden="1">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hidden="1">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hidden="1">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hidden="1">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hidden="1" customHeight="1">
      <c r="A91" s="217" t="s">
        <v>2278</v>
      </c>
      <c r="B91" s="198" t="s">
        <v>2279</v>
      </c>
      <c r="C91" s="225">
        <f>IF(H91="——",成本法!C33,I91)</f>
        <v>0</v>
      </c>
      <c r="D91" s="226"/>
      <c r="E91" s="3081" t="s">
        <v>2280</v>
      </c>
      <c r="F91" s="3082"/>
      <c r="G91" s="3082"/>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hidden="1" customHeight="1">
      <c r="A92" s="217" t="s">
        <v>2282</v>
      </c>
      <c r="B92" s="198" t="s">
        <v>2283</v>
      </c>
      <c r="C92" s="225">
        <f>ROUND((C87+C90+C91)*D92,0)</f>
        <v>0</v>
      </c>
      <c r="D92" s="226">
        <v>0.1</v>
      </c>
      <c r="E92" s="3081" t="s">
        <v>2284</v>
      </c>
      <c r="F92" s="3082"/>
      <c r="G92" s="3082"/>
      <c r="H92" s="309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hidden="1" customHeight="1">
      <c r="A93" s="217" t="s">
        <v>2285</v>
      </c>
      <c r="B93" s="198" t="s">
        <v>2266</v>
      </c>
      <c r="C93" s="225">
        <f ca="1">ROUND(D45*D93/(1+'数据-取费表'!C42),0)</f>
        <v>22</v>
      </c>
      <c r="D93" s="226">
        <f>'数据-取费表'!B43</f>
        <v>5.000000000000001E-3</v>
      </c>
      <c r="E93" s="3081" t="s">
        <v>2267</v>
      </c>
      <c r="F93" s="3082"/>
      <c r="G93" s="3082"/>
      <c r="H93" s="309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hidden="1" customHeight="1">
      <c r="A94" s="217" t="s">
        <v>2286</v>
      </c>
      <c r="B94" s="198" t="s">
        <v>2287</v>
      </c>
      <c r="C94" s="236">
        <f>ROUND((C87+C90+C91)*D94,0)</f>
        <v>0</v>
      </c>
      <c r="D94" s="226">
        <v>0.2</v>
      </c>
      <c r="E94" s="3092" t="s">
        <v>2288</v>
      </c>
      <c r="F94" s="3093"/>
      <c r="G94" s="3093"/>
      <c r="H94" s="309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hidden="1">
      <c r="A95" s="2515" t="s">
        <v>773</v>
      </c>
      <c r="B95" s="204" t="s">
        <v>2268</v>
      </c>
      <c r="C95" s="207">
        <f ca="1">ROUND(C85-C86,0)</f>
        <v>4288</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hidden="1">
      <c r="A96" s="2515" t="s">
        <v>780</v>
      </c>
      <c r="B96" s="204" t="s">
        <v>2269</v>
      </c>
      <c r="C96" s="227">
        <f ca="1">IF(C95&lt;=0,0,C95/C86)</f>
        <v>194.90909090909091</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hidden="1" thickBot="1">
      <c r="A97" s="2516" t="s">
        <v>781</v>
      </c>
      <c r="B97" s="209" t="s">
        <v>2270</v>
      </c>
      <c r="C97" s="228">
        <f ca="1">ROUND(IF(C95&lt;=0,0,IF(C96&gt;=200%,C95*60%-C86*35%,IF(C96&gt;=100%,C95*50%-C86*15%,IF(C96&gt;=50%,C95*40%-C86*5%,IF(C96&lt;50%,C95*30%,0))))),0)</f>
        <v>2565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hidden="1" customHeight="1">
      <c r="A98" s="2496"/>
      <c r="B98" s="2418"/>
      <c r="C98" s="2418"/>
      <c r="D98" s="2418"/>
      <c r="E98" s="2166"/>
      <c r="F98" s="2166"/>
      <c r="G98" s="2166"/>
      <c r="H98" s="2165"/>
      <c r="I98" s="138"/>
    </row>
    <row r="99" spans="1:35" ht="21.75" hidden="1" customHeight="1" thickBot="1">
      <c r="A99" s="2474" t="s">
        <v>2289</v>
      </c>
      <c r="B99" s="2418"/>
      <c r="C99" s="2418"/>
      <c r="D99" s="2418"/>
      <c r="E99" s="2166"/>
      <c r="F99" s="2166"/>
      <c r="G99" s="2166"/>
      <c r="H99" s="2165"/>
      <c r="I99" s="138"/>
    </row>
    <row r="100" spans="1:35" ht="18.75" hidden="1" customHeight="1">
      <c r="A100" s="3066" t="s">
        <v>2290</v>
      </c>
      <c r="B100" s="3067"/>
      <c r="C100" s="3067"/>
      <c r="D100" s="3083"/>
      <c r="E100" s="3067" t="s">
        <v>2291</v>
      </c>
      <c r="F100" s="3067"/>
      <c r="G100" s="3067"/>
      <c r="H100" s="3083"/>
      <c r="I100" s="138"/>
    </row>
    <row r="101" spans="1:35" ht="18.75" hidden="1" customHeight="1">
      <c r="A101" s="3145" t="s">
        <v>2292</v>
      </c>
      <c r="B101" s="3146"/>
      <c r="C101" s="736" t="str">
        <f>C4</f>
        <v>成本法</v>
      </c>
      <c r="D101" s="737" t="str">
        <f>D4</f>
        <v>收益法</v>
      </c>
      <c r="E101" s="3159" t="s">
        <v>2293</v>
      </c>
      <c r="F101" s="3113"/>
      <c r="G101" s="2520" t="s">
        <v>2294</v>
      </c>
      <c r="H101" s="1045">
        <f ca="1">H118</f>
        <v>36436</v>
      </c>
      <c r="I101" s="138"/>
    </row>
    <row r="102" spans="1:35" ht="18.75" hidden="1" customHeight="1">
      <c r="A102" s="3115" t="s">
        <v>2295</v>
      </c>
      <c r="B102" s="2520" t="s">
        <v>2294</v>
      </c>
      <c r="C102" s="736">
        <f ca="1">C19</f>
        <v>11142</v>
      </c>
      <c r="D102" s="737">
        <f ca="1">D19</f>
        <v>47276</v>
      </c>
      <c r="E102" s="3159"/>
      <c r="F102" s="3113"/>
      <c r="G102" s="2520" t="s">
        <v>2296</v>
      </c>
      <c r="H102" s="371">
        <f ca="1">I118</f>
        <v>22507</v>
      </c>
      <c r="I102" s="138"/>
    </row>
    <row r="103" spans="1:35" ht="42.75" hidden="1" customHeight="1">
      <c r="A103" s="3115"/>
      <c r="B103" s="2520" t="s">
        <v>2296</v>
      </c>
      <c r="C103" s="738">
        <f ca="1">C20</f>
        <v>6883</v>
      </c>
      <c r="D103" s="739">
        <f ca="1">D20</f>
        <v>29203</v>
      </c>
      <c r="E103" s="3154" t="s">
        <v>2297</v>
      </c>
      <c r="F103" s="3155"/>
      <c r="G103" s="2521" t="s">
        <v>2298</v>
      </c>
      <c r="H103" s="1045">
        <f>IF(D36="正常操作",H104+H105+H106,H105+H106)</f>
        <v>0</v>
      </c>
      <c r="I103" s="138"/>
    </row>
    <row r="104" spans="1:35" ht="18.75" hidden="1" customHeight="1">
      <c r="A104" s="3115"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hidden="1" customHeight="1" thickBot="1">
      <c r="A105" s="3116"/>
      <c r="B105" s="2523" t="s">
        <v>2296</v>
      </c>
      <c r="C105" s="742">
        <f ca="1">I118</f>
        <v>22507</v>
      </c>
      <c r="D105" s="743"/>
      <c r="E105" s="2267" t="s">
        <v>2301</v>
      </c>
      <c r="F105" s="2258"/>
      <c r="G105" s="2521" t="s">
        <v>2298</v>
      </c>
      <c r="H105" s="1046">
        <f>C37</f>
        <v>0</v>
      </c>
      <c r="I105" s="138"/>
    </row>
    <row r="106" spans="1:35" ht="18.75" hidden="1" customHeight="1">
      <c r="A106" s="2418" t="s">
        <v>2302</v>
      </c>
      <c r="B106" s="2418"/>
      <c r="C106" s="2418"/>
      <c r="D106" s="2418"/>
      <c r="E106" s="2524" t="s">
        <v>2303</v>
      </c>
      <c r="F106" s="2258"/>
      <c r="G106" s="2521" t="s">
        <v>2298</v>
      </c>
      <c r="H106" s="1046">
        <f>C38</f>
        <v>0</v>
      </c>
      <c r="I106" s="138"/>
    </row>
    <row r="107" spans="1:35" ht="18.75" hidden="1" customHeight="1">
      <c r="A107" s="138"/>
      <c r="B107" s="138"/>
      <c r="C107" s="138"/>
      <c r="D107" s="138"/>
      <c r="E107" s="3112" t="str">
        <f>IF(项目基本情况!E8="已注销","——","3.房地产抵押价值")</f>
        <v>3.房地产抵押价值</v>
      </c>
      <c r="F107" s="3113"/>
      <c r="G107" s="2520" t="s">
        <v>2294</v>
      </c>
      <c r="H107" s="1045">
        <f ca="1">IF(E107="——","——",H101-H103)</f>
        <v>36436</v>
      </c>
      <c r="I107" s="138"/>
    </row>
    <row r="108" spans="1:35" ht="18.75" hidden="1" customHeight="1">
      <c r="A108" s="138"/>
      <c r="B108" s="138"/>
      <c r="C108" s="138"/>
      <c r="D108" s="138"/>
      <c r="E108" s="3112"/>
      <c r="F108" s="3113"/>
      <c r="G108" s="2520" t="s">
        <v>2296</v>
      </c>
      <c r="H108" s="371">
        <f ca="1">ROUND(H107*10000/'数据-汇总表'!E3,0)</f>
        <v>22507</v>
      </c>
      <c r="I108" s="138"/>
    </row>
    <row r="109" spans="1:35" ht="18.75" hidden="1" customHeight="1">
      <c r="A109" s="138"/>
      <c r="B109" s="138"/>
      <c r="C109" s="138"/>
      <c r="D109" s="138"/>
      <c r="E109" s="3112" t="str">
        <f>IF(项目基本情况!E8="已注销及未注销","4.抵押担保权已注销时的房地产抵押价值",IF(项目基本情况!E8="已注销","3.抵押担保权已注销时的房地产抵押价值","——"))</f>
        <v>——</v>
      </c>
      <c r="F109" s="3113"/>
      <c r="G109" s="2520" t="s">
        <v>2294</v>
      </c>
      <c r="H109" s="348" t="str">
        <f>IF(E109="——","——",H101-H105-H106)</f>
        <v>——</v>
      </c>
      <c r="I109" s="138"/>
    </row>
    <row r="110" spans="1:35" ht="18.75" hidden="1" customHeight="1">
      <c r="A110" s="138"/>
      <c r="B110" s="138"/>
      <c r="C110" s="138"/>
      <c r="D110" s="138"/>
      <c r="E110" s="3112"/>
      <c r="F110" s="3113"/>
      <c r="G110" s="2520" t="s">
        <v>2296</v>
      </c>
      <c r="H110" s="371" t="str">
        <f>IF(H109="——","——",ROUND(H109*10000/'数据-汇总表'!E3,0))</f>
        <v>——</v>
      </c>
      <c r="I110" s="138"/>
    </row>
    <row r="111" spans="1:35" ht="18.75" hidden="1" customHeight="1">
      <c r="A111" s="138"/>
      <c r="B111" s="138"/>
      <c r="C111" s="138"/>
      <c r="D111" s="138"/>
      <c r="E111" s="3147" t="str">
        <f>IF(项目基本情况!E9="抵押净值",IF(OR(项目基本情况!E8="已注销",项目基本情况!E8="房地产抵押价值"),"4.抵押净值","5.抵押净值"),"——")</f>
        <v>4.抵押净值</v>
      </c>
      <c r="F111" s="3148"/>
      <c r="G111" s="2520" t="s">
        <v>2294</v>
      </c>
      <c r="H111" s="1045">
        <f ca="1">IF(E111="——","——",N59)</f>
        <v>5528</v>
      </c>
      <c r="I111" s="138"/>
    </row>
    <row r="112" spans="1:35" ht="18.75" hidden="1" customHeight="1" thickBot="1">
      <c r="A112" s="138"/>
      <c r="B112" s="138"/>
      <c r="C112" s="138"/>
      <c r="D112" s="138"/>
      <c r="E112" s="3149"/>
      <c r="F112" s="3150"/>
      <c r="G112" s="2525" t="s">
        <v>2296</v>
      </c>
      <c r="H112" s="790">
        <f ca="1">IF(E111="——","——",N61)</f>
        <v>3415</v>
      </c>
      <c r="I112" s="138"/>
    </row>
    <row r="113" spans="1:11" ht="18.75" hidden="1" customHeight="1">
      <c r="A113" s="138"/>
      <c r="B113" s="138"/>
      <c r="C113" s="138"/>
      <c r="D113" s="138"/>
      <c r="E113" s="3117" t="s">
        <v>2302</v>
      </c>
      <c r="F113" s="3117"/>
      <c r="G113" s="3117"/>
      <c r="H113" s="3117"/>
      <c r="I113" s="138"/>
    </row>
    <row r="114" spans="1:11" ht="3.75" hidden="1" customHeight="1">
      <c r="A114" s="2418"/>
      <c r="B114" s="2418"/>
      <c r="C114" s="2418"/>
      <c r="D114" s="2418"/>
      <c r="E114" s="2496"/>
      <c r="F114" s="2496"/>
      <c r="G114" s="2496"/>
      <c r="H114" s="2496"/>
      <c r="I114" s="2418"/>
    </row>
    <row r="115" spans="1:11" ht="18.75" hidden="1" customHeight="1">
      <c r="A115" s="3130" t="s">
        <v>2304</v>
      </c>
      <c r="B115" s="3131"/>
      <c r="C115" s="3131"/>
      <c r="D115" s="3131"/>
      <c r="E115" s="3131"/>
      <c r="F115" s="3131"/>
      <c r="G115" s="3131"/>
      <c r="H115" s="3131"/>
      <c r="I115" s="3132"/>
    </row>
    <row r="116" spans="1:11" ht="27" hidden="1" customHeight="1">
      <c r="A116" s="3023" t="s">
        <v>2305</v>
      </c>
      <c r="B116" s="3118" t="s">
        <v>2306</v>
      </c>
      <c r="C116" s="3118" t="s">
        <v>2307</v>
      </c>
      <c r="D116" s="3134" t="s">
        <v>2308</v>
      </c>
      <c r="E116" s="3135"/>
      <c r="F116" s="3126" t="s">
        <v>2309</v>
      </c>
      <c r="G116" s="3126"/>
      <c r="H116" s="3023" t="s">
        <v>2310</v>
      </c>
      <c r="I116" s="3023"/>
    </row>
    <row r="117" spans="1:11" ht="18.75" hidden="1" customHeight="1">
      <c r="A117" s="3023"/>
      <c r="B117" s="3119"/>
      <c r="C117" s="3119"/>
      <c r="D117" s="2963" t="s">
        <v>2311</v>
      </c>
      <c r="E117" s="2963" t="s">
        <v>2312</v>
      </c>
      <c r="F117" s="2963" t="s">
        <v>2311</v>
      </c>
      <c r="G117" s="2963" t="s">
        <v>2313</v>
      </c>
      <c r="H117" s="2963" t="s">
        <v>2311</v>
      </c>
      <c r="I117" s="2963" t="s">
        <v>2313</v>
      </c>
    </row>
    <row r="118" spans="1:11" ht="24.75" hidden="1"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hidden="1" customHeight="1">
      <c r="A119" s="3023" t="s">
        <v>2314</v>
      </c>
      <c r="B119" s="3023"/>
      <c r="C119" s="3023"/>
      <c r="D119" s="3123" t="str">
        <f ca="1">NUMBERSTRING(INT(D118*10000),2)&amp;"元整"</f>
        <v>壹亿伍仟叁佰零叁万元整</v>
      </c>
      <c r="E119" s="3125"/>
      <c r="F119" s="3123" t="str">
        <f ca="1">NUMBERSTRING(INT(F118*10000),2)&amp;"元整"</f>
        <v>贰亿壹仟壹佰叁拾叁万元整</v>
      </c>
      <c r="G119" s="3125"/>
      <c r="H119" s="3123" t="str">
        <f ca="1">NUMBERSTRING(INT(H118*10000),2)&amp;"元整"</f>
        <v>叁亿陆仟肆佰叁拾陆万元整</v>
      </c>
      <c r="I119" s="3125"/>
    </row>
    <row r="120" spans="1:11" ht="18.75" hidden="1" customHeight="1">
      <c r="A120" s="3151" t="str">
        <f>IF(项目基本情况!B9="房地产市场价值","",MID(E103,3,LEN(E103)-2))</f>
        <v>估价师知悉的法定优先受偿款</v>
      </c>
      <c r="B120" s="3152"/>
      <c r="C120" s="3153"/>
      <c r="D120" s="3151">
        <f>H103</f>
        <v>0</v>
      </c>
      <c r="E120" s="3152"/>
      <c r="F120" s="3152"/>
      <c r="G120" s="3152"/>
      <c r="H120" s="3152"/>
      <c r="I120" s="3153"/>
      <c r="K120" s="2423" t="str">
        <f>IF(D120=0,"故，本次评估不存在"&amp;A120,"故，本次评估"&amp;A120&amp;"为人民币"&amp;D120&amp;"万元整。")</f>
        <v>故，本次评估不存在估价师知悉的法定优先受偿款</v>
      </c>
    </row>
    <row r="121" spans="1:11" ht="18.75" hidden="1" customHeight="1">
      <c r="A121" s="3127" t="s">
        <v>2314</v>
      </c>
      <c r="B121" s="3128"/>
      <c r="C121" s="3129"/>
      <c r="D121" s="3123" t="str">
        <f>IF(D120=0,"零元整",NUMBERSTRING(INT(D120*10000),2)&amp;"元整")</f>
        <v>零元整</v>
      </c>
      <c r="E121" s="3124"/>
      <c r="F121" s="3124"/>
      <c r="G121" s="3124"/>
      <c r="H121" s="3124"/>
      <c r="I121" s="3125"/>
    </row>
    <row r="122" spans="1:11" ht="18.75" hidden="1" customHeight="1">
      <c r="A122" s="3114" t="str">
        <f>IF(项目基本情况!B9="房地产市场价值","",MID(E107,3,LEN(E107)-2))</f>
        <v>房地产抵押价值</v>
      </c>
      <c r="B122" s="3114"/>
      <c r="C122" s="3114"/>
      <c r="D122" s="3151">
        <f ca="1">H107</f>
        <v>36436</v>
      </c>
      <c r="E122" s="3152"/>
      <c r="F122" s="3152"/>
      <c r="G122" s="3152"/>
      <c r="H122" s="3152"/>
      <c r="I122" s="3153"/>
    </row>
    <row r="123" spans="1:11" ht="18.75" hidden="1" customHeight="1">
      <c r="A123" s="3023" t="s">
        <v>2314</v>
      </c>
      <c r="B123" s="3023"/>
      <c r="C123" s="3023"/>
      <c r="D123" s="3123" t="str">
        <f ca="1">NUMBERSTRING(INT(D122*10000),2)&amp;"元整"</f>
        <v>叁亿陆仟肆佰叁拾陆万元整</v>
      </c>
      <c r="E123" s="3124"/>
      <c r="F123" s="3124"/>
      <c r="G123" s="3124"/>
      <c r="H123" s="3124"/>
      <c r="I123" s="3125"/>
    </row>
    <row r="124" spans="1:11" ht="18.75" hidden="1" customHeight="1">
      <c r="A124" s="3114" t="str">
        <f>IF(项目基本情况!B9="房地产市场价值","",MID(E109,3,LEN(E109)-2))</f>
        <v/>
      </c>
      <c r="B124" s="3114"/>
      <c r="C124" s="3114"/>
      <c r="D124" s="3151" t="str">
        <f>H109</f>
        <v>——</v>
      </c>
      <c r="E124" s="3152"/>
      <c r="F124" s="3152"/>
      <c r="G124" s="3152"/>
      <c r="H124" s="3152"/>
      <c r="I124" s="3153"/>
    </row>
    <row r="125" spans="1:11" ht="18.75" hidden="1" customHeight="1">
      <c r="A125" s="3023" t="s">
        <v>2314</v>
      </c>
      <c r="B125" s="3023"/>
      <c r="C125" s="3023"/>
      <c r="D125" s="3123" t="e">
        <f>NUMBERSTRING(INT(D124*10000),2)&amp;"元整"</f>
        <v>#VALUE!</v>
      </c>
      <c r="E125" s="3124"/>
      <c r="F125" s="3124"/>
      <c r="G125" s="3124"/>
      <c r="H125" s="3124"/>
      <c r="I125" s="3125"/>
    </row>
    <row r="126" spans="1:11" ht="18.75" hidden="1" customHeight="1">
      <c r="A126" s="3114" t="str">
        <f>IF(项目基本情况!B9="房地产市场价值","",MID(E111,3,LEN(E111)-2))</f>
        <v>抵押净值</v>
      </c>
      <c r="B126" s="3114"/>
      <c r="C126" s="3114"/>
      <c r="D126" s="3151">
        <f ca="1">H111</f>
        <v>5528</v>
      </c>
      <c r="E126" s="3152"/>
      <c r="F126" s="3152"/>
      <c r="G126" s="3152"/>
      <c r="H126" s="3152"/>
      <c r="I126" s="3153"/>
    </row>
    <row r="127" spans="1:11" ht="18.75" hidden="1" customHeight="1">
      <c r="A127" s="3023" t="s">
        <v>2314</v>
      </c>
      <c r="B127" s="3023"/>
      <c r="C127" s="3023"/>
      <c r="D127" s="3123" t="str">
        <f ca="1">NUMBERSTRING(INT(D126*10000),2)&amp;"元整"</f>
        <v>伍仟伍佰贰拾捌万元整</v>
      </c>
      <c r="E127" s="3124"/>
      <c r="F127" s="3124"/>
      <c r="G127" s="3124"/>
      <c r="H127" s="3124"/>
      <c r="I127" s="3125"/>
    </row>
    <row r="128" spans="1:11" ht="21.75" hidden="1" customHeight="1">
      <c r="A128" s="3133" t="s">
        <v>2315</v>
      </c>
      <c r="B128" s="3133"/>
      <c r="C128" s="3133"/>
      <c r="D128" s="3133"/>
      <c r="E128" s="3133"/>
      <c r="F128" s="3133"/>
      <c r="G128" s="3133"/>
      <c r="H128" s="3133"/>
      <c r="I128" s="3133"/>
    </row>
    <row r="129" spans="1:35" ht="21.75" hidden="1" customHeight="1">
      <c r="A129" s="2527" t="s">
        <v>2316</v>
      </c>
      <c r="B129" s="2528"/>
      <c r="C129" s="2529" t="s">
        <v>2317</v>
      </c>
      <c r="D129" s="2530"/>
      <c r="E129" s="2530"/>
      <c r="F129" s="2530"/>
      <c r="G129" s="2530"/>
      <c r="H129" s="2531"/>
      <c r="I129" s="2532"/>
    </row>
    <row r="130" spans="1:35" ht="21.75" hidden="1" customHeight="1">
      <c r="A130" s="2533">
        <v>1</v>
      </c>
      <c r="B130" s="2534"/>
      <c r="C130" s="2534"/>
      <c r="D130" s="2535"/>
      <c r="E130" s="2535"/>
      <c r="F130" s="2535"/>
      <c r="G130" s="2535"/>
      <c r="H130" s="2536"/>
      <c r="I130" s="2537"/>
    </row>
    <row r="131" spans="1:35" ht="21.75" hidden="1" customHeight="1">
      <c r="A131" s="2533">
        <v>2</v>
      </c>
      <c r="B131" s="2534"/>
      <c r="C131" s="2534"/>
      <c r="D131" s="2535"/>
      <c r="E131" s="2535"/>
      <c r="F131" s="2535"/>
      <c r="G131" s="2535"/>
      <c r="H131" s="2536"/>
      <c r="I131" s="2537"/>
    </row>
    <row r="132" spans="1:35" ht="21.75" hidden="1" customHeight="1">
      <c r="A132" s="2533">
        <v>3</v>
      </c>
      <c r="B132" s="2534"/>
      <c r="C132" s="2534"/>
      <c r="D132" s="2535"/>
      <c r="E132" s="2535"/>
      <c r="F132" s="2535"/>
      <c r="G132" s="2535"/>
      <c r="H132" s="2536"/>
      <c r="I132" s="2537"/>
    </row>
    <row r="133" spans="1:35" ht="21.75" hidden="1" customHeight="1">
      <c r="A133" s="2538"/>
      <c r="B133" s="2539"/>
      <c r="C133" s="2539"/>
      <c r="D133" s="2540"/>
      <c r="E133" s="2540"/>
      <c r="F133" s="2540"/>
      <c r="G133" s="2540"/>
      <c r="H133" s="2541"/>
      <c r="I133" s="2542"/>
    </row>
    <row r="134" spans="1:35" ht="21.75" hidden="1" customHeight="1">
      <c r="A134" s="2534"/>
      <c r="B134" s="2534"/>
      <c r="C134" s="2534"/>
      <c r="D134" s="2535"/>
      <c r="E134" s="2535"/>
      <c r="F134" s="2535"/>
      <c r="G134" s="2535"/>
      <c r="H134" s="2536"/>
      <c r="I134" s="795"/>
    </row>
    <row r="135" spans="1:35" ht="21.75" hidden="1" customHeight="1">
      <c r="A135" s="795"/>
      <c r="B135" s="795"/>
      <c r="C135" s="795"/>
      <c r="D135" s="795"/>
      <c r="E135" s="795"/>
      <c r="F135" s="2543" t="s">
        <v>2318</v>
      </c>
      <c r="G135" s="2544"/>
      <c r="H135" s="2544"/>
      <c r="I135" s="2545" t="s">
        <v>2319</v>
      </c>
    </row>
    <row r="136" spans="1:35" ht="21.75" hidden="1" customHeight="1">
      <c r="A136" s="795"/>
      <c r="B136" s="2546" t="s">
        <v>2320</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44"/>
      <c r="C138" s="2544"/>
      <c r="D138" s="2544"/>
      <c r="E138" s="2544"/>
      <c r="F138" s="2544"/>
      <c r="G138" s="2544"/>
      <c r="H138" s="2544"/>
      <c r="I138" s="2545" t="s">
        <v>2321</v>
      </c>
    </row>
    <row r="139" spans="1:35" ht="21.75" hidden="1" customHeight="1">
      <c r="A139" s="795"/>
      <c r="B139" s="2546" t="s">
        <v>2322</v>
      </c>
      <c r="C139" s="795"/>
      <c r="D139" s="795"/>
      <c r="E139" s="795"/>
      <c r="F139" s="795"/>
      <c r="G139" s="795"/>
      <c r="H139" s="795"/>
      <c r="I139" s="795"/>
    </row>
    <row r="140" spans="1:35" ht="21.75" hidden="1" customHeight="1">
      <c r="A140" s="795"/>
      <c r="B140" s="2546"/>
      <c r="C140" s="795"/>
      <c r="D140" s="795"/>
      <c r="E140" s="795"/>
      <c r="F140" s="795"/>
      <c r="G140" s="795"/>
      <c r="H140" s="795"/>
      <c r="I140" s="795"/>
    </row>
    <row r="141" spans="1:35" ht="21.75" hidden="1" customHeight="1">
      <c r="A141" s="795"/>
      <c r="B141" s="2544"/>
      <c r="C141" s="2544"/>
      <c r="D141" s="2544"/>
      <c r="E141" s="2544"/>
      <c r="F141" s="2544"/>
      <c r="G141" s="2544"/>
      <c r="H141" s="2544"/>
      <c r="I141" s="2545" t="s">
        <v>2321</v>
      </c>
    </row>
    <row r="142" spans="1:35" ht="21.75" hidden="1"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1635</v>
      </c>
      <c r="B2" s="3000" t="s">
        <v>1636</v>
      </c>
      <c r="C2" s="3000" t="s">
        <v>1637</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16188.669999999998</v>
      </c>
      <c r="C4" s="1044">
        <f>项目基本情况!C18</f>
        <v>9192.5</v>
      </c>
      <c r="D4" s="1044">
        <f ca="1">结果表!D118</f>
        <v>15303</v>
      </c>
      <c r="E4" s="1044">
        <f ca="1">结果表!E118</f>
        <v>9453</v>
      </c>
      <c r="F4" s="1044">
        <f ca="1">结果表!F118</f>
        <v>21133</v>
      </c>
      <c r="G4" s="1044">
        <f ca="1">结果表!G118</f>
        <v>13054</v>
      </c>
      <c r="H4" s="1044">
        <f ca="1">结果表!H118</f>
        <v>36436</v>
      </c>
      <c r="I4" s="1044">
        <f ca="1">结果表!I118</f>
        <v>22507</v>
      </c>
    </row>
    <row r="5" spans="1:9" ht="30" customHeight="1">
      <c r="A5" s="2994" t="s">
        <v>1634</v>
      </c>
      <c r="B5" s="2994"/>
      <c r="C5" s="2994"/>
      <c r="D5" s="2995" t="str">
        <f ca="1">结果表!D119</f>
        <v>壹亿伍仟叁佰零叁万元整</v>
      </c>
      <c r="E5" s="2995"/>
      <c r="F5" s="2995" t="str">
        <f ca="1">结果表!F119</f>
        <v>贰亿壹仟壹佰叁拾叁万元整</v>
      </c>
      <c r="G5" s="2995"/>
      <c r="H5" s="2995" t="str">
        <f ca="1">结果表!H119</f>
        <v>叁亿陆仟肆佰叁拾陆万元整</v>
      </c>
      <c r="I5" s="2995"/>
    </row>
    <row r="6" spans="1:9" ht="15.75">
      <c r="A6" s="2993" t="str">
        <f>结果表!A120</f>
        <v>估价师知悉的法定优先受偿款</v>
      </c>
      <c r="B6" s="2993"/>
      <c r="C6" s="2993"/>
      <c r="D6" s="2993">
        <f>结果表!D120</f>
        <v>0</v>
      </c>
      <c r="E6" s="2993"/>
      <c r="F6" s="2993"/>
      <c r="G6" s="2993"/>
      <c r="H6" s="2993"/>
      <c r="I6" s="2993"/>
    </row>
    <row r="7" spans="1:9" ht="15">
      <c r="A7" s="2994" t="s">
        <v>1634</v>
      </c>
      <c r="B7" s="2994"/>
      <c r="C7" s="2994"/>
      <c r="D7" s="2996" t="str">
        <f>结果表!D121</f>
        <v>零元整</v>
      </c>
      <c r="E7" s="2997"/>
      <c r="F7" s="2997"/>
      <c r="G7" s="2997"/>
      <c r="H7" s="2997"/>
      <c r="I7" s="2998"/>
    </row>
    <row r="8" spans="1:9" ht="15.75">
      <c r="A8" s="2993" t="str">
        <f>结果表!A122</f>
        <v>房地产抵押价值</v>
      </c>
      <c r="B8" s="2993"/>
      <c r="C8" s="2993"/>
      <c r="D8" s="2993">
        <f ca="1">结果表!D122</f>
        <v>36436</v>
      </c>
      <c r="E8" s="2993"/>
      <c r="F8" s="2993"/>
      <c r="G8" s="2993"/>
      <c r="H8" s="2993"/>
      <c r="I8" s="2993"/>
    </row>
    <row r="9" spans="1:9" ht="15">
      <c r="A9" s="2994" t="s">
        <v>1634</v>
      </c>
      <c r="B9" s="2994"/>
      <c r="C9" s="2994"/>
      <c r="D9" s="2995" t="str">
        <f ca="1">结果表!D123</f>
        <v>叁亿陆仟肆佰叁拾陆万元整</v>
      </c>
      <c r="E9" s="2995"/>
      <c r="F9" s="2995"/>
      <c r="G9" s="2995"/>
      <c r="H9" s="2995"/>
      <c r="I9" s="2995"/>
    </row>
    <row r="10" spans="1:9" ht="15.75">
      <c r="A10" s="2993" t="str">
        <f>结果表!A124</f>
        <v/>
      </c>
      <c r="B10" s="2993"/>
      <c r="C10" s="2993"/>
      <c r="D10" s="2993" t="str">
        <f>结果表!D124</f>
        <v>——</v>
      </c>
      <c r="E10" s="2993"/>
      <c r="F10" s="2993"/>
      <c r="G10" s="2993"/>
      <c r="H10" s="2993"/>
      <c r="I10" s="2993"/>
    </row>
    <row r="11" spans="1:9" ht="15">
      <c r="A11" s="2994" t="s">
        <v>1634</v>
      </c>
      <c r="B11" s="2994"/>
      <c r="C11" s="2994"/>
      <c r="D11" s="2995" t="e">
        <f>结果表!D125</f>
        <v>#VALUE!</v>
      </c>
      <c r="E11" s="2995"/>
      <c r="F11" s="2995"/>
      <c r="G11" s="2995"/>
      <c r="H11" s="2995"/>
      <c r="I11" s="2995"/>
    </row>
    <row r="12" spans="1:9" ht="15.75">
      <c r="A12" s="2993" t="str">
        <f>结果表!A126</f>
        <v>抵押净值</v>
      </c>
      <c r="B12" s="2993"/>
      <c r="C12" s="2993"/>
      <c r="D12" s="2993">
        <f ca="1">结果表!D126</f>
        <v>35855</v>
      </c>
      <c r="E12" s="2993"/>
      <c r="F12" s="2993"/>
      <c r="G12" s="2993"/>
      <c r="H12" s="2993"/>
      <c r="I12" s="2993"/>
    </row>
    <row r="13" spans="1:9" ht="15.75" thickBot="1">
      <c r="A13" s="2990" t="s">
        <v>1634</v>
      </c>
      <c r="B13" s="2990"/>
      <c r="C13" s="2990"/>
      <c r="D13" s="2991" t="str">
        <f ca="1">结果表!D127</f>
        <v>叁亿伍仟捌佰伍拾伍万元整</v>
      </c>
      <c r="E13" s="2991"/>
      <c r="F13" s="2991"/>
      <c r="G13" s="2991"/>
      <c r="H13" s="2991"/>
      <c r="I13" s="2991"/>
    </row>
    <row r="14" spans="1:9" ht="15" thickTop="1">
      <c r="A14" s="2992" t="s">
        <v>1639</v>
      </c>
      <c r="B14" s="2992"/>
      <c r="C14" s="2992"/>
      <c r="D14" s="2992"/>
      <c r="E14" s="2992"/>
      <c r="F14" s="2992"/>
      <c r="G14" s="2992"/>
      <c r="H14" s="2992"/>
      <c r="I14" s="2992"/>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7" t="s">
        <v>1656</v>
      </c>
      <c r="B1" s="3007"/>
      <c r="C1" s="3007"/>
      <c r="D1" s="3007"/>
    </row>
    <row r="2" spans="1:4" ht="18">
      <c r="A2" s="3008" t="s">
        <v>1640</v>
      </c>
      <c r="B2" s="3008"/>
      <c r="C2" s="3008"/>
      <c r="D2" s="3008"/>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08" t="s">
        <v>1646</v>
      </c>
      <c r="B6" s="3008"/>
      <c r="C6" s="3008"/>
      <c r="D6" s="300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9"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6"/>
      <c r="C12" s="3006"/>
      <c r="D12" s="3006"/>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6"/>
      <c r="C13" s="3006"/>
      <c r="D13" s="3006"/>
    </row>
    <row r="14" spans="1:4" ht="15.75" customHeight="1">
      <c r="A14" s="3001" t="str">
        <f>IF(项目基本情况!B8="抵押","4.本次评估估价师所知悉的法定优先受偿款情况说明如下：","——")</f>
        <v>4.本次评估估价师所知悉的法定优先受偿款情况说明如下：</v>
      </c>
      <c r="B14" s="3006"/>
      <c r="C14" s="3006"/>
      <c r="D14" s="3006"/>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1650</v>
      </c>
      <c r="B16" s="3003"/>
      <c r="C16" s="3003"/>
      <c r="D16" s="3003"/>
    </row>
    <row r="17" spans="1:4" ht="144" customHeight="1">
      <c r="A17" s="3003" t="s">
        <v>1651</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4"/>
      <c r="C21" s="3004"/>
      <c r="D21" s="3004"/>
    </row>
    <row r="22" spans="1:4" ht="18.75" customHeight="1">
      <c r="A22" s="3005" t="s">
        <v>1652</v>
      </c>
      <c r="B22" s="3005"/>
      <c r="C22" s="3005"/>
      <c r="D22" s="300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2">
        <v>42551</v>
      </c>
      <c r="D31" s="30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5" t="s">
        <v>1663</v>
      </c>
      <c r="B15" s="3010" t="s">
        <v>136</v>
      </c>
      <c r="C15" s="3011"/>
    </row>
    <row r="16" spans="1:7" ht="13.5">
      <c r="A16" s="3016"/>
      <c r="B16" s="3010" t="s">
        <v>69</v>
      </c>
      <c r="C16" s="3011"/>
    </row>
    <row r="17" spans="1:3" ht="13.5">
      <c r="A17" s="3016"/>
      <c r="B17" s="3013" t="s">
        <v>1664</v>
      </c>
      <c r="C17" s="1999" t="s">
        <v>1663</v>
      </c>
    </row>
    <row r="18" spans="1:3" ht="13.5">
      <c r="A18" s="3016"/>
      <c r="B18" s="3013"/>
      <c r="C18" s="1999" t="s">
        <v>1665</v>
      </c>
    </row>
    <row r="19" spans="1:3" ht="13.5">
      <c r="A19" s="3016"/>
      <c r="B19" s="3013"/>
      <c r="C19" s="1999" t="s">
        <v>1666</v>
      </c>
    </row>
    <row r="20" spans="1:3" ht="13.5">
      <c r="A20" s="3017"/>
      <c r="B20" s="3012" t="s">
        <v>1667</v>
      </c>
      <c r="C20" s="3011"/>
    </row>
    <row r="21" spans="1:3" ht="13.5">
      <c r="A21" s="2000" t="s">
        <v>1668</v>
      </c>
      <c r="B21" s="2001"/>
      <c r="C21" s="2002"/>
    </row>
    <row r="22" spans="1:3" ht="13.5">
      <c r="A22" s="3014" t="s">
        <v>1669</v>
      </c>
      <c r="B22" s="3012" t="s">
        <v>1670</v>
      </c>
      <c r="C22" s="3011"/>
    </row>
    <row r="23" spans="1:3" ht="13.5">
      <c r="A23" s="3014"/>
      <c r="B23" s="3012" t="s">
        <v>1671</v>
      </c>
      <c r="C23" s="3011"/>
    </row>
    <row r="24" spans="1:3" ht="13.5">
      <c r="A24" s="3014"/>
      <c r="B24" s="3012" t="s">
        <v>1672</v>
      </c>
      <c r="C24" s="3011"/>
    </row>
    <row r="25" spans="1:3" ht="13.5">
      <c r="A25" s="3014"/>
      <c r="B25" s="3013" t="s">
        <v>1673</v>
      </c>
      <c r="C25" s="1999" t="s">
        <v>1674</v>
      </c>
    </row>
    <row r="26" spans="1:3" ht="13.5">
      <c r="A26" s="3014"/>
      <c r="B26" s="3013"/>
      <c r="C26" s="1999" t="s">
        <v>1675</v>
      </c>
    </row>
    <row r="27" spans="1:3" ht="13.5">
      <c r="A27" s="3014"/>
      <c r="B27" s="3013"/>
      <c r="C27" s="1999" t="s">
        <v>1676</v>
      </c>
    </row>
    <row r="28" spans="1:3" ht="13.5">
      <c r="A28" s="3014"/>
      <c r="B28" s="3013"/>
      <c r="C28" s="1999" t="s">
        <v>1677</v>
      </c>
    </row>
    <row r="29" spans="1:3" ht="13.5">
      <c r="A29" s="3014"/>
      <c r="B29" s="3013"/>
      <c r="C29" s="1999" t="s">
        <v>1678</v>
      </c>
    </row>
    <row r="30" spans="1:3" ht="13.5">
      <c r="A30" s="3014"/>
      <c r="B30" s="3013"/>
      <c r="C30" s="1999" t="s">
        <v>1679</v>
      </c>
    </row>
    <row r="31" spans="1:3" ht="13.5">
      <c r="A31" s="3014"/>
      <c r="B31" s="3013"/>
      <c r="C31" s="1999" t="s">
        <v>1680</v>
      </c>
    </row>
    <row r="32" spans="1:3" ht="13.5">
      <c r="A32" s="3014"/>
      <c r="B32" s="3013"/>
      <c r="C32" s="1999" t="s">
        <v>1681</v>
      </c>
    </row>
    <row r="33" spans="1:3" ht="13.5">
      <c r="A33" s="3014"/>
      <c r="B33" s="3013"/>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3042</v>
      </c>
      <c r="B14" s="1022">
        <f ca="1">IF(C14&lt;B2,"已过期",1120040230)</f>
        <v>1120040230</v>
      </c>
      <c r="C14" s="2348">
        <v>44864</v>
      </c>
      <c r="D14" s="2351" t="s">
        <v>3042</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3049</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3051</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18" t="s">
        <v>842</v>
      </c>
      <c r="B25" s="3018"/>
      <c r="C25" s="3018"/>
      <c r="D25" s="3018"/>
      <c r="E25" s="3018"/>
      <c r="F25" s="3018"/>
      <c r="G25" s="3018"/>
    </row>
    <row r="26" spans="1:7" s="1025" customFormat="1" ht="24" customHeight="1">
      <c r="A26" s="3019" t="s">
        <v>843</v>
      </c>
      <c r="B26" s="3019"/>
      <c r="C26" s="3020"/>
      <c r="D26" s="3021" t="s">
        <v>844</v>
      </c>
      <c r="E26" s="3019"/>
      <c r="F26" s="3019"/>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9" priority="107" stopIfTrue="1" operator="lessThan">
      <formula>$B$2</formula>
    </cfRule>
  </conditionalFormatting>
  <conditionalFormatting sqref="C5">
    <cfRule type="expression" dxfId="248" priority="102">
      <formula>AND($C5-TODAY()&lt;30,TODAY()&lt;$C5)</formula>
    </cfRule>
  </conditionalFormatting>
  <conditionalFormatting sqref="C5 F5">
    <cfRule type="cellIs" dxfId="247" priority="103" stopIfTrue="1" operator="lessThan">
      <formula>$B$2</formula>
    </cfRule>
  </conditionalFormatting>
  <conditionalFormatting sqref="F6 F8 F10">
    <cfRule type="cellIs" dxfId="246" priority="101" stopIfTrue="1" operator="lessThan">
      <formula>$B$2</formula>
    </cfRule>
  </conditionalFormatting>
  <conditionalFormatting sqref="C5:C7 C13 C17 C19:C21 C10:C11">
    <cfRule type="expression" dxfId="245" priority="99">
      <formula>AND($C5-TODAY()&lt;30,TODAY()&lt;$C5)</formula>
    </cfRule>
  </conditionalFormatting>
  <conditionalFormatting sqref="F7 F9 F11 C5:C7 C13 C17 C19:C21 C10:C11">
    <cfRule type="cellIs" dxfId="244" priority="100" stopIfTrue="1" operator="lessThan">
      <formula>$B$2</formula>
    </cfRule>
  </conditionalFormatting>
  <conditionalFormatting sqref="C20">
    <cfRule type="expression" dxfId="243" priority="87">
      <formula>AND($C20-TODAY()&lt;30,TODAY()&lt;$C20)</formula>
    </cfRule>
  </conditionalFormatting>
  <conditionalFormatting sqref="C20">
    <cfRule type="cellIs" dxfId="242" priority="88" stopIfTrue="1" operator="lessThan">
      <formula>$B$2</formula>
    </cfRule>
  </conditionalFormatting>
  <conditionalFormatting sqref="C17">
    <cfRule type="expression" dxfId="241" priority="81">
      <formula>AND($C17-TODAY()&lt;30,TODAY()&lt;$C17)</formula>
    </cfRule>
  </conditionalFormatting>
  <conditionalFormatting sqref="C17">
    <cfRule type="cellIs" dxfId="240" priority="82" stopIfTrue="1" operator="lessThan">
      <formula>$B$2</formula>
    </cfRule>
  </conditionalFormatting>
  <conditionalFormatting sqref="C19">
    <cfRule type="expression" dxfId="239" priority="79">
      <formula>AND($C19-TODAY()&lt;30,TODAY()&lt;$C19)</formula>
    </cfRule>
  </conditionalFormatting>
  <conditionalFormatting sqref="C19">
    <cfRule type="cellIs" dxfId="238" priority="80" stopIfTrue="1" operator="lessThan">
      <formula>$B$2</formula>
    </cfRule>
  </conditionalFormatting>
  <conditionalFormatting sqref="C21">
    <cfRule type="expression" dxfId="237" priority="77">
      <formula>AND($C21-TODAY()&lt;30,TODAY()&lt;$C21)</formula>
    </cfRule>
  </conditionalFormatting>
  <conditionalFormatting sqref="C21">
    <cfRule type="cellIs" dxfId="236" priority="78" stopIfTrue="1" operator="lessThan">
      <formula>$B$2</formula>
    </cfRule>
  </conditionalFormatting>
  <conditionalFormatting sqref="F18">
    <cfRule type="cellIs" dxfId="235" priority="72" stopIfTrue="1" operator="lessThan">
      <formula>$B$2</formula>
    </cfRule>
  </conditionalFormatting>
  <conditionalFormatting sqref="F22">
    <cfRule type="cellIs" dxfId="234" priority="71" stopIfTrue="1" operator="lessThan">
      <formula>$B$2</formula>
    </cfRule>
  </conditionalFormatting>
  <conditionalFormatting sqref="F21">
    <cfRule type="cellIs" dxfId="233" priority="70" stopIfTrue="1" operator="lessThan">
      <formula>$B$2</formula>
    </cfRule>
  </conditionalFormatting>
  <conditionalFormatting sqref="B4:B11 E4:E11 B17 E18:E23 B13 E13 B19:B23">
    <cfRule type="cellIs" dxfId="232" priority="68" stopIfTrue="1" operator="equal">
      <formula>"已过期"</formula>
    </cfRule>
  </conditionalFormatting>
  <conditionalFormatting sqref="A24:F24">
    <cfRule type="cellIs" dxfId="231" priority="64" stopIfTrue="1" operator="equal">
      <formula>"已过期"</formula>
    </cfRule>
  </conditionalFormatting>
  <conditionalFormatting sqref="F28">
    <cfRule type="expression" dxfId="230" priority="62">
      <formula>AND($E28-TODAY()&lt;30,TODAY()&lt;$E28)</formula>
    </cfRule>
  </conditionalFormatting>
  <conditionalFormatting sqref="F28">
    <cfRule type="cellIs" dxfId="229" priority="63" stopIfTrue="1" operator="lessThan">
      <formula>$B$2</formula>
    </cfRule>
  </conditionalFormatting>
  <conditionalFormatting sqref="F29">
    <cfRule type="expression" dxfId="228" priority="58" stopIfTrue="1">
      <formula>AND($E29-TODAY()&lt;30,TODAY()&lt;$E29)</formula>
    </cfRule>
  </conditionalFormatting>
  <conditionalFormatting sqref="F29">
    <cfRule type="cellIs" dxfId="227" priority="59" stopIfTrue="1" operator="lessThan">
      <formula>$B$2</formula>
    </cfRule>
  </conditionalFormatting>
  <conditionalFormatting sqref="F13">
    <cfRule type="cellIs" dxfId="226" priority="51" stopIfTrue="1" operator="lessThan">
      <formula>$B$2</formula>
    </cfRule>
  </conditionalFormatting>
  <conditionalFormatting sqref="C12">
    <cfRule type="expression" dxfId="225" priority="49">
      <formula>AND($C12-TODAY()&lt;30,TODAY()&lt;$C12)</formula>
    </cfRule>
  </conditionalFormatting>
  <conditionalFormatting sqref="C12">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B12">
    <cfRule type="cellIs" dxfId="221" priority="46" stopIfTrue="1" operator="equal">
      <formula>"已过期"</formula>
    </cfRule>
  </conditionalFormatting>
  <conditionalFormatting sqref="E12">
    <cfRule type="cellIs" dxfId="220" priority="45" stopIfTrue="1" operator="equal">
      <formula>"已过期"</formula>
    </cfRule>
  </conditionalFormatting>
  <conditionalFormatting sqref="F12">
    <cfRule type="cellIs" dxfId="219" priority="44" stopIfTrue="1" operator="lessThan">
      <formula>$B$2</formula>
    </cfRule>
  </conditionalFormatting>
  <conditionalFormatting sqref="C22">
    <cfRule type="expression" dxfId="218" priority="42">
      <formula>AND($C22-TODAY()&lt;30,TODAY()&lt;$C22)</formula>
    </cfRule>
  </conditionalFormatting>
  <conditionalFormatting sqref="C22">
    <cfRule type="cellIs" dxfId="217" priority="43" stopIfTrue="1" operator="lessThan">
      <formula>$B$2</formula>
    </cfRule>
  </conditionalFormatting>
  <conditionalFormatting sqref="C22">
    <cfRule type="expression" dxfId="216" priority="40">
      <formula>AND($C22-TODAY()&lt;30,TODAY()&lt;$C22)</formula>
    </cfRule>
  </conditionalFormatting>
  <conditionalFormatting sqref="C22">
    <cfRule type="cellIs" dxfId="215" priority="41" stopIfTrue="1" operator="lessThan">
      <formula>$B$2</formula>
    </cfRule>
  </conditionalFormatting>
  <conditionalFormatting sqref="C16">
    <cfRule type="expression" dxfId="214" priority="38">
      <formula>AND($C16-TODAY()&lt;30,TODAY()&lt;$C16)</formula>
    </cfRule>
  </conditionalFormatting>
  <conditionalFormatting sqref="C16">
    <cfRule type="cellIs" dxfId="213" priority="39" stopIfTrue="1" operator="lessThan">
      <formula>$B$2</formula>
    </cfRule>
  </conditionalFormatting>
  <conditionalFormatting sqref="C16">
    <cfRule type="expression" dxfId="212" priority="36">
      <formula>AND($C16-TODAY()&lt;30,TODAY()&lt;$C16)</formula>
    </cfRule>
  </conditionalFormatting>
  <conditionalFormatting sqref="C16">
    <cfRule type="cellIs" dxfId="211" priority="37" stopIfTrue="1" operator="lessThan">
      <formula>$B$2</formula>
    </cfRule>
  </conditionalFormatting>
  <conditionalFormatting sqref="B16">
    <cfRule type="cellIs" dxfId="210" priority="35" stopIfTrue="1" operator="equal">
      <formula>"已过期"</formula>
    </cfRule>
  </conditionalFormatting>
  <conditionalFormatting sqref="C14:C15">
    <cfRule type="expression" dxfId="209" priority="33">
      <formula>AND($C14-TODAY()&lt;30,TODAY()&lt;$C14)</formula>
    </cfRule>
  </conditionalFormatting>
  <conditionalFormatting sqref="C14:C15">
    <cfRule type="cellIs" dxfId="208" priority="34" stopIfTrue="1" operator="lessThan">
      <formula>$B$2</formula>
    </cfRule>
  </conditionalFormatting>
  <conditionalFormatting sqref="C14">
    <cfRule type="expression" dxfId="207" priority="31">
      <formula>AND($C14-TODAY()&lt;30,TODAY()&lt;$C14)</formula>
    </cfRule>
  </conditionalFormatting>
  <conditionalFormatting sqref="C14">
    <cfRule type="cellIs" dxfId="206" priority="32" stopIfTrue="1" operator="lessThan">
      <formula>$B$2</formula>
    </cfRule>
  </conditionalFormatting>
  <conditionalFormatting sqref="C15">
    <cfRule type="expression" dxfId="205" priority="29">
      <formula>AND($C15-TODAY()&lt;30,TODAY()&lt;$C15)</formula>
    </cfRule>
  </conditionalFormatting>
  <conditionalFormatting sqref="C15">
    <cfRule type="cellIs" dxfId="204" priority="30" stopIfTrue="1" operator="lessThan">
      <formula>$B$2</formula>
    </cfRule>
  </conditionalFormatting>
  <conditionalFormatting sqref="B14">
    <cfRule type="cellIs" dxfId="203" priority="28" stopIfTrue="1" operator="equal">
      <formula>"已过期"</formula>
    </cfRule>
  </conditionalFormatting>
  <conditionalFormatting sqref="B15">
    <cfRule type="cellIs" dxfId="202" priority="27" stopIfTrue="1" operator="equal">
      <formula>"已过期"</formula>
    </cfRule>
  </conditionalFormatting>
  <conditionalFormatting sqref="A15">
    <cfRule type="cellIs" dxfId="201" priority="26" stopIfTrue="1" operator="equal">
      <formula>"已过期"</formula>
    </cfRule>
  </conditionalFormatting>
  <conditionalFormatting sqref="C15">
    <cfRule type="expression" dxfId="200" priority="25">
      <formula>AND($C15-TODAY()&lt;30,TODAY()&lt;$C15)</formula>
    </cfRule>
  </conditionalFormatting>
  <conditionalFormatting sqref="F16">
    <cfRule type="cellIs" dxfId="199" priority="24" stopIfTrue="1" operator="lessThan">
      <formula>$B$2</formula>
    </cfRule>
  </conditionalFormatting>
  <conditionalFormatting sqref="E16 E14">
    <cfRule type="cellIs" dxfId="198" priority="23" stopIfTrue="1" operator="equal">
      <formula>"已过期"</formula>
    </cfRule>
  </conditionalFormatting>
  <conditionalFormatting sqref="E15">
    <cfRule type="cellIs" dxfId="197" priority="22" stopIfTrue="1" operator="equal">
      <formula>"已过期"</formula>
    </cfRule>
  </conditionalFormatting>
  <conditionalFormatting sqref="D15">
    <cfRule type="cellIs" dxfId="196" priority="21" stopIfTrue="1" operator="equal">
      <formula>"已过期"</formula>
    </cfRule>
  </conditionalFormatting>
  <conditionalFormatting sqref="F17">
    <cfRule type="cellIs" dxfId="195" priority="20" stopIfTrue="1" operator="lessThan">
      <formula>$B$2</formula>
    </cfRule>
  </conditionalFormatting>
  <conditionalFormatting sqref="E17">
    <cfRule type="cellIs" dxfId="194" priority="19" stopIfTrue="1" operator="equal">
      <formula>"已过期"</formula>
    </cfRule>
  </conditionalFormatting>
  <conditionalFormatting sqref="F14">
    <cfRule type="cellIs" dxfId="193" priority="18" stopIfTrue="1" operator="lessThan">
      <formula>$B$2</formula>
    </cfRule>
  </conditionalFormatting>
  <conditionalFormatting sqref="C18">
    <cfRule type="expression" dxfId="192" priority="16">
      <formula>AND($C18-TODAY()&lt;30,TODAY()&lt;$C18)</formula>
    </cfRule>
  </conditionalFormatting>
  <conditionalFormatting sqref="C18">
    <cfRule type="cellIs" dxfId="191" priority="17" stopIfTrue="1" operator="lessThan">
      <formula>$B$2</formula>
    </cfRule>
  </conditionalFormatting>
  <conditionalFormatting sqref="C18">
    <cfRule type="expression" dxfId="190" priority="14">
      <formula>AND($C18-TODAY()&lt;30,TODAY()&lt;$C18)</formula>
    </cfRule>
  </conditionalFormatting>
  <conditionalFormatting sqref="C18">
    <cfRule type="cellIs" dxfId="189" priority="15" stopIfTrue="1" operator="lessThan">
      <formula>$B$2</formula>
    </cfRule>
  </conditionalFormatting>
  <conditionalFormatting sqref="B18">
    <cfRule type="cellIs" dxfId="188" priority="13" stopIfTrue="1" operator="equal">
      <formula>"已过期"</formula>
    </cfRule>
  </conditionalFormatting>
  <conditionalFormatting sqref="C28">
    <cfRule type="expression" dxfId="187" priority="11">
      <formula>AND($C28-TODAY()&lt;30,TODAY()&lt;$C28)</formula>
    </cfRule>
  </conditionalFormatting>
  <conditionalFormatting sqref="C28">
    <cfRule type="cellIs" dxfId="186" priority="12" stopIfTrue="1" operator="lessThan">
      <formula>$B$2</formula>
    </cfRule>
  </conditionalFormatting>
  <conditionalFormatting sqref="C4">
    <cfRule type="expression" dxfId="185" priority="9">
      <formula>AND($C4-TODAY()&lt;30,TODAY()&lt;$C4)</formula>
    </cfRule>
  </conditionalFormatting>
  <conditionalFormatting sqref="C4">
    <cfRule type="cellIs" dxfId="184" priority="10" stopIfTrue="1" operator="lessThan">
      <formula>$B$2</formula>
    </cfRule>
  </conditionalFormatting>
  <conditionalFormatting sqref="C8">
    <cfRule type="expression" dxfId="183" priority="7">
      <formula>AND($C8-TODAY()&lt;30,TODAY()&lt;$C8)</formula>
    </cfRule>
  </conditionalFormatting>
  <conditionalFormatting sqref="C8">
    <cfRule type="cellIs" dxfId="182" priority="8" stopIfTrue="1" operator="lessThan">
      <formula>$B$2</formula>
    </cfRule>
  </conditionalFormatting>
  <conditionalFormatting sqref="C9">
    <cfRule type="expression" dxfId="181" priority="5">
      <formula>AND($C9-TODAY()&lt;30,TODAY()&lt;$C9)</formula>
    </cfRule>
  </conditionalFormatting>
  <conditionalFormatting sqref="C9">
    <cfRule type="cellIs" dxfId="180" priority="6" stopIfTrue="1" operator="lessThan">
      <formula>$B$2</formula>
    </cfRule>
  </conditionalFormatting>
  <conditionalFormatting sqref="C23">
    <cfRule type="expression" dxfId="179" priority="3">
      <formula>AND($C23-TODAY()&lt;30,TODAY()&lt;$C23)</formula>
    </cfRule>
  </conditionalFormatting>
  <conditionalFormatting sqref="C23">
    <cfRule type="cellIs" dxfId="178" priority="4" stopIfTrue="1" operator="lessThan">
      <formula>$B$2</formula>
    </cfRule>
  </conditionalFormatting>
  <conditionalFormatting sqref="C23">
    <cfRule type="expression" dxfId="177" priority="1">
      <formula>AND($C23-TODAY()&lt;30,TODAY()&lt;$C23)</formula>
    </cfRule>
  </conditionalFormatting>
  <conditionalFormatting sqref="C23">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结果表-净值1</vt:lpstr>
      <vt:lpstr>结果表-净值2</vt:lpstr>
      <vt:lpstr>结果表-净值3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2020-07-09T06:32:56Z</dcterms:modified>
</cp:coreProperties>
</file>