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19320" windowHeight="15000" tabRatio="787" firstSheet="5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土地等级" sheetId="70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B4" i="59" l="1"/>
  <c r="Q6" i="67" l="1"/>
  <c r="P6" i="67"/>
  <c r="O6" i="67"/>
  <c r="N6" i="67"/>
  <c r="Q7" i="67"/>
  <c r="P7" i="67"/>
  <c r="O7" i="67"/>
  <c r="N7" i="67"/>
  <c r="Q8" i="67"/>
  <c r="P8" i="67"/>
  <c r="O8" i="67"/>
  <c r="N8" i="67"/>
  <c r="Q9" i="67"/>
  <c r="P9" i="67"/>
  <c r="O9" i="67"/>
  <c r="N9" i="67"/>
  <c r="Q10" i="67"/>
  <c r="P10" i="67"/>
  <c r="O10" i="67"/>
  <c r="N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F17" i="67" s="1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E14" i="68"/>
  <c r="N20" i="67"/>
  <c r="O20" i="67"/>
  <c r="P20" i="67"/>
  <c r="Q20" i="67"/>
  <c r="N21" i="67"/>
  <c r="B21" i="67" s="1"/>
  <c r="O21" i="67"/>
  <c r="P21" i="67"/>
  <c r="E21" i="67" s="1"/>
  <c r="Q21" i="67"/>
  <c r="F21" i="67"/>
  <c r="C21" i="67"/>
  <c r="T21" i="67" s="1"/>
  <c r="B17" i="67"/>
  <c r="F16" i="67"/>
  <c r="F15" i="67" s="1"/>
  <c r="F14" i="67" s="1"/>
  <c r="F13" i="67" s="1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F80" i="67" s="1"/>
  <c r="E81" i="67"/>
  <c r="C81" i="67"/>
  <c r="B81" i="67"/>
  <c r="B80" i="67" s="1"/>
  <c r="E80" i="67"/>
  <c r="E79" i="67" s="1"/>
  <c r="F79" i="67"/>
  <c r="B79" i="67"/>
  <c r="F77" i="67"/>
  <c r="E77" i="67"/>
  <c r="E76" i="67" s="1"/>
  <c r="E75" i="67" s="1"/>
  <c r="C77" i="67"/>
  <c r="D77" i="67"/>
  <c r="B77" i="67"/>
  <c r="F76" i="67"/>
  <c r="F75" i="67" s="1"/>
  <c r="C76" i="67"/>
  <c r="B76" i="67"/>
  <c r="B75" i="67" s="1"/>
  <c r="Q73" i="67"/>
  <c r="P73" i="67"/>
  <c r="O73" i="67"/>
  <c r="N73" i="67"/>
  <c r="F73" i="67"/>
  <c r="V73" i="67" s="1"/>
  <c r="E73" i="67"/>
  <c r="C73" i="67"/>
  <c r="T73" i="67" s="1"/>
  <c r="B73" i="67"/>
  <c r="S73" i="67" s="1"/>
  <c r="Q72" i="67"/>
  <c r="P72" i="67"/>
  <c r="O72" i="67"/>
  <c r="N72" i="67"/>
  <c r="F72" i="67"/>
  <c r="F71" i="67" s="1"/>
  <c r="C72" i="67"/>
  <c r="Q71" i="67"/>
  <c r="P71" i="67"/>
  <c r="O71" i="67"/>
  <c r="N71" i="67"/>
  <c r="Q70" i="67"/>
  <c r="P70" i="67"/>
  <c r="O70" i="67"/>
  <c r="N70" i="67"/>
  <c r="Q69" i="67"/>
  <c r="P69" i="67"/>
  <c r="O69" i="67"/>
  <c r="N69" i="67"/>
  <c r="F69" i="67"/>
  <c r="V69" i="67" s="1"/>
  <c r="E69" i="67"/>
  <c r="C69" i="67"/>
  <c r="T69" i="67" s="1"/>
  <c r="B69" i="67"/>
  <c r="S69" i="67" s="1"/>
  <c r="Q68" i="67"/>
  <c r="P68" i="67"/>
  <c r="O68" i="67"/>
  <c r="N68" i="67"/>
  <c r="F68" i="67"/>
  <c r="F67" i="67" s="1"/>
  <c r="B68" i="67"/>
  <c r="B67" i="67" s="1"/>
  <c r="Q67" i="67"/>
  <c r="P67" i="67"/>
  <c r="O67" i="67"/>
  <c r="N67" i="67"/>
  <c r="Q66" i="67"/>
  <c r="P66" i="67"/>
  <c r="O66" i="67"/>
  <c r="N66" i="67"/>
  <c r="Q65" i="67"/>
  <c r="P65" i="67"/>
  <c r="O65" i="67"/>
  <c r="N65" i="67"/>
  <c r="F65" i="67"/>
  <c r="V65" i="67" s="1"/>
  <c r="E65" i="67"/>
  <c r="C65" i="67"/>
  <c r="T65" i="67" s="1"/>
  <c r="B65" i="67"/>
  <c r="S65" i="67" s="1"/>
  <c r="Q64" i="67"/>
  <c r="P64" i="67"/>
  <c r="O64" i="67"/>
  <c r="N64" i="67"/>
  <c r="F64" i="67"/>
  <c r="F63" i="67" s="1"/>
  <c r="C64" i="67"/>
  <c r="Q63" i="67"/>
  <c r="P63" i="67"/>
  <c r="O63" i="67"/>
  <c r="N63" i="67"/>
  <c r="Q62" i="67"/>
  <c r="P62" i="67"/>
  <c r="O62" i="67"/>
  <c r="N62" i="67"/>
  <c r="F61" i="67"/>
  <c r="V61" i="67" s="1"/>
  <c r="E61" i="67"/>
  <c r="U61" i="67" s="1"/>
  <c r="C61" i="67"/>
  <c r="T61" i="67" s="1"/>
  <c r="B61" i="67"/>
  <c r="S61" i="67" s="1"/>
  <c r="F60" i="67"/>
  <c r="Q60" i="67" s="1"/>
  <c r="E60" i="67"/>
  <c r="P60" i="67" s="1"/>
  <c r="C60" i="67"/>
  <c r="O60" i="67" s="1"/>
  <c r="B60" i="67"/>
  <c r="N60" i="67" s="1"/>
  <c r="F59" i="67"/>
  <c r="Q59" i="67" s="1"/>
  <c r="E59" i="67"/>
  <c r="C59" i="67"/>
  <c r="O59" i="67" s="1"/>
  <c r="B59" i="67"/>
  <c r="Q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 s="1"/>
  <c r="F56" i="67" s="1"/>
  <c r="F57" i="67" s="1"/>
  <c r="V57" i="67" s="1"/>
  <c r="P54" i="67"/>
  <c r="E55" i="67"/>
  <c r="E56" i="67" s="1"/>
  <c r="E57" i="67" s="1"/>
  <c r="U57" i="67" s="1"/>
  <c r="O54" i="67"/>
  <c r="C55" i="67" s="1"/>
  <c r="C56" i="67" s="1"/>
  <c r="N54" i="67"/>
  <c r="B55" i="67" s="1"/>
  <c r="B56" i="67" s="1"/>
  <c r="B57" i="67" s="1"/>
  <c r="S57" i="67" s="1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 s="1"/>
  <c r="F53" i="67" s="1"/>
  <c r="V53" i="67" s="1"/>
  <c r="P50" i="67"/>
  <c r="E51" i="67" s="1"/>
  <c r="E52" i="67" s="1"/>
  <c r="E53" i="67" s="1"/>
  <c r="U53" i="67" s="1"/>
  <c r="O50" i="67"/>
  <c r="C51" i="67"/>
  <c r="C52" i="67" s="1"/>
  <c r="N50" i="67"/>
  <c r="B51" i="67" s="1"/>
  <c r="B52" i="67" s="1"/>
  <c r="B53" i="67" s="1"/>
  <c r="S53" i="67" s="1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 s="1"/>
  <c r="F49" i="67" s="1"/>
  <c r="V49" i="67" s="1"/>
  <c r="P46" i="67"/>
  <c r="E47" i="67" s="1"/>
  <c r="E48" i="67" s="1"/>
  <c r="E49" i="67" s="1"/>
  <c r="U49" i="67" s="1"/>
  <c r="O46" i="67"/>
  <c r="C47" i="67"/>
  <c r="C48" i="67" s="1"/>
  <c r="N46" i="67"/>
  <c r="B47" i="67" s="1"/>
  <c r="B48" i="67" s="1"/>
  <c r="B49" i="67" s="1"/>
  <c r="S49" i="67" s="1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 s="1"/>
  <c r="F45" i="67" s="1"/>
  <c r="V45" i="67" s="1"/>
  <c r="P42" i="67"/>
  <c r="E43" i="67" s="1"/>
  <c r="E44" i="67" s="1"/>
  <c r="E45" i="67" s="1"/>
  <c r="U45" i="67" s="1"/>
  <c r="O42" i="67"/>
  <c r="C43" i="67"/>
  <c r="C44" i="67" s="1"/>
  <c r="N42" i="67"/>
  <c r="B43" i="67" s="1"/>
  <c r="B44" i="67" s="1"/>
  <c r="B45" i="67" s="1"/>
  <c r="S45" i="67" s="1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 s="1"/>
  <c r="F40" i="67" s="1"/>
  <c r="F41" i="67" s="1"/>
  <c r="V41" i="67" s="1"/>
  <c r="P38" i="67"/>
  <c r="E39" i="67"/>
  <c r="E40" i="67" s="1"/>
  <c r="E41" i="67" s="1"/>
  <c r="U41" i="67" s="1"/>
  <c r="O38" i="67"/>
  <c r="C39" i="67" s="1"/>
  <c r="N38" i="67"/>
  <c r="B39" i="67" s="1"/>
  <c r="B40" i="67" s="1"/>
  <c r="B41" i="67" s="1"/>
  <c r="S41" i="67" s="1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 s="1"/>
  <c r="F37" i="67" s="1"/>
  <c r="V37" i="67" s="1"/>
  <c r="P34" i="67"/>
  <c r="E35" i="67" s="1"/>
  <c r="E36" i="67" s="1"/>
  <c r="E37" i="67" s="1"/>
  <c r="U37" i="67" s="1"/>
  <c r="O34" i="67"/>
  <c r="C35" i="67"/>
  <c r="C36" i="67" s="1"/>
  <c r="N34" i="67"/>
  <c r="B35" i="67" s="1"/>
  <c r="B36" i="67" s="1"/>
  <c r="B37" i="67" s="1"/>
  <c r="S37" i="67" s="1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 s="1"/>
  <c r="F33" i="67" s="1"/>
  <c r="V33" i="67" s="1"/>
  <c r="P30" i="67"/>
  <c r="E31" i="67" s="1"/>
  <c r="E32" i="67" s="1"/>
  <c r="E33" i="67" s="1"/>
  <c r="U33" i="67" s="1"/>
  <c r="O30" i="67"/>
  <c r="C31" i="67"/>
  <c r="C32" i="67" s="1"/>
  <c r="N30" i="67"/>
  <c r="B31" i="67" s="1"/>
  <c r="B32" i="67" s="1"/>
  <c r="B33" i="67" s="1"/>
  <c r="S33" i="67" s="1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 s="1"/>
  <c r="F29" i="67" s="1"/>
  <c r="V29" i="67" s="1"/>
  <c r="P26" i="67"/>
  <c r="E27" i="67" s="1"/>
  <c r="E28" i="67" s="1"/>
  <c r="E29" i="67" s="1"/>
  <c r="U29" i="67" s="1"/>
  <c r="O26" i="67"/>
  <c r="C27" i="67"/>
  <c r="C28" i="67" s="1"/>
  <c r="N26" i="67"/>
  <c r="B27" i="67" s="1"/>
  <c r="B28" i="67" s="1"/>
  <c r="B29" i="67" s="1"/>
  <c r="S29" i="67" s="1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 s="1"/>
  <c r="F25" i="67" s="1"/>
  <c r="V25" i="67" s="1"/>
  <c r="P22" i="67"/>
  <c r="E23" i="67" s="1"/>
  <c r="E24" i="67" s="1"/>
  <c r="E25" i="67" s="1"/>
  <c r="U25" i="67" s="1"/>
  <c r="O22" i="67"/>
  <c r="C23" i="67"/>
  <c r="C24" i="67" s="1"/>
  <c r="N22" i="67"/>
  <c r="B23" i="67" s="1"/>
  <c r="B24" i="67" s="1"/>
  <c r="B25" i="67" s="1"/>
  <c r="S25" i="67" s="1"/>
  <c r="D17" i="67"/>
  <c r="C16" i="67"/>
  <c r="C15" i="67" s="1"/>
  <c r="D23" i="67"/>
  <c r="D27" i="67"/>
  <c r="D31" i="67"/>
  <c r="D35" i="67"/>
  <c r="D61" i="67"/>
  <c r="D65" i="67"/>
  <c r="D69" i="67"/>
  <c r="D73" i="67"/>
  <c r="D60" i="67"/>
  <c r="N61" i="67"/>
  <c r="P61" i="67"/>
  <c r="Q61" i="67"/>
  <c r="Y63" i="66"/>
  <c r="Y62" i="66" s="1"/>
  <c r="A70" i="66"/>
  <c r="D16" i="67"/>
  <c r="H6" i="59"/>
  <c r="O1" i="66"/>
  <c r="J1" i="66"/>
  <c r="G2" i="66"/>
  <c r="N20" i="43" s="1"/>
  <c r="B9" i="66"/>
  <c r="C9" i="66"/>
  <c r="E9" i="66"/>
  <c r="F9" i="66"/>
  <c r="K9" i="66" s="1"/>
  <c r="B10" i="66"/>
  <c r="C10" i="66"/>
  <c r="E10" i="66"/>
  <c r="F10" i="66"/>
  <c r="K10" i="66" s="1"/>
  <c r="B11" i="66"/>
  <c r="C11" i="66"/>
  <c r="D11" i="66" s="1"/>
  <c r="E11" i="66"/>
  <c r="F11" i="66"/>
  <c r="K11" i="66" s="1"/>
  <c r="B12" i="66"/>
  <c r="C12" i="66"/>
  <c r="E12" i="66"/>
  <c r="F12" i="66"/>
  <c r="K12" i="66" s="1"/>
  <c r="B13" i="66"/>
  <c r="C13" i="66"/>
  <c r="D13" i="66" s="1"/>
  <c r="E13" i="66"/>
  <c r="F13" i="66"/>
  <c r="K13" i="66" s="1"/>
  <c r="B14" i="66"/>
  <c r="C14" i="66"/>
  <c r="E14" i="66"/>
  <c r="F14" i="66"/>
  <c r="K14" i="66" s="1"/>
  <c r="B15" i="66"/>
  <c r="C15" i="66"/>
  <c r="D15" i="66" s="1"/>
  <c r="E15" i="66"/>
  <c r="F15" i="66"/>
  <c r="K15" i="66" s="1"/>
  <c r="B16" i="66"/>
  <c r="C16" i="66"/>
  <c r="E16" i="66"/>
  <c r="F16" i="66"/>
  <c r="K16" i="66" s="1"/>
  <c r="B17" i="66"/>
  <c r="C17" i="66"/>
  <c r="E17" i="66"/>
  <c r="F17" i="66"/>
  <c r="K17" i="66" s="1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D28" i="66" s="1"/>
  <c r="E28" i="66"/>
  <c r="F28" i="66"/>
  <c r="B29" i="66"/>
  <c r="C29" i="66"/>
  <c r="E29" i="66"/>
  <c r="F29" i="66"/>
  <c r="B30" i="66"/>
  <c r="C30" i="66"/>
  <c r="D30" i="66" s="1"/>
  <c r="E30" i="66"/>
  <c r="F30" i="66"/>
  <c r="B31" i="66"/>
  <c r="C31" i="66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E35" i="66"/>
  <c r="F35" i="66"/>
  <c r="B36" i="66"/>
  <c r="C36" i="66"/>
  <c r="D36" i="66" s="1"/>
  <c r="E36" i="66"/>
  <c r="F36" i="66"/>
  <c r="B37" i="66"/>
  <c r="C37" i="66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E41" i="66"/>
  <c r="F41" i="66"/>
  <c r="B42" i="66"/>
  <c r="C42" i="66"/>
  <c r="D42" i="66" s="1"/>
  <c r="E42" i="66"/>
  <c r="F42" i="66"/>
  <c r="B43" i="66"/>
  <c r="C43" i="66"/>
  <c r="E43" i="66"/>
  <c r="F43" i="66"/>
  <c r="B44" i="66"/>
  <c r="C44" i="66"/>
  <c r="D44" i="66" s="1"/>
  <c r="E44" i="66"/>
  <c r="F44" i="66"/>
  <c r="B45" i="66"/>
  <c r="C45" i="66"/>
  <c r="E45" i="66"/>
  <c r="F45" i="66"/>
  <c r="B46" i="66"/>
  <c r="C46" i="66"/>
  <c r="D46" i="66" s="1"/>
  <c r="E46" i="66"/>
  <c r="F46" i="66"/>
  <c r="B47" i="66"/>
  <c r="C47" i="66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E51" i="66"/>
  <c r="F51" i="66"/>
  <c r="B52" i="66"/>
  <c r="C52" i="66"/>
  <c r="D52" i="66" s="1"/>
  <c r="E52" i="66"/>
  <c r="F52" i="66"/>
  <c r="B53" i="66"/>
  <c r="C53" i="66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K4" i="66" s="1"/>
  <c r="E8" i="66"/>
  <c r="C8" i="66"/>
  <c r="D8" i="66" s="1"/>
  <c r="B8" i="66"/>
  <c r="Z67" i="66"/>
  <c r="U67" i="66" s="1"/>
  <c r="C67" i="66" s="1"/>
  <c r="D67" i="66" s="1"/>
  <c r="AA67" i="66"/>
  <c r="AA66" i="66" s="1"/>
  <c r="AB67" i="66"/>
  <c r="W67" i="66"/>
  <c r="F67" i="66" s="1"/>
  <c r="Y67" i="66"/>
  <c r="Y66" i="66" s="1"/>
  <c r="AB63" i="66"/>
  <c r="W63" i="66"/>
  <c r="F63" i="66" s="1"/>
  <c r="AA63" i="66"/>
  <c r="AA62" i="66" s="1"/>
  <c r="Z63" i="66"/>
  <c r="U63" i="66" s="1"/>
  <c r="C63" i="66" s="1"/>
  <c r="D63" i="66" s="1"/>
  <c r="Y61" i="66"/>
  <c r="D26" i="66"/>
  <c r="D24" i="66"/>
  <c r="D22" i="66"/>
  <c r="D20" i="66"/>
  <c r="D18" i="66"/>
  <c r="D16" i="66"/>
  <c r="D14" i="66"/>
  <c r="D12" i="66"/>
  <c r="D10" i="66"/>
  <c r="D9" i="66"/>
  <c r="H4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D56" i="66"/>
  <c r="D53" i="66"/>
  <c r="D51" i="66"/>
  <c r="D49" i="66"/>
  <c r="D47" i="66"/>
  <c r="D45" i="66"/>
  <c r="D43" i="66"/>
  <c r="D41" i="66"/>
  <c r="D39" i="66"/>
  <c r="D37" i="66"/>
  <c r="D35" i="66"/>
  <c r="D33" i="66"/>
  <c r="D31" i="66"/>
  <c r="D29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V67" i="66"/>
  <c r="E67" i="66" s="1"/>
  <c r="Z62" i="66"/>
  <c r="U62" i="66" s="1"/>
  <c r="C62" i="66" s="1"/>
  <c r="D62" i="66" s="1"/>
  <c r="T63" i="66"/>
  <c r="B63" i="66"/>
  <c r="AB62" i="66"/>
  <c r="W62" i="66"/>
  <c r="F62" i="66" s="1"/>
  <c r="T67" i="66"/>
  <c r="B67" i="66" s="1"/>
  <c r="T60" i="66"/>
  <c r="B60" i="66" s="1"/>
  <c r="T61" i="66"/>
  <c r="B61" i="66" s="1"/>
  <c r="V63" i="66"/>
  <c r="E63" i="66"/>
  <c r="T62" i="66"/>
  <c r="B62" i="66"/>
  <c r="AB61" i="66"/>
  <c r="W61" i="66" s="1"/>
  <c r="AB66" i="66"/>
  <c r="Z66" i="66"/>
  <c r="G32" i="59"/>
  <c r="G31" i="59"/>
  <c r="G30" i="59"/>
  <c r="O2" i="59"/>
  <c r="P33" i="59"/>
  <c r="Q33" i="59"/>
  <c r="R33" i="59"/>
  <c r="O33" i="59"/>
  <c r="H21" i="59"/>
  <c r="I18" i="66"/>
  <c r="U66" i="66"/>
  <c r="C66" i="66" s="1"/>
  <c r="Z65" i="66"/>
  <c r="F61" i="66"/>
  <c r="W66" i="66"/>
  <c r="F66" i="66" s="1"/>
  <c r="P66" i="66" s="1"/>
  <c r="AB65" i="66"/>
  <c r="W64" i="66"/>
  <c r="F64" i="66" s="1"/>
  <c r="W65" i="66"/>
  <c r="F65" i="66" s="1"/>
  <c r="P65" i="66" s="1"/>
  <c r="C18" i="64"/>
  <c r="P63" i="66"/>
  <c r="P62" i="66"/>
  <c r="P61" i="66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F7" i="39"/>
  <c r="S7" i="39" s="1"/>
  <c r="B7" i="64"/>
  <c r="D14" i="64" s="1"/>
  <c r="B5" i="64"/>
  <c r="C25" i="64"/>
  <c r="B10" i="64"/>
  <c r="B9" i="64"/>
  <c r="D29" i="64" s="1"/>
  <c r="C15" i="64"/>
  <c r="E14" i="64"/>
  <c r="D16" i="64"/>
  <c r="I2" i="65"/>
  <c r="E17" i="64"/>
  <c r="D20" i="64"/>
  <c r="D17" i="64"/>
  <c r="E20" i="64"/>
  <c r="D30" i="64"/>
  <c r="D28" i="64"/>
  <c r="G11" i="9"/>
  <c r="F7" i="9"/>
  <c r="F6" i="9"/>
  <c r="C63" i="39"/>
  <c r="C9" i="39"/>
  <c r="J9" i="39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J20" i="43"/>
  <c r="J71" i="63"/>
  <c r="I71" i="63" s="1"/>
  <c r="D8" i="63"/>
  <c r="D19" i="63"/>
  <c r="L1" i="60"/>
  <c r="K1" i="60"/>
  <c r="M1" i="60" s="1"/>
  <c r="C7" i="63" s="1"/>
  <c r="F47" i="63"/>
  <c r="F45" i="63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 s="1"/>
  <c r="J74" i="63"/>
  <c r="I74" i="63" s="1"/>
  <c r="D74" i="63"/>
  <c r="J72" i="63"/>
  <c r="I72" i="63" s="1"/>
  <c r="F48" i="63"/>
  <c r="F46" i="63"/>
  <c r="G46" i="63" s="1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D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 s="1"/>
  <c r="D73" i="63"/>
  <c r="F71" i="63"/>
  <c r="G71" i="63" s="1"/>
  <c r="D71" i="63"/>
  <c r="J75" i="63"/>
  <c r="I75" i="63" s="1"/>
  <c r="J73" i="63"/>
  <c r="I73" i="63" s="1"/>
  <c r="D53" i="63"/>
  <c r="D51" i="63"/>
  <c r="D52" i="63"/>
  <c r="E51" i="63" s="1"/>
  <c r="B49" i="63" s="1"/>
  <c r="D54" i="63"/>
  <c r="D55" i="63"/>
  <c r="D56" i="63"/>
  <c r="D57" i="63"/>
  <c r="I2" i="43"/>
  <c r="H6" i="44" s="1"/>
  <c r="D1" i="43"/>
  <c r="G2" i="43"/>
  <c r="O17" i="43" s="1"/>
  <c r="G44" i="63"/>
  <c r="D44" i="63"/>
  <c r="D45" i="63"/>
  <c r="D46" i="63"/>
  <c r="D47" i="63"/>
  <c r="D48" i="63"/>
  <c r="G48" i="63"/>
  <c r="D76" i="63"/>
  <c r="G76" i="63"/>
  <c r="G54" i="63"/>
  <c r="G45" i="63"/>
  <c r="G63" i="63"/>
  <c r="G55" i="63"/>
  <c r="G52" i="63"/>
  <c r="G47" i="63"/>
  <c r="O4" i="59"/>
  <c r="F31" i="59"/>
  <c r="G29" i="59"/>
  <c r="F13" i="59"/>
  <c r="F18" i="59"/>
  <c r="F9" i="9" s="1"/>
  <c r="B8" i="59"/>
  <c r="C11" i="39" s="1"/>
  <c r="F16" i="59"/>
  <c r="F8" i="9" s="1"/>
  <c r="F5" i="9" s="1"/>
  <c r="F19" i="59"/>
  <c r="F10" i="9" s="1"/>
  <c r="F32" i="59"/>
  <c r="B86" i="43"/>
  <c r="B75" i="43"/>
  <c r="B66" i="43"/>
  <c r="B55" i="43"/>
  <c r="Q29" i="39"/>
  <c r="Z29" i="39"/>
  <c r="D91" i="39"/>
  <c r="E91" i="39"/>
  <c r="F91" i="39" s="1"/>
  <c r="G91" i="39" s="1"/>
  <c r="H29" i="39"/>
  <c r="AB29" i="39"/>
  <c r="F29" i="39"/>
  <c r="AA29" i="39"/>
  <c r="C29" i="39"/>
  <c r="U29" i="39"/>
  <c r="J29" i="39"/>
  <c r="W29" i="39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/>
  <c r="M74" i="43"/>
  <c r="N74" i="43"/>
  <c r="K74" i="43"/>
  <c r="J74" i="43"/>
  <c r="M73" i="43"/>
  <c r="N73" i="43"/>
  <c r="K73" i="43"/>
  <c r="J73" i="43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/>
  <c r="K63" i="43"/>
  <c r="J63" i="43"/>
  <c r="D63" i="43"/>
  <c r="M62" i="43"/>
  <c r="N62" i="43" s="1"/>
  <c r="K62" i="43"/>
  <c r="J62" i="43" s="1"/>
  <c r="D62" i="43"/>
  <c r="M61" i="43"/>
  <c r="N61" i="43"/>
  <c r="K61" i="43"/>
  <c r="J61" i="43"/>
  <c r="D61" i="43"/>
  <c r="M60" i="43"/>
  <c r="N60" i="43" s="1"/>
  <c r="K60" i="43"/>
  <c r="J60" i="43" s="1"/>
  <c r="D60" i="43"/>
  <c r="M59" i="43"/>
  <c r="N59" i="43"/>
  <c r="K59" i="43"/>
  <c r="J59" i="43"/>
  <c r="D59" i="43"/>
  <c r="M56" i="43"/>
  <c r="N56" i="43" s="1"/>
  <c r="K56" i="43"/>
  <c r="J56" i="43" s="1"/>
  <c r="D56" i="43"/>
  <c r="M55" i="43"/>
  <c r="N55" i="43"/>
  <c r="K55" i="43"/>
  <c r="J55" i="43"/>
  <c r="D55" i="43"/>
  <c r="M54" i="43"/>
  <c r="N54" i="43" s="1"/>
  <c r="K54" i="43"/>
  <c r="J54" i="43" s="1"/>
  <c r="M53" i="43"/>
  <c r="N53" i="43" s="1"/>
  <c r="K53" i="43"/>
  <c r="J53" i="43" s="1"/>
  <c r="D53" i="43"/>
  <c r="M52" i="43"/>
  <c r="N52" i="43"/>
  <c r="K52" i="43"/>
  <c r="J52" i="43"/>
  <c r="D52" i="43"/>
  <c r="M51" i="43"/>
  <c r="N51" i="43" s="1"/>
  <c r="K51" i="43"/>
  <c r="J51" i="43" s="1"/>
  <c r="D51" i="43"/>
  <c r="M50" i="43"/>
  <c r="N50" i="43"/>
  <c r="K50" i="43"/>
  <c r="J50" i="43"/>
  <c r="M49" i="43"/>
  <c r="N49" i="43"/>
  <c r="K49" i="43"/>
  <c r="J49" i="43"/>
  <c r="D49" i="43"/>
  <c r="M48" i="43"/>
  <c r="N48" i="43" s="1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 s="1"/>
  <c r="G69" i="39" s="1"/>
  <c r="H69" i="39" s="1"/>
  <c r="I69" i="39" s="1"/>
  <c r="J69" i="39" s="1"/>
  <c r="K69" i="39" s="1"/>
  <c r="L69" i="39" s="1"/>
  <c r="M69" i="39" s="1"/>
  <c r="J38" i="39"/>
  <c r="W38" i="39"/>
  <c r="H38" i="39"/>
  <c r="AB38" i="39"/>
  <c r="F38" i="39"/>
  <c r="AA38" i="39"/>
  <c r="D112" i="39"/>
  <c r="E112" i="39"/>
  <c r="F112" i="39" s="1"/>
  <c r="G112" i="39" s="1"/>
  <c r="H112" i="39" s="1"/>
  <c r="I112" i="39" s="1"/>
  <c r="J112" i="39" s="1"/>
  <c r="K112" i="39" s="1"/>
  <c r="L112" i="39" s="1"/>
  <c r="M112" i="39" s="1"/>
  <c r="D108" i="39"/>
  <c r="E108" i="39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/>
  <c r="D95" i="39"/>
  <c r="E95" i="39"/>
  <c r="D93" i="39"/>
  <c r="E93" i="39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 s="1"/>
  <c r="B72" i="39"/>
  <c r="F13" i="39" s="1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/>
  <c r="F31" i="39"/>
  <c r="AA31" i="39"/>
  <c r="E89" i="39"/>
  <c r="F89" i="39"/>
  <c r="G89" i="39" s="1"/>
  <c r="H42" i="39"/>
  <c r="AB42" i="39" s="1"/>
  <c r="J34" i="39"/>
  <c r="AC34" i="39" s="1"/>
  <c r="J31" i="39"/>
  <c r="W31" i="39" s="1"/>
  <c r="C25" i="39"/>
  <c r="J14" i="39"/>
  <c r="AC14" i="39"/>
  <c r="H14" i="39"/>
  <c r="AB14" i="39"/>
  <c r="J41" i="39"/>
  <c r="W41" i="39"/>
  <c r="J42" i="39"/>
  <c r="AC42" i="39"/>
  <c r="C12" i="43"/>
  <c r="H37" i="39"/>
  <c r="AB37" i="39" s="1"/>
  <c r="F34" i="43"/>
  <c r="F37" i="43"/>
  <c r="H7" i="44"/>
  <c r="J17" i="43"/>
  <c r="F36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J12" i="39"/>
  <c r="AC12" i="39" s="1"/>
  <c r="F12" i="39"/>
  <c r="S12" i="39" s="1"/>
  <c r="U8" i="39"/>
  <c r="H35" i="39"/>
  <c r="U35" i="39"/>
  <c r="J35" i="39"/>
  <c r="AC35" i="39"/>
  <c r="N6" i="43"/>
  <c r="M3" i="43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J27" i="39"/>
  <c r="AC27" i="39" s="1"/>
  <c r="C24" i="43"/>
  <c r="E8" i="43"/>
  <c r="E10" i="43"/>
  <c r="E11" i="43"/>
  <c r="E9" i="43"/>
  <c r="M101" i="43"/>
  <c r="E101" i="43"/>
  <c r="K101" i="43"/>
  <c r="C101" i="43"/>
  <c r="F27" i="39"/>
  <c r="AA27" i="39" s="1"/>
  <c r="AC38" i="39"/>
  <c r="I101" i="43"/>
  <c r="W14" i="39"/>
  <c r="W36" i="39"/>
  <c r="S8" i="39"/>
  <c r="F44" i="39"/>
  <c r="AA44" i="39" s="1"/>
  <c r="S41" i="39"/>
  <c r="W39" i="39"/>
  <c r="S39" i="39"/>
  <c r="U38" i="39"/>
  <c r="S38" i="39"/>
  <c r="U14" i="39"/>
  <c r="AA36" i="39"/>
  <c r="AB39" i="39"/>
  <c r="J40" i="39"/>
  <c r="W40" i="39"/>
  <c r="W42" i="39"/>
  <c r="H15" i="39"/>
  <c r="U15" i="39" s="1"/>
  <c r="F77" i="39"/>
  <c r="G77" i="39" s="1"/>
  <c r="F15" i="39"/>
  <c r="AA15" i="39" s="1"/>
  <c r="J15" i="39"/>
  <c r="W15" i="39"/>
  <c r="F37" i="39"/>
  <c r="S37" i="39"/>
  <c r="H41" i="39"/>
  <c r="U41" i="39"/>
  <c r="AB40" i="39"/>
  <c r="AC41" i="39"/>
  <c r="AB45" i="39"/>
  <c r="U45" i="39"/>
  <c r="S45" i="39"/>
  <c r="J45" i="39"/>
  <c r="AC45" i="39" s="1"/>
  <c r="H23" i="39"/>
  <c r="U23" i="39" s="1"/>
  <c r="F85" i="39"/>
  <c r="G85" i="39" s="1"/>
  <c r="U37" i="39"/>
  <c r="AA35" i="39"/>
  <c r="S3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 s="1"/>
  <c r="I95" i="39" s="1"/>
  <c r="J95" i="39" s="1"/>
  <c r="K95" i="39" s="1"/>
  <c r="L95" i="39" s="1"/>
  <c r="M95" i="39" s="1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S23" i="39"/>
  <c r="AB19" i="39"/>
  <c r="AC15" i="39"/>
  <c r="AB15" i="39"/>
  <c r="AB12" i="39"/>
  <c r="U10" i="39"/>
  <c r="S10" i="39"/>
  <c r="M6" i="43"/>
  <c r="M5" i="43"/>
  <c r="F48" i="43"/>
  <c r="H56" i="43" s="1"/>
  <c r="H16" i="44"/>
  <c r="W10" i="39"/>
  <c r="AC10" i="39"/>
  <c r="AB35" i="39"/>
  <c r="U31" i="39"/>
  <c r="W27" i="39"/>
  <c r="U42" i="39"/>
  <c r="AC31" i="39"/>
  <c r="W32" i="39"/>
  <c r="E48" i="43"/>
  <c r="B46" i="43" s="1"/>
  <c r="S21" i="39"/>
  <c r="AB21" i="39"/>
  <c r="C7" i="43"/>
  <c r="S44" i="39"/>
  <c r="AC40" i="39"/>
  <c r="AB41" i="39"/>
  <c r="S15" i="39"/>
  <c r="AA37" i="39"/>
  <c r="W45" i="39"/>
  <c r="AB32" i="39"/>
  <c r="B2" i="39"/>
  <c r="J1" i="65"/>
  <c r="C14" i="67"/>
  <c r="D15" i="67"/>
  <c r="F12" i="67"/>
  <c r="F11" i="67" s="1"/>
  <c r="F10" i="67" s="1"/>
  <c r="F9" i="67" s="1"/>
  <c r="V13" i="67"/>
  <c r="U17" i="67"/>
  <c r="E16" i="67"/>
  <c r="E15" i="67" s="1"/>
  <c r="E14" i="67" s="1"/>
  <c r="E13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F70" i="43"/>
  <c r="H72" i="43" s="1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AB9" i="39"/>
  <c r="AA7" i="39"/>
  <c r="R47" i="39" s="1"/>
  <c r="J2" i="65"/>
  <c r="J7" i="39"/>
  <c r="W7" i="39" s="1"/>
  <c r="U9" i="39"/>
  <c r="H50" i="43"/>
  <c r="H49" i="43"/>
  <c r="W9" i="39"/>
  <c r="F17" i="59"/>
  <c r="F12" i="59" s="1"/>
  <c r="H48" i="43"/>
  <c r="O3" i="59"/>
  <c r="F28" i="59" s="1"/>
  <c r="S9" i="39"/>
  <c r="H16" i="63"/>
  <c r="I3" i="63"/>
  <c r="C13" i="67"/>
  <c r="D14" i="67"/>
  <c r="T13" i="67"/>
  <c r="D13" i="67"/>
  <c r="C12" i="67"/>
  <c r="C11" i="67" s="1"/>
  <c r="D12" i="67"/>
  <c r="B3" i="43"/>
  <c r="B4" i="43"/>
  <c r="H71" i="43"/>
  <c r="H59" i="43"/>
  <c r="H83" i="43"/>
  <c r="H52" i="43"/>
  <c r="H74" i="43"/>
  <c r="H51" i="43"/>
  <c r="C6" i="43"/>
  <c r="W12" i="39"/>
  <c r="I17" i="43"/>
  <c r="K17" i="43"/>
  <c r="L17" i="43"/>
  <c r="M17" i="43"/>
  <c r="N17" i="43"/>
  <c r="E17" i="43"/>
  <c r="F35" i="43"/>
  <c r="F39" i="43"/>
  <c r="F38" i="43"/>
  <c r="H114" i="43"/>
  <c r="D17" i="43"/>
  <c r="D27" i="64"/>
  <c r="B11" i="64"/>
  <c r="C21" i="64" s="1"/>
  <c r="G3" i="63"/>
  <c r="B80" i="63" s="1"/>
  <c r="AB44" i="39"/>
  <c r="U44" i="39"/>
  <c r="AC43" i="39"/>
  <c r="W43" i="39"/>
  <c r="F87" i="39"/>
  <c r="G87" i="39" s="1"/>
  <c r="F25" i="39"/>
  <c r="AA25" i="39" s="1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AB27" i="39" s="1"/>
  <c r="S29" i="39"/>
  <c r="K1" i="65"/>
  <c r="S25" i="39"/>
  <c r="AC25" i="39"/>
  <c r="U25" i="39"/>
  <c r="AB25" i="39"/>
  <c r="U27" i="39"/>
  <c r="B17" i="59"/>
  <c r="B18" i="59" s="1"/>
  <c r="C28" i="64"/>
  <c r="C27" i="64" s="1"/>
  <c r="E27" i="64" s="1"/>
  <c r="C30" i="64"/>
  <c r="E28" i="64"/>
  <c r="H6" i="65"/>
  <c r="D6" i="65"/>
  <c r="G7" i="65"/>
  <c r="E6" i="65"/>
  <c r="H5" i="65"/>
  <c r="G4" i="65"/>
  <c r="G8" i="65"/>
  <c r="H7" i="65"/>
  <c r="D5" i="65"/>
  <c r="D8" i="65"/>
  <c r="E8" i="65"/>
  <c r="G6" i="65"/>
  <c r="H4" i="65"/>
  <c r="H8" i="65"/>
  <c r="D7" i="65"/>
  <c r="G5" i="65"/>
  <c r="D4" i="65"/>
  <c r="E7" i="65"/>
  <c r="E4" i="65"/>
  <c r="E12" i="67" l="1"/>
  <c r="E11" i="67" s="1"/>
  <c r="E10" i="67" s="1"/>
  <c r="E9" i="67" s="1"/>
  <c r="U13" i="67"/>
  <c r="C10" i="67"/>
  <c r="D11" i="67"/>
  <c r="F20" i="59"/>
  <c r="F11" i="9" s="1"/>
  <c r="V9" i="67"/>
  <c r="F8" i="67"/>
  <c r="F7" i="67" s="1"/>
  <c r="F6" i="67" s="1"/>
  <c r="S13" i="39"/>
  <c r="AA13" i="39"/>
  <c r="G17" i="43"/>
  <c r="C16" i="43" s="1"/>
  <c r="H77" i="43"/>
  <c r="H70" i="43"/>
  <c r="H81" i="43"/>
  <c r="H73" i="43"/>
  <c r="H86" i="43"/>
  <c r="AB23" i="39"/>
  <c r="S42" i="39"/>
  <c r="AC44" i="39"/>
  <c r="H13" i="39"/>
  <c r="J13" i="39"/>
  <c r="H43" i="39"/>
  <c r="F43" i="39"/>
  <c r="F29" i="59"/>
  <c r="F33" i="59" s="1"/>
  <c r="B17" i="9" s="1"/>
  <c r="A16" i="43"/>
  <c r="H10" i="63"/>
  <c r="C10" i="63" s="1"/>
  <c r="D66" i="66"/>
  <c r="N66" i="66" s="1"/>
  <c r="M66" i="66"/>
  <c r="Y65" i="66"/>
  <c r="T66" i="66"/>
  <c r="B66" i="66" s="1"/>
  <c r="L66" i="66" s="1"/>
  <c r="I4" i="66"/>
  <c r="I6" i="66"/>
  <c r="I13" i="66"/>
  <c r="P64" i="66"/>
  <c r="U64" i="66"/>
  <c r="C64" i="66" s="1"/>
  <c r="U65" i="66"/>
  <c r="C65" i="66" s="1"/>
  <c r="I9" i="66"/>
  <c r="I16" i="66"/>
  <c r="AA61" i="66"/>
  <c r="V62" i="66"/>
  <c r="E62" i="66" s="1"/>
  <c r="AA65" i="66"/>
  <c r="V66" i="66"/>
  <c r="E66" i="66" s="1"/>
  <c r="O66" i="66" s="1"/>
  <c r="W60" i="66"/>
  <c r="F60" i="66" s="1"/>
  <c r="Z61" i="66"/>
  <c r="K5" i="66"/>
  <c r="K6" i="66"/>
  <c r="K7" i="66"/>
  <c r="K8" i="66"/>
  <c r="D17" i="66"/>
  <c r="D19" i="66"/>
  <c r="C25" i="67"/>
  <c r="D24" i="67"/>
  <c r="D28" i="67"/>
  <c r="C29" i="67"/>
  <c r="C33" i="67"/>
  <c r="D32" i="67"/>
  <c r="D36" i="67"/>
  <c r="C37" i="67"/>
  <c r="C40" i="67"/>
  <c r="D40" i="67" s="1"/>
  <c r="D39" i="67"/>
  <c r="C45" i="67"/>
  <c r="D44" i="67"/>
  <c r="D48" i="67"/>
  <c r="C49" i="67"/>
  <c r="C53" i="67"/>
  <c r="D52" i="67"/>
  <c r="D56" i="67"/>
  <c r="C57" i="67"/>
  <c r="P19" i="66"/>
  <c r="P17" i="66"/>
  <c r="U21" i="67"/>
  <c r="E20" i="67"/>
  <c r="E19" i="67" s="1"/>
  <c r="S21" i="67"/>
  <c r="B20" i="67"/>
  <c r="B19" i="67" s="1"/>
  <c r="D64" i="67"/>
  <c r="C63" i="67"/>
  <c r="D63" i="67" s="1"/>
  <c r="U65" i="67"/>
  <c r="E64" i="67"/>
  <c r="E63" i="67" s="1"/>
  <c r="D72" i="67"/>
  <c r="C71" i="67"/>
  <c r="D71" i="67" s="1"/>
  <c r="U73" i="67"/>
  <c r="E72" i="67"/>
  <c r="E71" i="67" s="1"/>
  <c r="D81" i="67"/>
  <c r="C80" i="67"/>
  <c r="B16" i="67"/>
  <c r="B15" i="67" s="1"/>
  <c r="B14" i="67" s="1"/>
  <c r="B13" i="67" s="1"/>
  <c r="S17" i="67"/>
  <c r="V21" i="67"/>
  <c r="F20" i="67"/>
  <c r="F19" i="67" s="1"/>
  <c r="C20" i="67"/>
  <c r="B2" i="68"/>
  <c r="F14" i="68"/>
  <c r="O61" i="67"/>
  <c r="D59" i="67"/>
  <c r="D55" i="67"/>
  <c r="D51" i="67"/>
  <c r="D47" i="67"/>
  <c r="D43" i="67"/>
  <c r="O58" i="67"/>
  <c r="N59" i="67"/>
  <c r="N58" i="67"/>
  <c r="P59" i="67"/>
  <c r="P58" i="67"/>
  <c r="B64" i="67"/>
  <c r="B63" i="67" s="1"/>
  <c r="C68" i="67"/>
  <c r="U69" i="67"/>
  <c r="E68" i="67"/>
  <c r="E67" i="67" s="1"/>
  <c r="B72" i="67"/>
  <c r="B71" i="67" s="1"/>
  <c r="D76" i="67"/>
  <c r="C75" i="67"/>
  <c r="D75" i="67" s="1"/>
  <c r="D21" i="67"/>
  <c r="H64" i="43"/>
  <c r="I20" i="43"/>
  <c r="H65" i="43"/>
  <c r="H66" i="43"/>
  <c r="D63" i="63"/>
  <c r="E60" i="63" s="1"/>
  <c r="B58" i="63" s="1"/>
  <c r="C15" i="63" s="1"/>
  <c r="E70" i="63"/>
  <c r="B68" i="63" s="1"/>
  <c r="E19" i="64"/>
  <c r="E16" i="64"/>
  <c r="D19" i="64"/>
  <c r="H11" i="39"/>
  <c r="J11" i="39"/>
  <c r="W11" i="39" s="1"/>
  <c r="F11" i="39"/>
  <c r="AA11" i="39" s="1"/>
  <c r="C29" i="64"/>
  <c r="E29" i="64" s="1"/>
  <c r="G3" i="43"/>
  <c r="C21" i="43" s="1"/>
  <c r="D56" i="39"/>
  <c r="C58" i="39"/>
  <c r="AC7" i="39"/>
  <c r="V47" i="39" s="1"/>
  <c r="I47" i="39" s="1"/>
  <c r="I51" i="39" s="1"/>
  <c r="J51" i="39" s="1"/>
  <c r="C19" i="43"/>
  <c r="H7" i="39"/>
  <c r="E42" i="63"/>
  <c r="B40" i="63" s="1"/>
  <c r="AC11" i="39"/>
  <c r="H102" i="43"/>
  <c r="H104" i="43" s="1"/>
  <c r="G22" i="43"/>
  <c r="F22" i="43"/>
  <c r="G12" i="63"/>
  <c r="E13" i="63"/>
  <c r="H105" i="43"/>
  <c r="H108" i="43"/>
  <c r="D102" i="43"/>
  <c r="D103" i="43" s="1"/>
  <c r="N102" i="43"/>
  <c r="N105" i="43" s="1"/>
  <c r="B114" i="43"/>
  <c r="E102" i="43"/>
  <c r="D14" i="63"/>
  <c r="G13" i="63"/>
  <c r="E12" i="63"/>
  <c r="F12" i="63" s="1"/>
  <c r="H75" i="43"/>
  <c r="H87" i="43"/>
  <c r="H82" i="43"/>
  <c r="H61" i="43"/>
  <c r="H60" i="43"/>
  <c r="H78" i="43"/>
  <c r="H76" i="43"/>
  <c r="H67" i="43"/>
  <c r="H62" i="43"/>
  <c r="H88" i="43"/>
  <c r="H84" i="43"/>
  <c r="H14" i="44"/>
  <c r="N4" i="43"/>
  <c r="N11" i="43"/>
  <c r="M12" i="43"/>
  <c r="M4" i="43"/>
  <c r="M10" i="43"/>
  <c r="M11" i="43"/>
  <c r="H10" i="44"/>
  <c r="H9" i="44"/>
  <c r="H55" i="43"/>
  <c r="H54" i="43"/>
  <c r="H53" i="43"/>
  <c r="AA12" i="39"/>
  <c r="N106" i="43"/>
  <c r="B83" i="63"/>
  <c r="B84" i="63"/>
  <c r="B81" i="63" s="1"/>
  <c r="B82" i="63"/>
  <c r="B85" i="63"/>
  <c r="C5" i="68"/>
  <c r="C7" i="68"/>
  <c r="C8" i="68"/>
  <c r="C6" i="68"/>
  <c r="H12" i="63"/>
  <c r="H13" i="63"/>
  <c r="F13" i="63"/>
  <c r="D20" i="63"/>
  <c r="E30" i="64"/>
  <c r="R48" i="39"/>
  <c r="E47" i="39"/>
  <c r="I3" i="65"/>
  <c r="K2" i="65"/>
  <c r="K3" i="65"/>
  <c r="K4" i="65"/>
  <c r="I1" i="65"/>
  <c r="G2" i="65"/>
  <c r="E5" i="65"/>
  <c r="G1" i="65"/>
  <c r="E20" i="43"/>
  <c r="G3" i="65"/>
  <c r="D5" i="43" l="1"/>
  <c r="C5" i="43"/>
  <c r="D68" i="67"/>
  <c r="C67" i="67"/>
  <c r="D67" i="67" s="1"/>
  <c r="D8" i="68"/>
  <c r="D6" i="68"/>
  <c r="D5" i="68"/>
  <c r="D7" i="68"/>
  <c r="D80" i="67"/>
  <c r="C79" i="67"/>
  <c r="D79" i="67" s="1"/>
  <c r="T53" i="67"/>
  <c r="D53" i="67"/>
  <c r="T45" i="67"/>
  <c r="D45" i="67"/>
  <c r="T33" i="67"/>
  <c r="D33" i="67"/>
  <c r="T25" i="67"/>
  <c r="D25" i="67"/>
  <c r="U61" i="66"/>
  <c r="C61" i="66" s="1"/>
  <c r="U60" i="66"/>
  <c r="C60" i="66" s="1"/>
  <c r="D65" i="66"/>
  <c r="N65" i="66" s="1"/>
  <c r="M65" i="66"/>
  <c r="T65" i="66"/>
  <c r="B65" i="66" s="1"/>
  <c r="L65" i="66" s="1"/>
  <c r="T64" i="66"/>
  <c r="B64" i="66" s="1"/>
  <c r="AB43" i="39"/>
  <c r="U43" i="39"/>
  <c r="AB13" i="39"/>
  <c r="U13" i="39"/>
  <c r="D104" i="43"/>
  <c r="C19" i="67"/>
  <c r="D19" i="67" s="1"/>
  <c r="D20" i="67"/>
  <c r="B12" i="67"/>
  <c r="B11" i="67" s="1"/>
  <c r="B10" i="67" s="1"/>
  <c r="S13" i="67"/>
  <c r="T57" i="67"/>
  <c r="D57" i="67"/>
  <c r="T49" i="67"/>
  <c r="D49" i="67"/>
  <c r="T37" i="67"/>
  <c r="D37" i="67"/>
  <c r="I9" i="63" s="1"/>
  <c r="C9" i="63" s="1"/>
  <c r="T29" i="67"/>
  <c r="D29" i="67"/>
  <c r="I17" i="66"/>
  <c r="I14" i="66"/>
  <c r="I15" i="66"/>
  <c r="I7" i="66"/>
  <c r="I5" i="66"/>
  <c r="I10" i="66"/>
  <c r="I11" i="66"/>
  <c r="P39" i="66"/>
  <c r="P28" i="66"/>
  <c r="P44" i="66"/>
  <c r="P22" i="66"/>
  <c r="P33" i="66"/>
  <c r="P41" i="66"/>
  <c r="P49" i="66"/>
  <c r="P57" i="66"/>
  <c r="P25" i="66"/>
  <c r="P30" i="66"/>
  <c r="P38" i="66"/>
  <c r="P46" i="66"/>
  <c r="P20" i="66"/>
  <c r="P56" i="66"/>
  <c r="P35" i="66"/>
  <c r="P51" i="66"/>
  <c r="P59" i="66"/>
  <c r="P54" i="66"/>
  <c r="P40" i="66"/>
  <c r="P26" i="66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" i="66" s="1"/>
  <c r="C30" i="63" s="1"/>
  <c r="P27" i="66"/>
  <c r="P43" i="66"/>
  <c r="P55" i="66"/>
  <c r="P23" i="66"/>
  <c r="P32" i="66"/>
  <c r="P48" i="66"/>
  <c r="V64" i="66"/>
  <c r="E64" i="66" s="1"/>
  <c r="V65" i="66"/>
  <c r="E65" i="66" s="1"/>
  <c r="O65" i="66" s="1"/>
  <c r="V60" i="66"/>
  <c r="E60" i="66" s="1"/>
  <c r="V61" i="66"/>
  <c r="E61" i="66" s="1"/>
  <c r="O61" i="66" s="1"/>
  <c r="I12" i="66"/>
  <c r="D64" i="66"/>
  <c r="M63" i="66"/>
  <c r="M64" i="66"/>
  <c r="M62" i="66"/>
  <c r="P18" i="66"/>
  <c r="I8" i="66"/>
  <c r="AA43" i="39"/>
  <c r="S43" i="39"/>
  <c r="W13" i="39"/>
  <c r="AC13" i="39"/>
  <c r="F22" i="59"/>
  <c r="F13" i="9" s="1"/>
  <c r="C9" i="67"/>
  <c r="D10" i="67"/>
  <c r="E8" i="67"/>
  <c r="E7" i="67" s="1"/>
  <c r="E6" i="67" s="1"/>
  <c r="U9" i="67"/>
  <c r="S11" i="39"/>
  <c r="N103" i="43"/>
  <c r="I102" i="43"/>
  <c r="I108" i="43" s="1"/>
  <c r="H22" i="43"/>
  <c r="K102" i="43"/>
  <c r="K103" i="43" s="1"/>
  <c r="J102" i="43"/>
  <c r="J22" i="43"/>
  <c r="G102" i="43"/>
  <c r="G104" i="43" s="1"/>
  <c r="C102" i="43"/>
  <c r="C106" i="43" s="1"/>
  <c r="E22" i="43"/>
  <c r="D22" i="43" s="1"/>
  <c r="F102" i="43"/>
  <c r="L102" i="43"/>
  <c r="M102" i="43"/>
  <c r="C23" i="43"/>
  <c r="N104" i="46"/>
  <c r="U11" i="39"/>
  <c r="AB11" i="39"/>
  <c r="AB7" i="39"/>
  <c r="T47" i="39" s="1"/>
  <c r="G47" i="39" s="1"/>
  <c r="U7" i="39"/>
  <c r="D58" i="39"/>
  <c r="E56" i="39"/>
  <c r="G106" i="43"/>
  <c r="G107" i="43"/>
  <c r="G105" i="43"/>
  <c r="G108" i="43"/>
  <c r="G110" i="43"/>
  <c r="C105" i="43"/>
  <c r="C103" i="43"/>
  <c r="D110" i="43"/>
  <c r="C107" i="43"/>
  <c r="G103" i="43"/>
  <c r="H110" i="43"/>
  <c r="H106" i="43"/>
  <c r="H107" i="43"/>
  <c r="H103" i="43"/>
  <c r="I110" i="43"/>
  <c r="I104" i="43"/>
  <c r="I107" i="43"/>
  <c r="K110" i="43"/>
  <c r="K104" i="43"/>
  <c r="K105" i="43"/>
  <c r="J110" i="43"/>
  <c r="J106" i="43"/>
  <c r="J107" i="43"/>
  <c r="J108" i="43"/>
  <c r="J105" i="43"/>
  <c r="E105" i="43"/>
  <c r="E103" i="43"/>
  <c r="E107" i="43"/>
  <c r="E106" i="43"/>
  <c r="E108" i="43"/>
  <c r="E110" i="43"/>
  <c r="E104" i="43"/>
  <c r="I119" i="43"/>
  <c r="J119" i="43" s="1"/>
  <c r="K119" i="43" s="1"/>
  <c r="L119" i="43" s="1"/>
  <c r="M119" i="43" s="1"/>
  <c r="B118" i="43"/>
  <c r="C118" i="43" s="1"/>
  <c r="B116" i="43"/>
  <c r="I116" i="43"/>
  <c r="J116" i="43" s="1"/>
  <c r="K116" i="43" s="1"/>
  <c r="L116" i="43" s="1"/>
  <c r="M116" i="43" s="1"/>
  <c r="B119" i="43"/>
  <c r="C119" i="43" s="1"/>
  <c r="B117" i="43"/>
  <c r="C117" i="43" s="1"/>
  <c r="D119" i="43"/>
  <c r="E119" i="43" s="1"/>
  <c r="F119" i="43" s="1"/>
  <c r="I118" i="43"/>
  <c r="J118" i="43" s="1"/>
  <c r="K118" i="43" s="1"/>
  <c r="L118" i="43" s="1"/>
  <c r="M118" i="43" s="1"/>
  <c r="D116" i="43"/>
  <c r="E116" i="43" s="1"/>
  <c r="F116" i="43" s="1"/>
  <c r="G116" i="43" s="1"/>
  <c r="H116" i="43" s="1"/>
  <c r="D118" i="43"/>
  <c r="E118" i="43" s="1"/>
  <c r="F118" i="43" s="1"/>
  <c r="G118" i="43" s="1"/>
  <c r="H118" i="43" s="1"/>
  <c r="I117" i="43"/>
  <c r="J117" i="43" s="1"/>
  <c r="K117" i="43" s="1"/>
  <c r="L117" i="43" s="1"/>
  <c r="M117" i="43" s="1"/>
  <c r="D117" i="43"/>
  <c r="E117" i="43" s="1"/>
  <c r="F117" i="43" s="1"/>
  <c r="G117" i="43" s="1"/>
  <c r="H117" i="43" s="1"/>
  <c r="G119" i="43"/>
  <c r="H119" i="43" s="1"/>
  <c r="N110" i="43"/>
  <c r="N107" i="43"/>
  <c r="N108" i="43"/>
  <c r="N104" i="43"/>
  <c r="D108" i="43"/>
  <c r="D105" i="43"/>
  <c r="D106" i="43"/>
  <c r="D107" i="43"/>
  <c r="D12" i="63"/>
  <c r="D13" i="63"/>
  <c r="E51" i="39"/>
  <c r="F51" i="39" s="1"/>
  <c r="E52" i="39"/>
  <c r="F52" i="39" s="1"/>
  <c r="C48" i="39"/>
  <c r="B3" i="39" s="1"/>
  <c r="C47" i="39"/>
  <c r="I52" i="39"/>
  <c r="J52" i="39" s="1"/>
  <c r="G21" i="59"/>
  <c r="G12" i="9" s="1"/>
  <c r="C23" i="64"/>
  <c r="C22" i="64" s="1"/>
  <c r="B3" i="64" s="1"/>
  <c r="R20" i="43"/>
  <c r="G20" i="43" s="1"/>
  <c r="S20" i="43"/>
  <c r="Q20" i="43"/>
  <c r="P20" i="43"/>
  <c r="G9" i="59"/>
  <c r="C20" i="63" l="1"/>
  <c r="C21" i="63"/>
  <c r="E21" i="63" s="1"/>
  <c r="T9" i="67"/>
  <c r="D9" i="67"/>
  <c r="C8" i="67"/>
  <c r="N63" i="66"/>
  <c r="N64" i="66"/>
  <c r="N62" i="66"/>
  <c r="D60" i="66"/>
  <c r="M26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M60" i="66"/>
  <c r="M20" i="66"/>
  <c r="M54" i="66"/>
  <c r="M46" i="66"/>
  <c r="M38" i="66"/>
  <c r="M30" i="66"/>
  <c r="M25" i="66"/>
  <c r="M53" i="66"/>
  <c r="M45" i="66"/>
  <c r="M37" i="66"/>
  <c r="M29" i="66"/>
  <c r="M24" i="66"/>
  <c r="M2" i="66" s="1"/>
  <c r="C27" i="63" s="1"/>
  <c r="M58" i="66"/>
  <c r="M50" i="66"/>
  <c r="M42" i="66"/>
  <c r="M34" i="66"/>
  <c r="M57" i="66"/>
  <c r="M21" i="66"/>
  <c r="M49" i="66"/>
  <c r="M41" i="66"/>
  <c r="M33" i="66"/>
  <c r="M17" i="66"/>
  <c r="M18" i="66"/>
  <c r="M19" i="66"/>
  <c r="K108" i="43"/>
  <c r="I105" i="43"/>
  <c r="I106" i="43"/>
  <c r="I103" i="43"/>
  <c r="C104" i="43"/>
  <c r="C110" i="43"/>
  <c r="C108" i="43"/>
  <c r="O60" i="66"/>
  <c r="O57" i="66"/>
  <c r="O58" i="66"/>
  <c r="O54" i="66"/>
  <c r="O52" i="66"/>
  <c r="O50" i="66"/>
  <c r="O48" i="66"/>
  <c r="O46" i="66"/>
  <c r="O44" i="66"/>
  <c r="O42" i="66"/>
  <c r="O40" i="66"/>
  <c r="O38" i="66"/>
  <c r="O36" i="66"/>
  <c r="O34" i="66"/>
  <c r="O32" i="66"/>
  <c r="O30" i="66"/>
  <c r="O28" i="66"/>
  <c r="O26" i="66"/>
  <c r="O24" i="66"/>
  <c r="O2" i="66" s="1"/>
  <c r="C29" i="63" s="1"/>
  <c r="O20" i="66"/>
  <c r="O23" i="66"/>
  <c r="O55" i="66"/>
  <c r="O53" i="66"/>
  <c r="O49" i="66"/>
  <c r="O45" i="66"/>
  <c r="O41" i="66"/>
  <c r="O37" i="66"/>
  <c r="O33" i="66"/>
  <c r="O29" i="66"/>
  <c r="O25" i="66"/>
  <c r="O59" i="66"/>
  <c r="O56" i="66"/>
  <c r="O51" i="66"/>
  <c r="O47" i="66"/>
  <c r="O43" i="66"/>
  <c r="O39" i="66"/>
  <c r="O35" i="66"/>
  <c r="O31" i="66"/>
  <c r="O27" i="66"/>
  <c r="O22" i="66"/>
  <c r="O21" i="66"/>
  <c r="O19" i="66"/>
  <c r="O17" i="66"/>
  <c r="O18" i="66"/>
  <c r="O64" i="66"/>
  <c r="O63" i="66"/>
  <c r="B9" i="67"/>
  <c r="I19" i="43"/>
  <c r="L21" i="66"/>
  <c r="L25" i="66"/>
  <c r="L31" i="66"/>
  <c r="L35" i="66"/>
  <c r="L39" i="66"/>
  <c r="L43" i="66"/>
  <c r="L47" i="66"/>
  <c r="L51" i="66"/>
  <c r="L55" i="66"/>
  <c r="L58" i="66"/>
  <c r="L64" i="66"/>
  <c r="L20" i="66"/>
  <c r="L24" i="66"/>
  <c r="L2" i="66" s="1"/>
  <c r="C26" i="63" s="1"/>
  <c r="L27" i="66"/>
  <c r="L30" i="66"/>
  <c r="L34" i="66"/>
  <c r="L38" i="66"/>
  <c r="L42" i="66"/>
  <c r="L46" i="66"/>
  <c r="L50" i="66"/>
  <c r="L54" i="66"/>
  <c r="L56" i="66"/>
  <c r="L59" i="66"/>
  <c r="L49" i="66"/>
  <c r="L41" i="66"/>
  <c r="L33" i="66"/>
  <c r="L23" i="66"/>
  <c r="L62" i="66"/>
  <c r="L61" i="66"/>
  <c r="L18" i="66"/>
  <c r="L19" i="66"/>
  <c r="L22" i="66"/>
  <c r="L26" i="66"/>
  <c r="L28" i="66"/>
  <c r="L32" i="66"/>
  <c r="L36" i="66"/>
  <c r="L40" i="66"/>
  <c r="L44" i="66"/>
  <c r="L48" i="66"/>
  <c r="L52" i="66"/>
  <c r="L57" i="66"/>
  <c r="L63" i="66"/>
  <c r="L53" i="66"/>
  <c r="L45" i="66"/>
  <c r="L37" i="66"/>
  <c r="L29" i="66"/>
  <c r="L60" i="66"/>
  <c r="L17" i="66"/>
  <c r="O62" i="66"/>
  <c r="D61" i="66"/>
  <c r="N61" i="66" s="1"/>
  <c r="M61" i="66"/>
  <c r="M110" i="43"/>
  <c r="M107" i="43"/>
  <c r="M108" i="43"/>
  <c r="M103" i="43"/>
  <c r="M105" i="43"/>
  <c r="M104" i="43"/>
  <c r="M106" i="43"/>
  <c r="F108" i="43"/>
  <c r="F110" i="43"/>
  <c r="F107" i="43"/>
  <c r="F103" i="43"/>
  <c r="F104" i="43"/>
  <c r="F105" i="43"/>
  <c r="F106" i="43"/>
  <c r="J103" i="43"/>
  <c r="J104" i="43"/>
  <c r="L104" i="43"/>
  <c r="L107" i="43"/>
  <c r="L106" i="43"/>
  <c r="L108" i="43"/>
  <c r="L105" i="43"/>
  <c r="L110" i="43"/>
  <c r="L103" i="43"/>
  <c r="K107" i="43"/>
  <c r="K106" i="43"/>
  <c r="E58" i="39"/>
  <c r="F56" i="39"/>
  <c r="G51" i="39"/>
  <c r="H51" i="39" s="1"/>
  <c r="G52" i="39"/>
  <c r="H52" i="39" s="1"/>
  <c r="C11" i="63"/>
  <c r="C18" i="63" s="1"/>
  <c r="C116" i="43"/>
  <c r="D114" i="43"/>
  <c r="F21" i="59"/>
  <c r="F12" i="9" s="1"/>
  <c r="F14" i="9" s="1"/>
  <c r="C12" i="9"/>
  <c r="C20" i="43"/>
  <c r="E41" i="43"/>
  <c r="C41" i="43" s="1"/>
  <c r="B8" i="67" l="1"/>
  <c r="B7" i="67" s="1"/>
  <c r="B6" i="67" s="1"/>
  <c r="S9" i="67"/>
  <c r="N60" i="66"/>
  <c r="N57" i="66"/>
  <c r="N27" i="66"/>
  <c r="N34" i="66"/>
  <c r="N42" i="66"/>
  <c r="N50" i="66"/>
  <c r="N58" i="66"/>
  <c r="N35" i="66"/>
  <c r="N25" i="66"/>
  <c r="N28" i="66"/>
  <c r="N36" i="66"/>
  <c r="N44" i="66"/>
  <c r="N52" i="66"/>
  <c r="N22" i="66"/>
  <c r="N33" i="66"/>
  <c r="N41" i="66"/>
  <c r="N49" i="66"/>
  <c r="N23" i="66"/>
  <c r="N31" i="66"/>
  <c r="N43" i="66"/>
  <c r="N21" i="66"/>
  <c r="N59" i="66"/>
  <c r="N55" i="66"/>
  <c r="N30" i="66"/>
  <c r="N38" i="66"/>
  <c r="N46" i="66"/>
  <c r="N54" i="66"/>
  <c r="N24" i="66"/>
  <c r="N2" i="66" s="1"/>
  <c r="C28" i="63" s="1"/>
  <c r="N47" i="66"/>
  <c r="N29" i="66"/>
  <c r="N32" i="66"/>
  <c r="N40" i="66"/>
  <c r="N48" i="66"/>
  <c r="N56" i="66"/>
  <c r="N26" i="66"/>
  <c r="N37" i="66"/>
  <c r="N45" i="66"/>
  <c r="N53" i="66"/>
  <c r="N20" i="66"/>
  <c r="N39" i="66"/>
  <c r="N51" i="66"/>
  <c r="N19" i="66"/>
  <c r="N17" i="66"/>
  <c r="N18" i="66"/>
  <c r="D8" i="67"/>
  <c r="C7" i="67"/>
  <c r="C22" i="63"/>
  <c r="B5" i="63" s="1"/>
  <c r="B4" i="63"/>
  <c r="F7" i="59" s="1"/>
  <c r="E20" i="63"/>
  <c r="C19" i="63"/>
  <c r="E19" i="63" s="1"/>
  <c r="G56" i="39"/>
  <c r="F58" i="39"/>
  <c r="F11" i="59"/>
  <c r="B3" i="63"/>
  <c r="F6" i="59" s="1"/>
  <c r="F5" i="59" s="1"/>
  <c r="E18" i="63"/>
  <c r="C33" i="43"/>
  <c r="C37" i="43"/>
  <c r="C34" i="43"/>
  <c r="C36" i="43"/>
  <c r="C35" i="43"/>
  <c r="C29" i="43"/>
  <c r="C38" i="43"/>
  <c r="C39" i="43"/>
  <c r="D7" i="67" l="1"/>
  <c r="C6" i="67"/>
  <c r="D6" i="67" s="1"/>
  <c r="H56" i="39"/>
  <c r="G58" i="39"/>
  <c r="F8" i="59"/>
  <c r="B5" i="9"/>
  <c r="E39" i="43"/>
  <c r="G39" i="43"/>
  <c r="I39" i="43" s="1"/>
  <c r="C30" i="43"/>
  <c r="E30" i="43" s="1"/>
  <c r="E29" i="43"/>
  <c r="E36" i="43"/>
  <c r="G36" i="43"/>
  <c r="I36" i="43" s="1"/>
  <c r="E37" i="43"/>
  <c r="G37" i="43"/>
  <c r="I37" i="43" s="1"/>
  <c r="G38" i="43"/>
  <c r="I38" i="43" s="1"/>
  <c r="E38" i="43"/>
  <c r="E35" i="43"/>
  <c r="G35" i="43"/>
  <c r="I35" i="43" s="1"/>
  <c r="G34" i="43"/>
  <c r="I34" i="43" s="1"/>
  <c r="E34" i="43"/>
  <c r="E33" i="43"/>
  <c r="G33" i="43"/>
  <c r="I33" i="43" s="1"/>
  <c r="I56" i="39" l="1"/>
  <c r="H58" i="39"/>
  <c r="B11" i="9"/>
  <c r="F9" i="59"/>
  <c r="B12" i="9" s="1"/>
  <c r="F10" i="59"/>
  <c r="B13" i="9" s="1"/>
  <c r="C27" i="43"/>
  <c r="C26" i="43"/>
  <c r="B2" i="43" s="1"/>
  <c r="I58" i="39" l="1"/>
  <c r="J56" i="39"/>
  <c r="F4" i="59"/>
  <c r="F24" i="59" s="1"/>
  <c r="B14" i="9"/>
  <c r="K56" i="39" l="1"/>
  <c r="J58" i="39"/>
  <c r="F35" i="59"/>
  <c r="B18" i="9" s="1"/>
  <c r="C11" i="68" s="1"/>
  <c r="B15" i="9"/>
  <c r="F25" i="59"/>
  <c r="K58" i="39" l="1"/>
  <c r="L56" i="39"/>
  <c r="B16" i="9"/>
  <c r="H16" i="9" s="1"/>
  <c r="F36" i="59"/>
  <c r="B19" i="9" s="1"/>
  <c r="M56" i="39" l="1"/>
  <c r="L58" i="39"/>
  <c r="B11" i="68"/>
  <c r="H19" i="9"/>
  <c r="N56" i="39" l="1"/>
  <c r="M58" i="39"/>
  <c r="O56" i="39" l="1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<sst xmlns="http://schemas.openxmlformats.org/spreadsheetml/2006/main" count="3955" uniqueCount="1800">
  <si>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</si>
  <si>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</si>
  <si>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</si>
  <si>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</si>
  <si>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</si>
  <si>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</si>
  <si>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</si>
  <si>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</si>
  <si>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</si>
  <si>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</si>
  <si>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</si>
  <si>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</si>
  <si>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</si>
  <si>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</si>
  <si>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</si>
  <si>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</si>
  <si>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</si>
  <si>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</si>
  <si>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</si>
  <si>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</si>
  <si>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</si>
  <si>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</si>
  <si>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</si>
  <si>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</si>
  <si>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</si>
  <si>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</si>
  <si>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</si>
  <si>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</si>
  <si>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</si>
  <si>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</si>
  <si>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</si>
  <si>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</si>
  <si>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</si>
  <si>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</si>
  <si>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</si>
  <si>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</si>
  <si>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</si>
  <si>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</si>
  <si>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</si>
  <si>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</si>
  <si>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</si>
  <si>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</si>
  <si>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</si>
  <si>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</si>
  <si>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</si>
  <si>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</si>
  <si>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</si>
  <si>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</si>
  <si>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</si>
  <si>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</si>
  <si>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</si>
  <si>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</si>
  <si>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</si>
  <si>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</si>
  <si>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</si>
  <si>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</si>
  <si>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</si>
  <si>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</si>
  <si>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</si>
  <si>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</si>
  <si>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</si>
  <si>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</si>
  <si>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</si>
  <si>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</si>
  <si>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</si>
  <si>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</si>
  <si>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</si>
  <si>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</si>
  <si>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</si>
  <si>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</si>
  <si>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</si>
  <si>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</si>
  <si>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</si>
  <si>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</si>
  <si>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</si>
  <si>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</si>
  <si>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</si>
  <si>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</si>
  <si>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</si>
  <si>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</si>
  <si>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</si>
  <si>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</si>
  <si>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</si>
  <si>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</si>
  <si>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</si>
  <si>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</si>
  <si>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</si>
  <si>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</si>
  <si>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</si>
  <si>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</si>
  <si>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</si>
  <si>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</si>
  <si>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</si>
  <si>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</si>
  <si>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</si>
  <si>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</si>
  <si>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</si>
  <si>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</si>
  <si>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</si>
  <si>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</si>
  <si>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</si>
  <si>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</si>
  <si>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</si>
  <si>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</si>
  <si>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</si>
  <si>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</si>
  <si>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</si>
  <si>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</si>
  <si>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</si>
  <si>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</si>
  <si>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</si>
  <si>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</si>
  <si>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</si>
  <si>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</si>
  <si>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</si>
  <si>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</si>
  <si>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</si>
  <si>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</si>
  <si>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</si>
  <si>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</si>
  <si>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</si>
  <si>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</si>
  <si>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</si>
  <si>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</si>
  <si>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</si>
  <si>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</si>
  <si>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</si>
  <si>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</si>
  <si>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</si>
  <si>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</si>
  <si>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</si>
  <si>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</si>
  <si>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</si>
  <si>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</si>
  <si>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</si>
  <si>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</si>
  <si>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</si>
  <si>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</si>
  <si>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</si>
  <si>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</si>
  <si>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</si>
  <si>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</si>
  <si>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</si>
  <si>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</si>
  <si>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</si>
  <si>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</si>
  <si>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</si>
  <si>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</si>
  <si>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</si>
  <si>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</si>
  <si>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</si>
  <si>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</si>
  <si>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</si>
  <si>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</si>
  <si>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</si>
  <si>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</si>
  <si>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</si>
  <si>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</si>
  <si>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</si>
  <si>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</si>
  <si>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</si>
  <si>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</si>
  <si>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</si>
  <si>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</si>
  <si>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</si>
  <si>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</si>
  <si>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</si>
  <si>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</si>
  <si>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</si>
  <si>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</si>
  <si>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</si>
  <si>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</si>
  <si>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</si>
  <si>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</si>
  <si>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</si>
  <si>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</si>
  <si>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</si>
  <si>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</si>
  <si>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</si>
  <si>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</si>
  <si>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</si>
  <si>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</si>
  <si>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</si>
  <si>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</si>
  <si>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</si>
  <si>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</si>
  <si>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</si>
  <si>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</si>
  <si>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</si>
  <si>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</si>
  <si>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</si>
  <si>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</si>
  <si>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</si>
  <si>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</si>
  <si>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</si>
  <si>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</si>
  <si>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</si>
  <si>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</si>
  <si>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</si>
  <si>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</si>
  <si>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</si>
  <si>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</si>
  <si>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</si>
  <si>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</si>
  <si>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</si>
  <si>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</si>
  <si>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</si>
  <si>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</si>
  <si>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</si>
  <si>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</si>
  <si>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</si>
  <si>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</si>
  <si>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</si>
  <si>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</si>
  <si>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</si>
  <si>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</si>
  <si>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</si>
  <si>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</si>
  <si>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</si>
  <si>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</si>
  <si>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</si>
  <si>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</si>
  <si>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</si>
  <si>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</si>
  <si>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</si>
  <si>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</si>
  <si>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</si>
  <si>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</si>
  <si>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</si>
  <si>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</si>
  <si>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</si>
  <si>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</si>
  <si>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</si>
  <si>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</si>
  <si>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</si>
  <si>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</si>
  <si>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</si>
  <si>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</si>
  <si>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</si>
  <si>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</si>
  <si>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</si>
  <si>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</si>
  <si>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</si>
  <si>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</si>
  <si>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</si>
  <si>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</si>
  <si>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</si>
  <si>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</si>
  <si>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</si>
  <si>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</si>
  <si>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</si>
  <si>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</si>
  <si>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</si>
  <si>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</si>
  <si>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</si>
  <si>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</si>
  <si>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</si>
  <si>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</si>
  <si>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</si>
  <si>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</si>
  <si>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</si>
  <si>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</si>
  <si>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</si>
  <si>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</si>
  <si>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</si>
  <si>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</si>
  <si>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</si>
  <si>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</si>
  <si>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</si>
  <si>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</si>
  <si>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</si>
  <si>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</si>
  <si>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</si>
  <si>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</si>
  <si>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</si>
  <si>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</si>
  <si>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</si>
  <si>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</si>
  <si>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</si>
  <si>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</si>
  <si>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</si>
  <si>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</si>
  <si>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</si>
  <si>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</si>
  <si>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</si>
  <si>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</si>
  <si>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</si>
  <si>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</si>
  <si>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</si>
  <si>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</si>
  <si>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</si>
  <si>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</si>
  <si>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</si>
  <si>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</si>
  <si>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</si>
  <si>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</si>
  <si>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</si>
  <si>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</si>
  <si>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</si>
  <si>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</si>
  <si>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</si>
  <si>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</si>
  <si>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</si>
  <si>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</si>
  <si>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</si>
  <si>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</si>
  <si>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</si>
  <si>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</si>
  <si>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</si>
  <si>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</si>
  <si>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</si>
  <si>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</si>
  <si>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</si>
  <si>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</si>
  <si>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</si>
  <si>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</si>
  <si>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</si>
  <si>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</si>
  <si>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</si>
  <si>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</si>
  <si>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</si>
  <si>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</si>
  <si>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</si>
  <si>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</si>
  <si>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</si>
  <si>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</si>
  <si>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</si>
  <si>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</si>
  <si>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</si>
  <si>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</si>
  <si>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</si>
  <si>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</si>
  <si>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</si>
  <si>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</si>
  <si>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</si>
  <si>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</si>
  <si>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</si>
  <si>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</si>
  <si>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</si>
  <si>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</si>
  <si>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</si>
  <si>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</si>
  <si>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</si>
  <si>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</si>
  <si>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</si>
  <si>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</si>
  <si>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</si>
  <si>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</si>
  <si>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</si>
  <si>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</si>
  <si>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</si>
  <si>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</si>
  <si>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</si>
  <si>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</si>
  <si>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</si>
  <si>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</si>
  <si>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</si>
  <si>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</si>
  <si>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</si>
  <si>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</si>
  <si>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</si>
  <si>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</si>
  <si>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</si>
  <si>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</si>
  <si>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</si>
  <si>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</si>
  <si>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</si>
  <si>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</si>
  <si>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</si>
  <si>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</si>
  <si>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</si>
  <si>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</si>
  <si>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</si>
  <si>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</si>
  <si>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</si>
  <si>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</si>
  <si>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</si>
  <si>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</si>
  <si>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</si>
  <si>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</si>
  <si>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</si>
  <si>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</si>
  <si>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</si>
  <si>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</si>
  <si>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</si>
  <si>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</si>
  <si>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</si>
  <si>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</si>
  <si>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</si>
  <si>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</si>
  <si>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</si>
  <si>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</si>
  <si>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</si>
  <si>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</si>
  <si>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</si>
  <si>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</si>
  <si>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</si>
  <si>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</si>
  <si>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</si>
  <si>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</si>
  <si>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</si>
  <si>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</si>
  <si>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</si>
  <si>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</si>
  <si>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</si>
  <si>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</si>
  <si>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</si>
  <si>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</si>
  <si>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</si>
  <si>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</si>
  <si>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</si>
  <si>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</si>
  <si>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</si>
  <si>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</si>
  <si>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</si>
  <si>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</si>
  <si>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</si>
  <si>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</si>
  <si>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</si>
  <si>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</si>
  <si>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</si>
  <si>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</si>
  <si>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</si>
  <si>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</si>
  <si>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</si>
  <si>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</si>
  <si>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</si>
  <si>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</si>
  <si>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</si>
  <si>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</si>
  <si>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</si>
  <si>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</si>
  <si>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</si>
  <si>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</si>
  <si>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</si>
  <si>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</si>
  <si>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</si>
  <si>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</si>
  <si>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</si>
  <si>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</si>
  <si>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</si>
  <si>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</si>
  <si>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</si>
  <si>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</si>
  <si>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</si>
  <si>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</si>
  <si>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</si>
  <si>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</si>
  <si>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</si>
  <si>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</si>
  <si>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</si>
  <si>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</si>
  <si>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</si>
  <si>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</si>
  <si>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</si>
  <si>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</si>
  <si>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</si>
  <si>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</si>
  <si>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</si>
  <si>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</si>
  <si>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</si>
  <si>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</si>
  <si>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</si>
  <si>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</si>
  <si>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</si>
  <si>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</si>
  <si>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</si>
  <si>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</si>
  <si>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</si>
  <si>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</si>
  <si>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</si>
  <si>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</si>
  <si>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</si>
  <si>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</si>
  <si>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</si>
  <si>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</si>
  <si>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</si>
  <si>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</si>
  <si>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</si>
  <si>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</si>
  <si>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</si>
  <si>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</si>
  <si>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</si>
  <si>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</si>
  <si>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</si>
  <si>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</si>
  <si>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</si>
  <si>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</si>
  <si>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</si>
  <si>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</si>
  <si>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</si>
  <si>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</si>
  <si>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</si>
  <si>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</si>
  <si>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</si>
  <si>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</si>
  <si>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</si>
  <si>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</si>
  <si>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</si>
  <si>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</si>
  <si>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</si>
  <si>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</si>
  <si>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</si>
  <si>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</si>
  <si>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</si>
  <si>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</si>
  <si>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</si>
  <si>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</si>
  <si>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</si>
  <si>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</si>
  <si>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</si>
  <si>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</si>
  <si>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</si>
  <si>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</si>
  <si>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</si>
  <si>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</si>
  <si>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</si>
  <si>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</si>
  <si>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</si>
  <si>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</si>
  <si>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</si>
  <si>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</si>
  <si>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</si>
  <si>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</si>
  <si>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</si>
  <si>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</si>
  <si>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</si>
  <si>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</si>
  <si>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</si>
  <si>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</si>
  <si>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</si>
  <si>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</si>
  <si>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</si>
  <si>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</si>
  <si>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</si>
  <si>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</si>
  <si>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</si>
  <si>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</si>
  <si>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</si>
  <si>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</si>
  <si>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</si>
  <si>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</si>
  <si>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</si>
  <si>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</si>
  <si>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</si>
  <si>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</si>
  <si>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</si>
  <si>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</si>
  <si>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</si>
  <si>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</si>
  <si>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</si>
  <si>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</si>
  <si>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</si>
  <si>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</si>
  <si>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</si>
  <si>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</si>
  <si>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</si>
  <si>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</si>
  <si>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</si>
  <si>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</si>
  <si>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</si>
  <si>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</si>
  <si>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</si>
  <si>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</si>
  <si>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</si>
  <si>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</si>
  <si>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</si>
  <si>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</si>
  <si>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</si>
  <si>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</si>
  <si>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</si>
  <si>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</si>
  <si>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</si>
  <si>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</si>
  <si>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</si>
  <si>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</si>
  <si>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</si>
  <si>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</si>
  <si>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</si>
  <si>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</si>
  <si>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</si>
  <si>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</si>
  <si>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</si>
  <si>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</si>
  <si>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</si>
  <si>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</si>
  <si>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</si>
  <si>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</si>
  <si>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</si>
  <si>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</si>
  <si>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</si>
  <si>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</si>
  <si>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</si>
  <si>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</si>
  <si>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</si>
  <si>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</si>
  <si>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</si>
  <si>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</si>
  <si>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</si>
  <si>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</si>
  <si>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</si>
  <si>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</si>
  <si>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</si>
  <si>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</si>
  <si>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</si>
  <si>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</si>
  <si>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</si>
  <si>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</si>
  <si>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</si>
  <si>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</si>
  <si>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</si>
  <si>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</si>
  <si>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</si>
  <si>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</si>
  <si>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</si>
  <si>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</si>
  <si>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</si>
  <si>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</si>
  <si>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</si>
  <si>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</si>
  <si>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</si>
  <si>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</si>
  <si>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</si>
  <si>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</si>
  <si>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</si>
  <si>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</si>
  <si>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</si>
  <si>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</si>
  <si>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</si>
  <si>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</si>
  <si>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</si>
  <si>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</si>
  <si>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</si>
  <si>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</si>
  <si>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</si>
  <si>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</si>
  <si>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</si>
  <si>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</si>
  <si>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</si>
  <si>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</si>
  <si>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</si>
  <si>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</si>
  <si>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</si>
  <si>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</si>
  <si>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</si>
  <si>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</si>
  <si>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</si>
  <si>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</si>
  <si>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</si>
  <si>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</si>
  <si>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</si>
  <si>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</si>
  <si>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</si>
  <si>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</si>
  <si>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</si>
  <si>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</si>
  <si>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</si>
  <si>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</si>
  <si>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</si>
  <si>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</si>
  <si>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</si>
  <si>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</si>
  <si>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</si>
  <si>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</si>
  <si>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</si>
  <si>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</si>
  <si>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</si>
  <si>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</si>
  <si>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</si>
  <si>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</si>
  <si>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</si>
  <si>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</si>
  <si>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</si>
  <si>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</si>
  <si>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</si>
  <si>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</si>
  <si>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</si>
  <si>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</si>
  <si>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</si>
  <si>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</si>
  <si>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</si>
  <si>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</si>
  <si>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</si>
  <si>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</si>
  <si>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</si>
  <si>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</si>
  <si>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</si>
  <si>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</si>
  <si>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</si>
  <si>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</si>
  <si>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</si>
  <si>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</si>
  <si>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</si>
  <si>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</si>
  <si>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</si>
  <si>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</si>
  <si>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</si>
  <si>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</si>
  <si>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</si>
  <si>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</si>
  <si>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</si>
  <si>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</si>
  <si>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</si>
  <si>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</si>
  <si>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</si>
  <si>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</si>
  <si>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</si>
  <si>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</si>
  <si>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</si>
  <si>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</si>
  <si>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</si>
  <si>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</si>
  <si>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</si>
  <si>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</si>
  <si>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</si>
  <si>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</si>
  <si>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</si>
  <si>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</si>
  <si>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</si>
  <si>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</si>
  <si>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</si>
  <si>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</si>
  <si>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</si>
  <si>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</si>
  <si>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</si>
  <si>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</si>
  <si>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</si>
  <si>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</si>
  <si>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</si>
  <si>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</si>
  <si>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</si>
  <si>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</si>
  <si>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</si>
  <si>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</si>
  <si>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</si>
  <si>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</si>
  <si>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</si>
  <si>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</si>
  <si>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</si>
  <si>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</si>
  <si>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</si>
  <si>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</si>
  <si>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</si>
  <si>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</si>
  <si>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</si>
  <si>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</si>
  <si>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</si>
  <si>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</si>
  <si>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</si>
  <si>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</si>
  <si>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</si>
  <si>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</si>
  <si>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</si>
  <si>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</si>
  <si>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</si>
  <si>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</si>
  <si>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</si>
  <si>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</si>
  <si>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</si>
  <si>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</si>
  <si>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</si>
  <si>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</si>
  <si>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</si>
  <si>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</si>
  <si>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</si>
  <si>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</si>
  <si>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</si>
  <si>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</si>
  <si>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</si>
  <si>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</si>
  <si>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</si>
  <si>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</si>
  <si>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</si>
  <si>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</si>
  <si>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</si>
  <si>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</si>
  <si>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</si>
  <si>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</si>
  <si>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</si>
  <si>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</si>
  <si>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</si>
  <si>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</si>
  <si>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</si>
  <si>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</si>
  <si>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</si>
  <si>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</si>
  <si>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</si>
  <si>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</si>
  <si>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</si>
  <si>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</si>
  <si>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</si>
  <si>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</si>
  <si>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</si>
  <si>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</si>
  <si>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</si>
  <si>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</si>
  <si>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</si>
  <si>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</si>
  <si>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</si>
  <si>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</si>
  <si>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</si>
  <si>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</si>
  <si>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</si>
  <si>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</si>
  <si>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</si>
  <si>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</si>
  <si>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</si>
  <si>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</si>
  <si>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</si>
  <si>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</si>
  <si>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</si>
  <si>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</si>
  <si>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</si>
  <si>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</si>
  <si>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</si>
  <si>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</si>
  <si>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</si>
  <si>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</si>
  <si>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</si>
  <si>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</si>
  <si>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</si>
  <si>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</si>
  <si>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</si>
  <si>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</si>
  <si>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</si>
  <si>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</si>
  <si>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</si>
  <si>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</si>
  <si>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</si>
  <si>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</si>
  <si>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</si>
  <si>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</si>
  <si>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</si>
  <si>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</si>
  <si>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</si>
  <si>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</si>
  <si>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</si>
  <si>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</si>
  <si>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</si>
  <si>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</si>
  <si>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</si>
  <si>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</si>
  <si>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</si>
  <si>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</si>
  <si>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</si>
  <si>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</si>
  <si>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</si>
  <si>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</si>
  <si>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</si>
  <si>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</si>
  <si>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</si>
  <si>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</si>
  <si>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</si>
  <si>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</si>
  <si>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</si>
  <si>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</si>
  <si>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</si>
  <si>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</si>
  <si>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</si>
  <si>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</si>
  <si>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</si>
  <si>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</si>
  <si>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</si>
  <si>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</si>
  <si>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</si>
  <si>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</si>
  <si>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</si>
  <si>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</si>
  <si>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</si>
  <si>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</si>
  <si>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</si>
  <si>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</si>
  <si>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</si>
  <si>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</si>
  <si>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</si>
  <si>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</si>
  <si>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</si>
  <si>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</si>
  <si>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</si>
  <si>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</si>
  <si>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</si>
  <si>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</si>
  <si>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</si>
  <si>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</si>
  <si>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</si>
  <si>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</si>
  <si>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</si>
  <si>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</si>
  <si>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</si>
  <si>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</si>
  <si>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</si>
  <si>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</si>
  <si>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</si>
  <si>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</si>
  <si>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</si>
  <si>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</si>
  <si>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</si>
  <si>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</si>
  <si>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</si>
  <si>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</si>
  <si>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</si>
  <si>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</si>
  <si>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</si>
  <si>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</si>
  <si>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</si>
  <si>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</si>
  <si>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</si>
  <si>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</si>
  <si>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</si>
  <si>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</si>
  <si>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</si>
  <si>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</si>
  <si>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</si>
  <si>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</si>
  <si>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</si>
  <si>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</si>
  <si>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</si>
  <si>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</si>
  <si>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</si>
  <si>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</si>
  <si>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</si>
  <si>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</si>
  <si>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</si>
  <si>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</si>
  <si>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</si>
  <si>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</si>
  <si>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</si>
  <si>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</si>
  <si>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</si>
  <si>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</si>
  <si>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</si>
  <si>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</si>
  <si>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</si>
  <si>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</si>
  <si>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</si>
  <si>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</si>
  <si>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</si>
  <si>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</si>
  <si>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</si>
  <si>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</si>
  <si>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</si>
  <si>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</si>
  <si>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</si>
  <si>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</si>
  <si>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</si>
  <si>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</si>
  <si>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</si>
  <si>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</si>
  <si>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</si>
  <si>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</si>
  <si>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</si>
  <si>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</si>
  <si>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</si>
  <si>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</si>
  <si>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</si>
  <si>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</si>
  <si>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</si>
  <si>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</si>
  <si>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</si>
  <si>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</si>
  <si>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</si>
  <si>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</si>
  <si>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</si>
  <si>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</si>
  <si>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</si>
  <si>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</si>
  <si>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</si>
  <si>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</si>
  <si>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</si>
  <si>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</si>
  <si>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</si>
  <si>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</si>
  <si>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</si>
  <si>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</si>
  <si>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</si>
  <si>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</si>
  <si>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</si>
  <si>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</si>
  <si>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</si>
  <si>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</si>
  <si>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</si>
  <si>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</si>
  <si>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</si>
  <si>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</si>
  <si>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</si>
  <si>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</si>
  <si>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</si>
  <si>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</si>
  <si>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</si>
  <si>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</si>
  <si>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</si>
  <si>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</si>
  <si>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</si>
  <si>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</si>
  <si>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</si>
  <si>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</si>
  <si>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</si>
  <si>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</si>
  <si>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</si>
  <si>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</si>
  <si>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</si>
  <si>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</si>
  <si>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</si>
  <si>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</si>
  <si>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</si>
  <si>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</si>
  <si>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</si>
  <si>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</si>
  <si>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</si>
  <si>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</si>
  <si>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</si>
  <si>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</si>
  <si>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</si>
  <si>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</si>
  <si>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</si>
  <si>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</si>
  <si>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</si>
  <si>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</si>
  <si>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</si>
  <si>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</si>
  <si>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</si>
  <si>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</si>
  <si>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</si>
  <si>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</si>
  <si>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</si>
  <si>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</si>
  <si>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</si>
  <si>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</si>
  <si>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</si>
  <si>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</si>
  <si>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</si>
  <si>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</si>
  <si>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</si>
  <si>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</si>
  <si>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</si>
  <si>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</si>
  <si>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</si>
  <si>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</si>
  <si>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</si>
  <si>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</si>
  <si>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</si>
  <si>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</si>
  <si>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</si>
  <si>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</si>
  <si>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</si>
  <si>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</si>
  <si>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</si>
  <si>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</si>
  <si>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</si>
  <si>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</si>
  <si>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</si>
  <si>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</si>
  <si>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</si>
  <si>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</si>
  <si>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</si>
  <si>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</si>
  <si>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</si>
  <si>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</si>
  <si>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</si>
  <si>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</si>
  <si>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</si>
  <si>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</si>
  <si>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</si>
  <si>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</si>
  <si>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</si>
  <si>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</si>
  <si>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</si>
  <si>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</si>
  <si>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</si>
  <si>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</si>
  <si>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</si>
  <si>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</si>
  <si>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</si>
  <si>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</si>
  <si>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</si>
  <si>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</si>
  <si>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</si>
  <si>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</si>
  <si>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</si>
  <si>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</si>
  <si>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</si>
  <si>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</si>
  <si>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</si>
  <si>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</si>
  <si>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</si>
  <si>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</si>
  <si>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</si>
  <si>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</si>
  <si>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</si>
  <si>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</si>
  <si>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</si>
  <si>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</si>
  <si>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</si>
  <si>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</si>
  <si>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</si>
  <si>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</si>
  <si>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</si>
  <si>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</si>
  <si>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</si>
  <si>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</si>
  <si>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</si>
  <si>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</si>
  <si>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</si>
  <si>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</si>
  <si>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</si>
  <si>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</si>
  <si>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</si>
  <si>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</si>
  <si>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</si>
  <si>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</si>
  <si>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</si>
  <si>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</si>
  <si>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</si>
  <si>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</si>
  <si>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</si>
  <si>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</si>
  <si>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</si>
  <si>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</si>
  <si>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</si>
  <si>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</si>
  <si>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</si>
  <si>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</si>
  <si>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</si>
  <si>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</si>
  <si>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</si>
  <si>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</si>
  <si>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</si>
  <si>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</si>
  <si>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</si>
  <si>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</si>
  <si>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</si>
  <si>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</si>
  <si>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</si>
  <si>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</si>
  <si>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</si>
  <si>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</si>
  <si>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</si>
  <si>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</si>
  <si>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</si>
  <si>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</si>
  <si>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</si>
  <si>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</si>
  <si>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</si>
  <si>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</si>
  <si>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</si>
  <si>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</si>
  <si>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</si>
  <si>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</si>
  <si>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</si>
  <si>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</si>
  <si>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</si>
  <si>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</si>
  <si>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</si>
  <si>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</si>
  <si>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</si>
  <si>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</si>
  <si>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</si>
  <si>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</si>
  <si>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</si>
  <si>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</si>
  <si>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</si>
  <si>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</si>
  <si>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</si>
  <si>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</si>
  <si>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</si>
  <si>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</si>
  <si>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</si>
  <si>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</si>
  <si>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</si>
  <si>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</si>
  <si>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</si>
  <si>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</si>
  <si>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</si>
  <si>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</si>
  <si>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</si>
  <si>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</si>
  <si>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</si>
  <si>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</si>
  <si>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</si>
  <si>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</si>
  <si>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</si>
  <si>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</si>
  <si>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</si>
  <si>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</si>
  <si>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</si>
  <si>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</si>
  <si>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</si>
  <si>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</si>
  <si>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</si>
  <si>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</si>
  <si>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</si>
  <si>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</si>
  <si>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</si>
  <si>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</si>
  <si>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</si>
  <si>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</si>
  <si>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</si>
  <si>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</si>
  <si>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</si>
  <si>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</si>
  <si>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</si>
  <si>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</si>
  <si>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</si>
  <si>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</si>
  <si>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</si>
  <si>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</si>
  <si>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</si>
  <si>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</si>
  <si>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</si>
  <si>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</si>
  <si>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</si>
  <si>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</si>
  <si>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</si>
  <si>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</si>
  <si>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</si>
  <si>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</si>
  <si>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</si>
  <si>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</si>
  <si>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</si>
  <si>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</si>
  <si>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</si>
  <si>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</si>
  <si>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</si>
  <si>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</si>
  <si>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</si>
  <si>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</si>
  <si>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</si>
  <si>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</si>
  <si>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</si>
  <si>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</si>
  <si>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</si>
  <si>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</si>
  <si>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</si>
  <si>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</si>
  <si>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</si>
  <si>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</si>
  <si>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</si>
  <si>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</si>
  <si>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</si>
  <si>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</si>
  <si>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</si>
  <si>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</si>
  <si>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</si>
  <si>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</si>
  <si>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</si>
  <si>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</si>
  <si>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</si>
  <si>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</si>
  <si>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</si>
  <si>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</si>
  <si>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</si>
  <si>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</si>
  <si>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</si>
  <si>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</si>
  <si>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</si>
  <si>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</si>
  <si>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</si>
  <si>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</si>
  <si>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</si>
  <si>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</si>
  <si>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</si>
  <si>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</si>
  <si>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</si>
  <si>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</si>
  <si>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</si>
  <si>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</si>
  <si>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</si>
  <si>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</si>
  <si>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</si>
  <si>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</si>
  <si>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</si>
  <si>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</si>
  <si>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</si>
  <si>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</si>
  <si>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</si>
  <si>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</si>
  <si>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</si>
  <si>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</si>
  <si>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</si>
  <si>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</si>
  <si>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</si>
  <si>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</si>
  <si>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</si>
  <si>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</si>
  <si>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</si>
  <si>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</si>
  <si>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</si>
  <si>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</si>
  <si>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</si>
  <si>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</si>
  <si>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</si>
  <si>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</si>
  <si>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</si>
  <si>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</si>
  <si>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</si>
  <si>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</si>
  <si>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</si>
  <si>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</si>
  <si>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</si>
  <si>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</si>
  <si>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</si>
  <si>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</si>
  <si>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</si>
  <si>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</si>
  <si>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</si>
  <si>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</si>
  <si>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</si>
  <si>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</si>
  <si>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</si>
  <si>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</si>
  <si>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</si>
  <si>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</si>
  <si>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</si>
  <si>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</si>
  <si>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</si>
  <si>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</si>
  <si>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</si>
  <si>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</si>
  <si>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</si>
  <si>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</si>
  <si>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</si>
  <si>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</si>
  <si>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</si>
  <si>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</si>
  <si>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</si>
  <si>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</si>
  <si>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</si>
  <si>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</si>
  <si>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</si>
  <si>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</si>
  <si>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</si>
  <si>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</si>
  <si>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</si>
  <si>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</si>
  <si>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</si>
  <si>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</si>
  <si>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</si>
  <si>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</si>
  <si>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</si>
  <si>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</si>
  <si>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</si>
  <si>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</si>
  <si>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</si>
  <si>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</si>
  <si>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</si>
  <si>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</si>
  <si>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</si>
  <si>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</si>
  <si>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</si>
  <si>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</si>
  <si>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</si>
  <si>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</si>
  <si>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</si>
  <si>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</si>
  <si>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</si>
  <si>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</si>
  <si>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</si>
  <si>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</si>
  <si>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</si>
  <si>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</si>
  <si>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</si>
  <si>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</si>
  <si>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</si>
  <si>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</si>
  <si>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</si>
  <si>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</si>
  <si>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</si>
  <si>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</si>
  <si>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</si>
  <si>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</si>
  <si>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</si>
  <si>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</si>
  <si>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</si>
  <si>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</si>
  <si>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</si>
  <si>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</si>
  <si>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</si>
  <si>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</si>
  <si>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</si>
  <si>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</si>
  <si>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</si>
  <si>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</si>
  <si>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</si>
  <si>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</si>
  <si>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</si>
  <si>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</si>
  <si>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</si>
  <si>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</si>
  <si>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</si>
  <si>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</si>
  <si>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</si>
  <si>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</si>
  <si>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</si>
  <si>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</si>
  <si>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</si>
  <si>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</si>
  <si>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</si>
  <si>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</si>
  <si>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</si>
  <si>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</si>
  <si>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</si>
  <si>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</si>
  <si>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</si>
  <si>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</si>
  <si>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</si>
  <si>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</si>
  <si>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</si>
  <si>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</si>
  <si>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</si>
  <si>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</si>
  <si>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</si>
  <si>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</si>
  <si>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</si>
  <si>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</si>
  <si>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</si>
  <si>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</si>
  <si>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</si>
  <si>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</si>
  <si>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</si>
  <si>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</si>
  <si>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</si>
  <si>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</si>
  <si>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</si>
  <si>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</si>
  <si>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</si>
  <si>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</si>
  <si>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</si>
  <si>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</si>
  <si>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</si>
  <si>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</si>
  <si>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</si>
  <si>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</si>
  <si>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</si>
  <si>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</si>
  <si>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</si>
  <si>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</si>
  <si>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</si>
  <si>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</si>
  <si>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</si>
  <si>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</si>
  <si>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</si>
  <si>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</si>
  <si>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</si>
  <si>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</si>
  <si>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</si>
  <si>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</si>
  <si>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</si>
  <si>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</si>
  <si>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</si>
  <si>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</si>
  <si>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</si>
  <si>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</si>
  <si>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</si>
  <si>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</si>
  <si>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</si>
  <si>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</si>
  <si>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</si>
  <si>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</si>
  <si>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</si>
  <si>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</si>
  <si>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</si>
  <si>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</si>
  <si>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</si>
  <si>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</si>
  <si>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</si>
  <si>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</si>
  <si>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</si>
  <si>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</si>
  <si>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</si>
  <si>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</si>
  <si>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</si>
  <si>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</si>
  <si>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</si>
  <si>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</si>
  <si>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</si>
  <si>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</si>
  <si>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</si>
  <si>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</si>
  <si>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</si>
  <si>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</si>
  <si>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</si>
  <si>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</si>
  <si>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</si>
  <si>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</si>
  <si>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</si>
  <si>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</si>
  <si>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</si>
  <si>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</si>
  <si>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</si>
  <si>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</si>
  <si>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</si>
  <si>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</si>
  <si>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</si>
  <si>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</si>
  <si>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</si>
  <si>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</si>
  <si>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</si>
  <si>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</si>
  <si>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</si>
  <si>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</si>
  <si>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</si>
  <si>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</si>
  <si>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</si>
  <si>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</si>
  <si>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</si>
  <si>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</si>
  <si>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</si>
  <si>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</si>
  <si>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</si>
  <si>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</si>
  <si>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</si>
  <si>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</si>
  <si>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</si>
  <si>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</si>
  <si>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</si>
  <si>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</si>
  <si>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</si>
  <si>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</si>
  <si>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</si>
  <si>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</si>
  <si>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</si>
  <si>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</si>
  <si>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</si>
  <si>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</si>
  <si>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</si>
  <si>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</si>
  <si>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</si>
  <si>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</si>
  <si>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</si>
  <si>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</si>
  <si>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</si>
  <si>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</si>
  <si>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</si>
  <si>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</si>
  <si>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</si>
  <si>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</si>
  <si>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</si>
  <si>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</si>
  <si>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</si>
  <si>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</si>
  <si>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</si>
  <si>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</si>
  <si>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</si>
  <si>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</si>
  <si>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</si>
  <si>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</si>
  <si>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</si>
  <si>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</si>
  <si>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</si>
  <si>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</si>
  <si>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</si>
  <si>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</si>
  <si>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</si>
  <si>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</si>
  <si>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</si>
  <si>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</si>
  <si>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</si>
  <si>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</si>
  <si>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</si>
  <si>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</si>
  <si>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</si>
  <si>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</si>
  <si>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</si>
  <si>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</si>
  <si>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</si>
  <si>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</si>
  <si>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</si>
  <si>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</si>
  <si>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</si>
  <si>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</si>
  <si>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</si>
  <si>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</si>
  <si>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</si>
  <si>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</si>
  <si>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</si>
  <si>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</si>
  <si>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</si>
  <si>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</si>
  <si>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</si>
  <si>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</si>
  <si>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</si>
  <si>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</si>
  <si>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</si>
  <si>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</si>
  <si>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</si>
  <si>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</si>
  <si>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</si>
  <si>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</si>
  <si>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</si>
  <si>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</si>
  <si>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</si>
  <si>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</si>
  <si>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</si>
  <si>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</si>
  <si>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</si>
  <si>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</si>
  <si>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</si>
  <si>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</si>
  <si>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</si>
  <si>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</si>
  <si>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</si>
  <si>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</si>
  <si>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</si>
  <si>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</si>
  <si>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</si>
  <si>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</si>
  <si>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</si>
  <si>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</si>
  <si>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</si>
  <si>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</si>
  <si>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</si>
  <si>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</si>
  <si>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</si>
  <si>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</si>
  <si>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</si>
  <si>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</si>
  <si>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</si>
  <si>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</si>
  <si>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</si>
  <si>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</si>
  <si>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</si>
  <si>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</si>
  <si>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</si>
  <si>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</si>
  <si>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</si>
  <si>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</si>
  <si>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</si>
  <si>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</si>
  <si>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</si>
  <si>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</si>
  <si>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</si>
  <si>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</si>
  <si>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</si>
  <si>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</si>
  <si>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</si>
  <si>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</si>
  <si>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</si>
  <si>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</si>
  <si>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</si>
  <si>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</si>
  <si>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</si>
  <si>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</si>
  <si>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</si>
  <si>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</si>
  <si>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</si>
  <si>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</si>
  <si>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</si>
  <si>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</si>
  <si>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</si>
  <si>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</si>
  <si>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</si>
  <si>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</si>
  <si>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</si>
  <si>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</si>
  <si>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</si>
  <si>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</si>
  <si>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</si>
  <si>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</si>
  <si>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</si>
  <si>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</si>
  <si>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</si>
  <si>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</si>
  <si>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</si>
  <si>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</si>
  <si>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</si>
  <si>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</si>
  <si>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</si>
  <si>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</si>
  <si>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</si>
  <si>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</si>
  <si>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</si>
  <si>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</si>
  <si>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</si>
  <si>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</si>
  <si>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</si>
  <si>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</si>
  <si>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</si>
  <si>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</si>
  <si>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</si>
  <si>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</si>
  <si>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</si>
  <si>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</si>
  <si>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</si>
  <si>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</si>
  <si>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</si>
  <si>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</si>
  <si>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</si>
  <si>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</si>
  <si>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</si>
  <si>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</si>
  <si>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</si>
  <si>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</si>
  <si>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</si>
  <si>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</si>
  <si>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</si>
  <si>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</si>
  <si>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</si>
  <si>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</si>
  <si>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</si>
  <si>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</si>
  <si>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</si>
  <si>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</si>
  <si>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</si>
  <si>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</si>
  <si>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</si>
  <si>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</si>
  <si>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</si>
  <si>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</si>
  <si>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</si>
  <si>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</si>
  <si>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</si>
  <si>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</si>
  <si>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</si>
  <si>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</si>
  <si>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</si>
  <si>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</si>
  <si>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</si>
  <si>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</si>
  <si>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</si>
  <si>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</si>
  <si>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</si>
  <si>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</si>
  <si>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</si>
  <si>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</si>
  <si>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</si>
  <si>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</si>
  <si>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</si>
  <si>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</si>
  <si>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</si>
  <si>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</si>
  <si>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</si>
  <si>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</si>
  <si>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</si>
  <si>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</si>
  <si>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</si>
  <si>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</si>
  <si>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</si>
  <si>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</si>
  <si>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</si>
  <si>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</si>
  <si>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</si>
  <si>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</si>
  <si>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</si>
  <si>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</si>
  <si>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</si>
  <si>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</si>
  <si>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</si>
  <si>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</si>
  <si>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</si>
  <si>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</si>
  <si>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</si>
  <si>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</si>
  <si>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</si>
  <si>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</si>
  <si>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</si>
  <si>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</si>
  <si>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</si>
  <si>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</si>
  <si>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</si>
  <si>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</si>
  <si>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</si>
  <si>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</si>
  <si>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</si>
  <si>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</si>
  <si>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</si>
  <si>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</si>
  <si>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</si>
  <si>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</si>
  <si>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</si>
  <si>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</si>
  <si>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</si>
  <si>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</si>
  <si>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</si>
  <si>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</si>
  <si>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</si>
  <si>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</si>
  <si>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</si>
  <si>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</si>
  <si>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</si>
  <si>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</si>
  <si>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</si>
  <si>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</si>
  <si>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</si>
  <si>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</si>
  <si>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</si>
  <si>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</si>
  <si>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</si>
  <si>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钢混</t>
  </si>
  <si>
    <t>地上</t>
  </si>
  <si>
    <t>七通一平</t>
  </si>
  <si>
    <t>剩余土地使用年限（设定）</t>
  </si>
  <si>
    <t>设定容积率</t>
  </si>
  <si>
    <t>较好</t>
  </si>
  <si>
    <t>居住用地（指二类居住用地）</t>
  </si>
  <si>
    <t>扣毛地价</t>
  </si>
  <si>
    <t>较差</t>
  </si>
  <si>
    <t>市区</t>
  </si>
  <si>
    <t>四环路内</t>
  </si>
  <si>
    <t>好</t>
  </si>
  <si>
    <t>2012-4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</si>
</sst>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164" fillId="0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494124</xdr:colOff>
      <xdr:row>34</xdr:row>
      <xdr:rowOff>27843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09524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0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0"/>
      <c r="B19" s="1790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0"/>
      <c r="B24" s="1790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0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0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0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0"/>
      <c r="B36" s="1790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0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J30" sqref="J30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52.09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12" t="s">
        <v>1788</v>
      </c>
      <c r="J2" s="717"/>
      <c r="AE2" s="712"/>
      <c r="AF2" s="712"/>
    </row>
    <row r="3" spans="1:36" ht="24">
      <c r="A3" s="668" t="s">
        <v>913</v>
      </c>
      <c r="B3" s="1399">
        <f>C18</f>
        <v>14938</v>
      </c>
      <c r="C3" s="713" t="s">
        <v>914</v>
      </c>
      <c r="D3" s="714" t="s">
        <v>253</v>
      </c>
      <c r="E3" s="718" t="s">
        <v>1793</v>
      </c>
      <c r="F3" s="1460" t="s">
        <v>1791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5306</v>
      </c>
      <c r="C4" s="1398" t="s">
        <v>1567</v>
      </c>
      <c r="D4" s="1288"/>
      <c r="E4" s="1289"/>
      <c r="F4" s="1289"/>
      <c r="G4" s="1079"/>
      <c r="H4" s="1290"/>
      <c r="I4" s="659"/>
      <c r="J4" s="717"/>
      <c r="AE4" s="712"/>
      <c r="AF4" s="712"/>
    </row>
    <row r="5" spans="1:36" ht="16.5" thickBot="1">
      <c r="A5" s="707" t="s">
        <v>1566</v>
      </c>
      <c r="B5" s="1397">
        <f>C22</f>
        <v>2122</v>
      </c>
      <c r="C5" s="1400" t="s">
        <v>1568</v>
      </c>
      <c r="D5" s="1310"/>
      <c r="E5" s="1310"/>
      <c r="F5" s="1310"/>
      <c r="G5" s="1310"/>
      <c r="H5" s="1310"/>
      <c r="I5" s="1310"/>
      <c r="J5" s="1311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3660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751">
        <v>1300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5" t="s">
        <v>929</v>
      </c>
      <c r="B9" s="1511" t="s">
        <v>932</v>
      </c>
      <c r="C9" s="1512">
        <f>IF(OR(H9&gt;=DATE(2014,8,28),H9&lt;DATE(2002,12,10)),0,ROUND(I9/F9,4))</f>
        <v>3.6442000000000001</v>
      </c>
      <c r="D9" s="1513" t="s">
        <v>262</v>
      </c>
      <c r="E9" s="1514">
        <v>37257</v>
      </c>
      <c r="F9" s="1515">
        <f>ROUND(SUMIF(地价!B3:F3,E2,地价!B81:F81),0)</f>
        <v>104</v>
      </c>
      <c r="G9" s="1516" t="s">
        <v>263</v>
      </c>
      <c r="H9" s="1517">
        <f>主表!B4</f>
        <v>41232</v>
      </c>
      <c r="I9" s="1518">
        <f>ROUND(SUMPRODUCT((地价!A31:A81=YEAR(H9)&amp;"-"&amp;ROUNDUP(MONTH(H9)/3,0))*(地价!B3:F3=E2)*(地价!B31:F81)),0)</f>
        <v>379</v>
      </c>
      <c r="J9" s="770"/>
      <c r="AE9" s="712"/>
      <c r="AF9" s="712"/>
    </row>
    <row r="10" spans="1:36" ht="24.75" thickBot="1">
      <c r="A10" s="1519" t="s">
        <v>931</v>
      </c>
      <c r="B10" s="1520" t="s">
        <v>199</v>
      </c>
      <c r="C10" s="1521">
        <f>ROUND(POWER(1+E10,H10-G10)*(POWER(1+E10,G10)-1)/(POWER(1+E10,H10)-1),4)</f>
        <v>1</v>
      </c>
      <c r="D10" s="1481" t="s">
        <v>936</v>
      </c>
      <c r="E10" s="1482">
        <v>0.04</v>
      </c>
      <c r="F10" s="1522" t="s">
        <v>1790</v>
      </c>
      <c r="G10" s="1523">
        <f>IF(F10="剩余土地使用年限",主表!B15,主表!B16)</f>
        <v>70</v>
      </c>
      <c r="H10" s="1523">
        <f>IF(E2="住宅/居住",70,IF(E2="商业",40,50))</f>
        <v>70</v>
      </c>
      <c r="I10" s="1510"/>
      <c r="J10" s="1524"/>
      <c r="AE10" s="712"/>
      <c r="AF10" s="712"/>
    </row>
    <row r="11" spans="1:36" ht="15">
      <c r="A11" s="745" t="s">
        <v>933</v>
      </c>
      <c r="B11" s="746" t="s">
        <v>938</v>
      </c>
      <c r="C11" s="1313">
        <f>IF(E2="工业",1,IF(G3&gt;10,D14,IF(D11="郊区",D13,D12)))</f>
        <v>1</v>
      </c>
      <c r="D11" s="1488" t="s">
        <v>1796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7">
        <f>IF(E12=G12,F12,IF(G3&lt;=10,ROUND(F12+(H12-F12)*(G3-E12)/(G12-E12),4),"——"))</f>
        <v>1</v>
      </c>
      <c r="E12" s="1479">
        <f>ROUNDDOWN(G3,1)</f>
        <v>2</v>
      </c>
      <c r="F12" s="1480">
        <f>IF(G3&lt;=10,SUMPRODUCT(('2002容积率修正'!A3:A102=E12)*('2002容积率修正'!B2:D2=E2)*('2002容积率修正'!B3:D102)),"——")</f>
        <v>1</v>
      </c>
      <c r="G12" s="1478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7">
        <f>IF(E12=G12,F12,IF(G3&lt;=10,ROUND(F12+(H12-F12)*(G3-E12)/(G12-E12),4),"——"))</f>
        <v>1</v>
      </c>
      <c r="E13" s="1479">
        <f>ROUNDDOWN(G3,1)</f>
        <v>2</v>
      </c>
      <c r="F13" s="1480">
        <f>IF(G3&lt;=10,SUMPRODUCT(('2002容积率修正'!A3:A102=E13)*('2002容积率修正'!E2:G2=E2)*('2002容积率修正'!E3:G102)),"——")</f>
        <v>0.85</v>
      </c>
      <c r="G13" s="1478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1.1200000000000001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19" t="s">
        <v>1324</v>
      </c>
      <c r="B16" s="1520" t="s">
        <v>1333</v>
      </c>
      <c r="C16" s="1525">
        <v>1</v>
      </c>
      <c r="D16" s="1526" t="s">
        <v>1337</v>
      </c>
      <c r="E16" s="1483" t="s">
        <v>926</v>
      </c>
      <c r="F16" s="1484" t="s">
        <v>1789</v>
      </c>
      <c r="G16" s="1527" t="s">
        <v>928</v>
      </c>
      <c r="H16" s="1528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9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14938</v>
      </c>
      <c r="D18" s="630">
        <f>H1</f>
        <v>52.09</v>
      </c>
      <c r="E18" s="631">
        <f>ROUND(C18*D18,0)</f>
        <v>778120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29877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5306</v>
      </c>
      <c r="D20" s="636">
        <f>H1</f>
        <v>52.09</v>
      </c>
      <c r="E20" s="637">
        <f>ROUND(C20*D20,0)</f>
        <v>276390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10612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0" t="s">
        <v>1348</v>
      </c>
      <c r="B22" s="775"/>
      <c r="C22" s="1565">
        <f>ROUND(IF(D22="四环路内",C20*0.4,C20*0.6),0)</f>
        <v>2122</v>
      </c>
      <c r="D22" s="776" t="s">
        <v>1797</v>
      </c>
      <c r="E22" s="777"/>
      <c r="F22" s="777"/>
      <c r="G22" s="777"/>
      <c r="H22" s="777"/>
      <c r="I22" s="777"/>
      <c r="J22" s="1531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44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5" t="s">
        <v>1491</v>
      </c>
      <c r="C25" s="1459" t="s">
        <v>1799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6"/>
      <c r="C26" s="1409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09">
        <f>'地价（废）'!M2</f>
        <v>1.77E-2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09">
        <f>'地价（废）'!N2</f>
        <v>1.77E-2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1.9800000000000002E-2</v>
      </c>
      <c r="C29" s="1409">
        <f>'地价（废）'!O2</f>
        <v>1.9800000000000002E-2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1.9199999999999998E-2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 hidden="1">
      <c r="A45" s="247" t="s">
        <v>898</v>
      </c>
      <c r="B45" s="1537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8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 hidden="1">
      <c r="A54" s="247" t="s">
        <v>898</v>
      </c>
      <c r="B54" s="1537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8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1.1200000000000001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1792</v>
      </c>
      <c r="D60" s="490">
        <f t="shared" ref="D60:D67" si="7">SUMIF($F$59:$J$59,C60,F60:J60)</f>
        <v>1.2500000000000001E-2</v>
      </c>
      <c r="E60" s="253">
        <f>SUM(D60:D67)</f>
        <v>0.12000000000000001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1792</v>
      </c>
      <c r="D61" s="490">
        <f t="shared" si="7"/>
        <v>2.5000000000000001E-2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1792</v>
      </c>
      <c r="D62" s="490">
        <f t="shared" si="7"/>
        <v>1.2500000000000001E-2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1795</v>
      </c>
      <c r="D63" s="490">
        <f t="shared" si="7"/>
        <v>-7.4999999999999997E-3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8" t="s">
        <v>1737</v>
      </c>
      <c r="C64" s="795" t="s">
        <v>1792</v>
      </c>
      <c r="D64" s="490">
        <f t="shared" si="7"/>
        <v>0.01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1798</v>
      </c>
      <c r="D65" s="490">
        <f t="shared" si="7"/>
        <v>0.03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1792</v>
      </c>
      <c r="D66" s="490">
        <f t="shared" si="7"/>
        <v>2.5000000000000001E-2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1792</v>
      </c>
      <c r="D67" s="490">
        <f t="shared" si="7"/>
        <v>1.2500000000000001E-2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8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G17" sqref="G17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7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0" t="s">
        <v>1424</v>
      </c>
      <c r="E2" s="182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1"/>
      <c r="E3" s="182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1"/>
      <c r="E4" s="182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2"/>
      <c r="E5" s="182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4"/>
      <c r="C6" s="703"/>
      <c r="D6" s="1830" t="s">
        <v>1425</v>
      </c>
      <c r="E6" s="182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7" t="s">
        <v>1433</v>
      </c>
      <c r="B7" s="1348" t="str">
        <f>LEFT(主表!B10,1)&amp;"类"</f>
        <v>三类</v>
      </c>
      <c r="C7" s="703"/>
      <c r="D7" s="1831"/>
      <c r="E7" s="182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0"/>
      <c r="C8" s="703"/>
      <c r="D8" s="1832"/>
      <c r="E8" s="182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52.09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30" t="s">
        <v>1403</v>
      </c>
      <c r="E10" s="182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3" t="s">
        <v>1219</v>
      </c>
      <c r="B11" s="702" t="e">
        <f>IF(A11="容积率",主表!B8,主表!B9)</f>
        <v>#DIV/0!</v>
      </c>
      <c r="C11" s="703"/>
      <c r="D11" s="1833"/>
      <c r="E11" s="182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3" t="s">
        <v>915</v>
      </c>
      <c r="B14" s="1354" t="s">
        <v>1427</v>
      </c>
      <c r="C14" s="1355"/>
      <c r="D14" s="1356">
        <f>SUMPRODUCT((D35:M35=B7)*(B36:B39=B6)*(D36:M39))</f>
        <v>0</v>
      </c>
      <c r="E14" s="1357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1" t="s">
        <v>1446</v>
      </c>
      <c r="B15" s="1349" t="s">
        <v>1411</v>
      </c>
      <c r="C15" s="1350">
        <f>IF(B5="住宅/居住",C16+C17,C16)</f>
        <v>0</v>
      </c>
      <c r="D15" s="1351"/>
      <c r="E15" s="1352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5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5"/>
      <c r="D17" s="1356">
        <f>SUMPRODUCT((D35:M35=B7)*(B44:B46=B17)*(D44:M46))</f>
        <v>150</v>
      </c>
      <c r="E17" s="1357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0" t="s">
        <v>1447</v>
      </c>
      <c r="B18" s="1391" t="s">
        <v>1431</v>
      </c>
      <c r="C18" s="1392">
        <f>IF(B8="城镇拆迁",C19*IF(F19="居民住宅",1,IF(F19="企业事业单位",2,4)),C20)</f>
        <v>0</v>
      </c>
      <c r="D18" s="1393"/>
      <c r="E18" s="1394"/>
      <c r="F18" s="361"/>
      <c r="G18" s="361"/>
      <c r="H18" s="658"/>
      <c r="I18" s="659"/>
      <c r="J18" s="366"/>
      <c r="AE18" s="477"/>
      <c r="AF18" s="477"/>
    </row>
    <row r="19" spans="1:37" ht="15.75">
      <c r="A19" s="1387"/>
      <c r="B19" s="1388" t="s">
        <v>1430</v>
      </c>
      <c r="C19" s="1389"/>
      <c r="D19" s="635">
        <f>SUMPRODUCT((D35:M35=B7)*(B44:B46=B19)*(D44:M46))</f>
        <v>5900</v>
      </c>
      <c r="E19" s="635">
        <f>SUMPRODUCT((D35:M35=B7)*(B47:B49=B19)*(D47:M49))</f>
        <v>7800</v>
      </c>
      <c r="F19" s="1378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7"/>
      <c r="B20" s="1374" t="s">
        <v>1562</v>
      </c>
      <c r="C20" s="1375"/>
      <c r="D20" s="1376">
        <f>SUMPRODUCT((D35:M35=B7)*(B50:B51=F20)*(D50:M51))</f>
        <v>150</v>
      </c>
      <c r="E20" s="1356">
        <f>SUMPRODUCT((D35:M35=B7)*(B52:B53=F20)*(D52:M53))</f>
        <v>450</v>
      </c>
      <c r="F20" s="1379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2" t="s">
        <v>1560</v>
      </c>
      <c r="B21" s="1363" t="s">
        <v>938</v>
      </c>
      <c r="C21" s="1364" t="e">
        <f>IF(B11&lt;1,1,SUMIF(B55:K55,ROUNDDOWN(B11,0),B56:K56)+(SUMIF(B55:K55,ROUNDUP(B11,0),B56:K56)-SUMIF(B55:K55,ROUNDDOWN(B11,0),B56:K56))*(B11-ROUNDDOWN(B11,0)))</f>
        <v>#DIV/0!</v>
      </c>
      <c r="D21" s="1365"/>
      <c r="E21" s="1366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8" t="s">
        <v>1561</v>
      </c>
      <c r="B22" s="1349" t="s">
        <v>199</v>
      </c>
      <c r="C22" s="1359">
        <f ca="1">ROUND(POWER(1+C23,C25-C24)*(POWER(1+C23,C24)-1)/(POWER(1+C23,C25)-1),4)</f>
        <v>0.9577</v>
      </c>
      <c r="D22" s="1360"/>
      <c r="E22" s="1361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5.2000000000000005E-2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2" t="s">
        <v>1634</v>
      </c>
      <c r="C24" s="621">
        <f>IF(B24="剩余土地使用年限",主表!B15,主表!B16)</f>
        <v>52.5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0"/>
      <c r="B25" s="1371" t="s">
        <v>1445</v>
      </c>
      <c r="C25" s="1356">
        <f>IF(B5="住宅/居住",70,IF(B5="商业",40,50))</f>
        <v>70</v>
      </c>
      <c r="D25" s="1372"/>
      <c r="E25" s="1373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2" t="s">
        <v>940</v>
      </c>
      <c r="B26" s="1367" t="s">
        <v>943</v>
      </c>
      <c r="C26" s="1368" t="s">
        <v>947</v>
      </c>
      <c r="D26" s="1368" t="s">
        <v>1340</v>
      </c>
      <c r="E26" s="1369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52.09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52.09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48"/>
      <c r="M4" s="449"/>
      <c r="N4" s="449"/>
      <c r="O4" s="449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227</v>
      </c>
      <c r="D5" s="1840"/>
      <c r="E5" s="1863" t="s">
        <v>228</v>
      </c>
      <c r="F5" s="1864"/>
      <c r="G5" s="1839" t="s">
        <v>231</v>
      </c>
      <c r="H5" s="1840"/>
      <c r="I5" s="1839" t="s">
        <v>229</v>
      </c>
      <c r="J5" s="1840"/>
      <c r="K5" s="142"/>
      <c r="L5" s="448"/>
      <c r="M5" s="449"/>
      <c r="N5" s="449"/>
      <c r="O5" s="449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230</v>
      </c>
      <c r="D6" s="1837"/>
      <c r="E6" s="1834" t="s">
        <v>230</v>
      </c>
      <c r="F6" s="1835"/>
      <c r="G6" s="1836" t="s">
        <v>230</v>
      </c>
      <c r="H6" s="1837"/>
      <c r="I6" s="1836" t="s">
        <v>230</v>
      </c>
      <c r="J6" s="1837"/>
      <c r="K6" s="142" t="s">
        <v>97</v>
      </c>
      <c r="L6" s="448"/>
      <c r="M6" s="449"/>
      <c r="N6" s="449"/>
      <c r="O6" s="449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45">
        <f>主表!B4</f>
        <v>41232</v>
      </c>
      <c r="D7" s="47">
        <v>100</v>
      </c>
      <c r="E7" s="149"/>
      <c r="F7" s="1137">
        <f>IF(E7&lt;C7,100-K7*DATEDIF(E7,C7,"m"),100+K7*DATEDIF(C7,E7,"m"))</f>
        <v>100</v>
      </c>
      <c r="G7" s="150"/>
      <c r="H7" s="113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3">
        <v>0</v>
      </c>
      <c r="D10" s="24">
        <v>100</v>
      </c>
      <c r="E10" s="1489"/>
      <c r="F10" s="24">
        <v>100</v>
      </c>
      <c r="G10" s="1316"/>
      <c r="H10" s="24">
        <v>100</v>
      </c>
      <c r="I10" s="1316"/>
      <c r="J10" s="24">
        <v>100</v>
      </c>
      <c r="K10" s="160"/>
      <c r="L10" s="453"/>
      <c r="M10" s="454"/>
      <c r="N10" s="454"/>
      <c r="O10" s="455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2" t="s">
        <v>1219</v>
      </c>
      <c r="C11" s="103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4"/>
      <c r="B12" s="1040" t="s">
        <v>1532</v>
      </c>
      <c r="C12" s="1065" t="str">
        <f>主表!B10</f>
        <v>三级</v>
      </c>
      <c r="D12" s="1066">
        <v>100</v>
      </c>
      <c r="E12" s="1067"/>
      <c r="F12" s="25">
        <f>SUMIF(70:70,E12,71:71)-SUMIF(70:70,C12,71:71)+100</f>
        <v>0</v>
      </c>
      <c r="G12" s="1067"/>
      <c r="H12" s="25">
        <f>SUMIF(70:70,G12,71:71)-SUMIF(70:70,C12,71:71)+100</f>
        <v>0</v>
      </c>
      <c r="I12" s="1067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7">
        <v>111</v>
      </c>
      <c r="C13" s="1062">
        <v>111</v>
      </c>
      <c r="D13" s="61">
        <v>100</v>
      </c>
      <c r="E13" s="1317"/>
      <c r="F13" s="1063">
        <f>SUMIF(72:72,E13,73:73)-SUMIF(72:72,C13,73:73)+100</f>
        <v>0</v>
      </c>
      <c r="G13" s="1334"/>
      <c r="H13" s="61">
        <f>SUMIF(72:72,G13,73:73)-SUMIF(72:72,C13,73:73)+100</f>
        <v>0</v>
      </c>
      <c r="I13" s="1334"/>
      <c r="J13" s="61">
        <f>SUMIF(72:72,I13,73:73)-SUMIF(72:72,C13,73:73)+100</f>
        <v>0</v>
      </c>
      <c r="K13" s="1341"/>
      <c r="L13" s="458"/>
      <c r="M13" s="449"/>
      <c r="N13" s="449"/>
      <c r="O13" s="457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1">
        <v>111</v>
      </c>
      <c r="C14" s="1042">
        <v>111</v>
      </c>
      <c r="D14" s="58">
        <v>100</v>
      </c>
      <c r="E14" s="1318"/>
      <c r="F14" s="58">
        <f>SUMIF(74:74,E14,75:75)-SUMIF(74:74,C14,75:75)+100</f>
        <v>0</v>
      </c>
      <c r="G14" s="1335"/>
      <c r="H14" s="58">
        <f>SUMIF(74:74,G14,75:75)-SUMIF(74:74,C14,75:75)+100</f>
        <v>0</v>
      </c>
      <c r="I14" s="1335"/>
      <c r="J14" s="58">
        <f>SUMIF(74:74,I14,75:75)-SUMIF(74:74,C14,75:75)+100</f>
        <v>0</v>
      </c>
      <c r="K14" s="1341"/>
      <c r="L14" s="458"/>
      <c r="M14" s="449"/>
      <c r="N14" s="449"/>
      <c r="O14" s="457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3" t="s">
        <v>86</v>
      </c>
      <c r="C15" s="104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9"/>
      <c r="F15" s="60">
        <f>SUMIF(76:76,E16,77:77)-SUMIF(76:76,C16,77:77)+100</f>
        <v>0</v>
      </c>
      <c r="G15" s="1319"/>
      <c r="H15" s="60">
        <f>SUMIF(76:76,G16,77:77)-SUMIF(76:76,C16,77:77)+100</f>
        <v>0</v>
      </c>
      <c r="I15" s="1337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4"/>
      <c r="C16" s="1054" t="s">
        <v>15</v>
      </c>
      <c r="D16" s="61"/>
      <c r="E16" s="1320"/>
      <c r="F16" s="61"/>
      <c r="G16" s="1324"/>
      <c r="H16" s="62"/>
      <c r="I16" s="1324"/>
      <c r="J16" s="61"/>
      <c r="K16" s="1341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5" t="s">
        <v>126</v>
      </c>
      <c r="C17" s="1049" t="str">
        <f>估价对象房地状况!C4</f>
        <v>估价对象位于XX商圈，周边商业氛围成熟，人流量大，商业繁华度好</v>
      </c>
      <c r="D17" s="62">
        <v>100</v>
      </c>
      <c r="E17" s="1321"/>
      <c r="F17" s="62">
        <f>SUMIF(78:78,E18,79:79)-SUMIF(78:78,C18,79:79)+100</f>
        <v>0</v>
      </c>
      <c r="G17" s="1321"/>
      <c r="H17" s="63">
        <f>SUMIF(78:78,G18,79:79)-SUMIF(78:78,C18,79:79)+100</f>
        <v>0</v>
      </c>
      <c r="I17" s="1336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6" t="s">
        <v>15</v>
      </c>
      <c r="D18" s="62"/>
      <c r="E18" s="1322"/>
      <c r="F18" s="62"/>
      <c r="G18" s="1322"/>
      <c r="H18" s="61"/>
      <c r="I18" s="1322"/>
      <c r="J18" s="61"/>
      <c r="K18" s="1341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5" t="s">
        <v>128</v>
      </c>
      <c r="C19" s="1049" t="str">
        <f>估价对象房地状况!C5</f>
        <v>估价对象位于XX商圈，周边办公楼项目较多，入驻率高，办公集聚程度较好</v>
      </c>
      <c r="D19" s="63">
        <v>100</v>
      </c>
      <c r="E19" s="1323"/>
      <c r="F19" s="63">
        <f>SUMIF(80:80,E20,81:81)-SUMIF(80:80,C20,81:81)+100</f>
        <v>0</v>
      </c>
      <c r="G19" s="1323"/>
      <c r="H19" s="62">
        <f>SUMIF(80:80,G20,81:81)-SUMIF(80:80,C20,81:81)+100</f>
        <v>0</v>
      </c>
      <c r="I19" s="1338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4" t="s">
        <v>15</v>
      </c>
      <c r="D20" s="61"/>
      <c r="E20" s="1324"/>
      <c r="F20" s="61"/>
      <c r="G20" s="1324"/>
      <c r="H20" s="61"/>
      <c r="I20" s="1324"/>
      <c r="J20" s="61"/>
      <c r="K20" s="1341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5" t="s">
        <v>131</v>
      </c>
      <c r="C21" s="1050" t="str">
        <f>估价对象房地状况!C6</f>
        <v>估价对象周边道路状况、公共交通通达情况、停车便捷程度，综合评价交通便捷度较好</v>
      </c>
      <c r="D21" s="62">
        <v>100</v>
      </c>
      <c r="E21" s="1321"/>
      <c r="F21" s="63">
        <f>SUMIF(82:82,E22,83:83)-SUMIF(82:82,C22,83:83)+100</f>
        <v>0</v>
      </c>
      <c r="G21" s="1321"/>
      <c r="H21" s="62">
        <f>SUMIF(82:82,G22,83:83)-SUMIF(82:82,C22,83:83)+100</f>
        <v>0</v>
      </c>
      <c r="I21" s="1336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6"/>
      <c r="C22" s="1054" t="s">
        <v>15</v>
      </c>
      <c r="D22" s="62"/>
      <c r="E22" s="1324"/>
      <c r="F22" s="61"/>
      <c r="G22" s="1324"/>
      <c r="H22" s="61"/>
      <c r="I22" s="1324"/>
      <c r="J22" s="61"/>
      <c r="K22" s="1341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5" t="s">
        <v>134</v>
      </c>
      <c r="C23" s="1051" t="str">
        <f>估价对象房地状况!C7</f>
        <v>零星有其他用地，基本不影响本宗地</v>
      </c>
      <c r="D23" s="63">
        <v>100</v>
      </c>
      <c r="E23" s="1321"/>
      <c r="F23" s="63">
        <f>SUMIF(84:84,E24,85:85)-SUMIF(84:84,C24,85:85)+100</f>
        <v>0</v>
      </c>
      <c r="G23" s="1336"/>
      <c r="H23" s="63">
        <f>SUMIF(84:84,G24,85:85)-SUMIF(84:84,C24,85:85)+100</f>
        <v>0</v>
      </c>
      <c r="I23" s="1336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4" t="s">
        <v>15</v>
      </c>
      <c r="D24" s="1052"/>
      <c r="E24" s="1325"/>
      <c r="F24" s="61"/>
      <c r="G24" s="1325"/>
      <c r="H24" s="61"/>
      <c r="I24" s="1325"/>
      <c r="J24" s="61"/>
      <c r="K24" s="1341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6" t="s">
        <v>135</v>
      </c>
      <c r="C25" s="1053" t="str">
        <f>估价对象房地状况!C8</f>
        <v>区域自然环境：；人文环境；综合评价环境状况一般</v>
      </c>
      <c r="D25" s="62">
        <v>100</v>
      </c>
      <c r="E25" s="1321"/>
      <c r="F25" s="62">
        <f>SUMIF(86:86,E26,87:87)-SUMIF(86:86,C26,87:87)+100</f>
        <v>0</v>
      </c>
      <c r="G25" s="1321"/>
      <c r="H25" s="62">
        <f>SUMIF(86:86,G26,87:87)-SUMIF(86:86,C26,87:87)+100</f>
        <v>0</v>
      </c>
      <c r="I25" s="1336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4" t="s">
        <v>15</v>
      </c>
      <c r="D26" s="61"/>
      <c r="E26" s="1325"/>
      <c r="F26" s="61"/>
      <c r="G26" s="1325"/>
      <c r="H26" s="61"/>
      <c r="I26" s="1325"/>
      <c r="J26" s="61"/>
      <c r="K26" s="1341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7" t="s">
        <v>1198</v>
      </c>
      <c r="C27" s="1050" t="str">
        <f>估价对象房地状况!C9</f>
        <v>估价对象所在区域公共配套设施齐备情况</v>
      </c>
      <c r="D27" s="62">
        <v>100</v>
      </c>
      <c r="E27" s="1321"/>
      <c r="F27" s="62">
        <f>SUMIF(88:88,E28,89:89)-SUMIF(88:88,C28,89:89)+100</f>
        <v>0</v>
      </c>
      <c r="G27" s="1321"/>
      <c r="H27" s="62">
        <f>SUMIF(88:88,G28,89:89)-SUMIF(88:88,C28,89:89)+100</f>
        <v>0</v>
      </c>
      <c r="I27" s="1336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7" t="s">
        <v>15</v>
      </c>
      <c r="D28" s="61"/>
      <c r="E28" s="1326"/>
      <c r="F28" s="61"/>
      <c r="G28" s="1326"/>
      <c r="H28" s="61"/>
      <c r="I28" s="1326"/>
      <c r="J28" s="61"/>
      <c r="K28" s="1341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7" t="s">
        <v>1199</v>
      </c>
      <c r="C29" s="1050" t="str">
        <f>估价对象房地状况!C10</f>
        <v>估价对象所在区域基础设施水平</v>
      </c>
      <c r="D29" s="62">
        <v>100</v>
      </c>
      <c r="E29" s="1321"/>
      <c r="F29" s="62">
        <f>SUMIF(90:90,E30,91:91)-SUMIF(90:90,C30,91:91)+100</f>
        <v>0</v>
      </c>
      <c r="G29" s="1321"/>
      <c r="H29" s="62">
        <f>SUMIF(90:90,G30,91:91)-SUMIF(90:90,C30,91:91)+100</f>
        <v>0</v>
      </c>
      <c r="I29" s="1336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7" t="s">
        <v>5</v>
      </c>
      <c r="D30" s="61"/>
      <c r="E30" s="1326"/>
      <c r="F30" s="61"/>
      <c r="G30" s="1326"/>
      <c r="H30" s="61"/>
      <c r="I30" s="1326"/>
      <c r="J30" s="61"/>
      <c r="K30" s="1341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8" t="s">
        <v>29</v>
      </c>
      <c r="D31" s="56">
        <v>100</v>
      </c>
      <c r="E31" s="1327"/>
      <c r="F31" s="56">
        <f>SUMIF(92:92,E31,93:93)-SUMIF(92:92,C31,93:93)+100</f>
        <v>0</v>
      </c>
      <c r="G31" s="1327"/>
      <c r="H31" s="56">
        <f>SUMIF(92:92,G31,93:93)-SUMIF(92:92,C31,93:93)+100</f>
        <v>0</v>
      </c>
      <c r="I31" s="1327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6" t="s">
        <v>129</v>
      </c>
      <c r="C32" s="1055" t="s">
        <v>136</v>
      </c>
      <c r="D32" s="62">
        <v>100</v>
      </c>
      <c r="E32" s="1321"/>
      <c r="F32" s="62">
        <f>SUMIF(94:94,E33,95:95)-SUMIF(94:94,C33,95:95)+100</f>
        <v>0</v>
      </c>
      <c r="G32" s="1321"/>
      <c r="H32" s="62">
        <f>SUMIF(94:94,G33,95:95)-SUMIF(94:94,C33,95:95)+100</f>
        <v>0</v>
      </c>
      <c r="I32" s="1336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4" t="s">
        <v>21</v>
      </c>
      <c r="D33" s="61"/>
      <c r="E33" s="1325"/>
      <c r="F33" s="61"/>
      <c r="G33" s="1325"/>
      <c r="H33" s="61"/>
      <c r="I33" s="1325"/>
      <c r="J33" s="61"/>
      <c r="K33" s="1342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8"/>
      <c r="D34" s="56">
        <v>100</v>
      </c>
      <c r="E34" s="1328"/>
      <c r="F34" s="56">
        <f>SUMIF(96:96,E34,97:97)-SUMIF(96:96,C34,97:97)+100</f>
        <v>100</v>
      </c>
      <c r="G34" s="1328"/>
      <c r="H34" s="56">
        <f>SUMIF(96:96,G34,97:97)-SUMIF(96:96,C34,97:97)+100</f>
        <v>100</v>
      </c>
      <c r="I34" s="1327"/>
      <c r="J34" s="56">
        <f>SUMIF(96:96,I34,97:97)-SUMIF(96:96,C34,97:97)+100</f>
        <v>100</v>
      </c>
      <c r="K34" s="1343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9">
        <v>111</v>
      </c>
      <c r="C35" s="1060">
        <v>111</v>
      </c>
      <c r="D35" s="56">
        <v>100</v>
      </c>
      <c r="E35" s="1329"/>
      <c r="F35" s="56">
        <f>SUMIF(98:98,E35,99:99)-SUMIF(98:98,C35,99:99)+100</f>
        <v>0</v>
      </c>
      <c r="G35" s="1329"/>
      <c r="H35" s="56">
        <f>SUMIF(98:98,G35,99:99)-SUMIF(98:98,C35,99:99)+100</f>
        <v>0</v>
      </c>
      <c r="I35" s="1339"/>
      <c r="J35" s="56">
        <f>SUMIF(98:98,I35,99:99)-SUMIF(98:98,C35,99:99)+100</f>
        <v>0</v>
      </c>
      <c r="K35" s="1342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8">
        <v>111</v>
      </c>
      <c r="C36" s="1061">
        <v>111</v>
      </c>
      <c r="D36" s="63">
        <v>100</v>
      </c>
      <c r="E36" s="1330"/>
      <c r="F36" s="63">
        <f>SUMIF(100:100,E37,101:101)-SUMIF(100:100,C37,101:101)+100</f>
        <v>100</v>
      </c>
      <c r="G36" s="1330"/>
      <c r="H36" s="63">
        <f>SUMIF(100:100,G36,101:101)-SUMIF(100:100,C36,101:101)+100</f>
        <v>0</v>
      </c>
      <c r="I36" s="1340"/>
      <c r="J36" s="63">
        <f>SUMIF(100:100,I36,101:101)-SUMIF(100:100,C36,101:101)+100</f>
        <v>0</v>
      </c>
      <c r="K36" s="1342"/>
      <c r="L36" s="458"/>
      <c r="M36" s="449"/>
      <c r="N36" s="449"/>
      <c r="O36" s="457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3" t="s">
        <v>1545</v>
      </c>
      <c r="B37" s="1070"/>
      <c r="C37" s="1122"/>
      <c r="D37" s="47">
        <v>100</v>
      </c>
      <c r="E37" s="1122"/>
      <c r="F37" s="1069">
        <f>SUMIF(102:102,E37,103:103)-SUMIF(102:102,C37,103:103)+100</f>
        <v>100</v>
      </c>
      <c r="G37" s="1122"/>
      <c r="H37" s="1069">
        <f>SUMIF(102:102,G37,103:103)-SUMIF(102:102,C37,103:103)+100</f>
        <v>100</v>
      </c>
      <c r="I37" s="1122"/>
      <c r="J37" s="1069">
        <f>SUMIF(102:102,I37,103:103)-SUMIF(102:102,C37,103:103)+100</f>
        <v>100</v>
      </c>
      <c r="K37" s="161"/>
      <c r="L37" s="456"/>
      <c r="M37" s="459"/>
      <c r="N37" s="459"/>
      <c r="O37" s="460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4"/>
      <c r="D38" s="61">
        <v>100</v>
      </c>
      <c r="E38" s="1319"/>
      <c r="F38" s="61">
        <f>LOOKUP(E38,105:105,106:106)-LOOKUP(C38,105:105,106:106)+100</f>
        <v>100</v>
      </c>
      <c r="G38" s="1319"/>
      <c r="H38" s="61">
        <f>LOOKUP(G38,105:105,106:106)-LOOKUP(C38,105:105,106:106)+100</f>
        <v>100</v>
      </c>
      <c r="I38" s="1319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1"/>
      <c r="D39" s="56">
        <v>100</v>
      </c>
      <c r="E39" s="1331"/>
      <c r="F39" s="56">
        <f>SUMIF(107:107,E39,108:108)-SUMIF(107:107,C39,108:108)+100</f>
        <v>100</v>
      </c>
      <c r="G39" s="1331"/>
      <c r="H39" s="56">
        <f>SUMIF(107:107,G39,108:108)-SUMIF(107:107,C39,108:108)+100</f>
        <v>100</v>
      </c>
      <c r="I39" s="1331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1"/>
      <c r="D40" s="56">
        <v>100</v>
      </c>
      <c r="E40" s="1331"/>
      <c r="F40" s="56">
        <f>SUMIF(109:109,E40,110:110)-SUMIF(109:109,C40,110:110)+100</f>
        <v>100</v>
      </c>
      <c r="G40" s="1331"/>
      <c r="H40" s="56">
        <f>SUMIF(109:109,G40,110:110)-SUMIF(109:109,C40,110:110)+100</f>
        <v>100</v>
      </c>
      <c r="I40" s="1331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2"/>
      <c r="D41" s="24">
        <v>100</v>
      </c>
      <c r="E41" s="1332"/>
      <c r="F41" s="56">
        <f>SUMIF(111:111,E41,112:112)-SUMIF(111:111,C41,112:112)+100</f>
        <v>100</v>
      </c>
      <c r="G41" s="1332"/>
      <c r="H41" s="56">
        <f>SUMIF(111:111,G41,112:112)-SUMIF(111:111,C41,112:112)+100</f>
        <v>100</v>
      </c>
      <c r="I41" s="1332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1"/>
      <c r="D42" s="56">
        <v>100</v>
      </c>
      <c r="E42" s="1331"/>
      <c r="F42" s="56">
        <f>SUMIF(113:113,E42,114:114)-SUMIF(113:113,C42,114:114)+100</f>
        <v>100</v>
      </c>
      <c r="G42" s="1331"/>
      <c r="H42" s="56">
        <f>SUMIF(113:113,G42,114:114)-SUMIF(113:113,C42,114:114)+100</f>
        <v>100</v>
      </c>
      <c r="I42" s="1331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1">
        <v>111</v>
      </c>
      <c r="C43" s="1333"/>
      <c r="D43" s="56">
        <v>100</v>
      </c>
      <c r="E43" s="1333"/>
      <c r="F43" s="56">
        <f>SUMIF(115:115,E43,116:116)-SUMIF(115:115,C43,116:116)+100</f>
        <v>100</v>
      </c>
      <c r="G43" s="1333"/>
      <c r="H43" s="56">
        <f>SUMIF(115:115,G43,116:116)-SUMIF(115:115,C43,116:116)+100</f>
        <v>100</v>
      </c>
      <c r="I43" s="1333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1">
        <v>111</v>
      </c>
      <c r="C44" s="1333"/>
      <c r="D44" s="56">
        <v>100</v>
      </c>
      <c r="E44" s="1333"/>
      <c r="F44" s="56">
        <f>SUMIF(117:117,E44,118:118)-SUMIF(117:117,C44,118:118)+100</f>
        <v>100</v>
      </c>
      <c r="G44" s="1333"/>
      <c r="H44" s="56">
        <f>SUMIF(117:117,G44,118:118)-SUMIF(117:117,C44,118:118)+100</f>
        <v>100</v>
      </c>
      <c r="I44" s="1333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4" t="s">
        <v>1547</v>
      </c>
      <c r="B45" s="1072"/>
      <c r="C45" s="1122"/>
      <c r="D45" s="1123">
        <v>100</v>
      </c>
      <c r="E45" s="1122"/>
      <c r="F45" s="58">
        <f>SUMIF(119:119,E45,120:120)-SUMIF(119:119,C45,120:120)+100</f>
        <v>100</v>
      </c>
      <c r="G45" s="1122"/>
      <c r="H45" s="58">
        <f>SUMIF(119:119,G45,120:120)-SUMIF(119:119,C45,120:120)+100</f>
        <v>100</v>
      </c>
      <c r="I45" s="1122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54" t="str">
        <f>"估价对象比较价值（"&amp;B46&amp;"，元/平方米）"</f>
        <v>估价对象比较价值（单价内涵，元/平方米）</v>
      </c>
      <c r="B48" s="115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2012-11-1</v>
      </c>
      <c r="D56" s="1534">
        <f>EDATE(C56,-3)</f>
        <v>41122</v>
      </c>
      <c r="E56" s="1534">
        <f t="shared" ref="E56:O56" si="15">EDATE(D56,-3)</f>
        <v>41030</v>
      </c>
      <c r="F56" s="1534">
        <f t="shared" si="15"/>
        <v>40940</v>
      </c>
      <c r="G56" s="1534">
        <f t="shared" si="15"/>
        <v>40848</v>
      </c>
      <c r="H56" s="1534">
        <f t="shared" si="15"/>
        <v>40756</v>
      </c>
      <c r="I56" s="1534">
        <f t="shared" si="15"/>
        <v>40664</v>
      </c>
      <c r="J56" s="1534">
        <f t="shared" si="15"/>
        <v>40575</v>
      </c>
      <c r="K56" s="1534">
        <f t="shared" si="15"/>
        <v>40483</v>
      </c>
      <c r="L56" s="1534">
        <f t="shared" si="15"/>
        <v>40391</v>
      </c>
      <c r="M56" s="1534">
        <f t="shared" si="15"/>
        <v>40299</v>
      </c>
      <c r="N56" s="1534">
        <f t="shared" si="15"/>
        <v>40210</v>
      </c>
      <c r="O56" s="1534">
        <f t="shared" si="15"/>
        <v>40118</v>
      </c>
    </row>
    <row r="57" spans="1:17" ht="21.75" thickBot="1">
      <c r="A57" s="1146" t="s">
        <v>113</v>
      </c>
      <c r="B57" s="1147"/>
      <c r="C57" s="1148"/>
      <c r="D57" s="1148"/>
      <c r="E57" s="1148"/>
      <c r="F57" s="1149"/>
      <c r="G57" s="1149"/>
      <c r="H57" s="1148"/>
      <c r="I57" s="1150"/>
      <c r="J57" s="1150"/>
      <c r="K57" s="1151"/>
      <c r="L57" s="1152"/>
      <c r="M57" s="1150"/>
      <c r="N57" s="475"/>
      <c r="O57" s="475"/>
      <c r="P57" s="86"/>
      <c r="Q57" s="87"/>
    </row>
    <row r="58" spans="1:17" s="1142" customFormat="1" ht="15">
      <c r="A58" s="88" t="s">
        <v>98</v>
      </c>
      <c r="B58" s="89"/>
      <c r="C58" s="1533" t="str">
        <f>YEAR(C56)&amp;"-"&amp;ROUNDUP(MONTH(C56)/3,0)</f>
        <v>2012-4</v>
      </c>
      <c r="D58" s="1533" t="str">
        <f t="shared" ref="D58:O58" si="16">YEAR(D56)&amp;"-"&amp;ROUNDUP(MONTH(D56)/3,0)</f>
        <v>2012-3</v>
      </c>
      <c r="E58" s="1533" t="str">
        <f t="shared" si="16"/>
        <v>2012-2</v>
      </c>
      <c r="F58" s="1533" t="str">
        <f t="shared" si="16"/>
        <v>2012-1</v>
      </c>
      <c r="G58" s="1533" t="str">
        <f t="shared" si="16"/>
        <v>2011-4</v>
      </c>
      <c r="H58" s="1533" t="str">
        <f t="shared" si="16"/>
        <v>2011-3</v>
      </c>
      <c r="I58" s="1533" t="str">
        <f t="shared" si="16"/>
        <v>2011-2</v>
      </c>
      <c r="J58" s="1533" t="str">
        <f t="shared" si="16"/>
        <v>2011-1</v>
      </c>
      <c r="K58" s="1533" t="str">
        <f t="shared" si="16"/>
        <v>2010-4</v>
      </c>
      <c r="L58" s="1533" t="str">
        <f t="shared" si="16"/>
        <v>2010-3</v>
      </c>
      <c r="M58" s="1533" t="str">
        <f t="shared" si="16"/>
        <v>2010-2</v>
      </c>
      <c r="N58" s="1533" t="str">
        <f t="shared" si="16"/>
        <v>2010-1</v>
      </c>
      <c r="O58" s="1533" t="str">
        <f t="shared" si="16"/>
        <v>2009-4</v>
      </c>
      <c r="P58" s="1141"/>
    </row>
    <row r="59" spans="1:17" s="108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9"/>
      <c r="N59" s="92"/>
      <c r="O59" s="1540"/>
      <c r="P59" s="1077"/>
    </row>
    <row r="60" spans="1:17" s="1081" customFormat="1" ht="15.75" thickBot="1">
      <c r="A60" s="94" t="s">
        <v>114</v>
      </c>
      <c r="B60" s="95"/>
      <c r="C60" s="1143"/>
      <c r="D60" s="1144"/>
      <c r="E60" s="1144"/>
      <c r="F60" s="1144"/>
      <c r="G60" s="1144"/>
      <c r="H60" s="1144"/>
      <c r="I60" s="1144"/>
      <c r="J60" s="1144"/>
      <c r="K60" s="1144"/>
      <c r="L60" s="1144"/>
      <c r="M60" s="1145"/>
      <c r="N60" s="1144"/>
      <c r="O60" s="1532"/>
      <c r="P60" s="1077"/>
      <c r="Q60" s="107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8" t="s">
        <v>1533</v>
      </c>
      <c r="D70" s="1038" t="s">
        <v>1534</v>
      </c>
      <c r="E70" s="1038" t="s">
        <v>1535</v>
      </c>
      <c r="F70" s="1038" t="s">
        <v>1536</v>
      </c>
      <c r="G70" s="1038" t="s">
        <v>1537</v>
      </c>
      <c r="H70" s="1038" t="s">
        <v>1538</v>
      </c>
      <c r="I70" s="1038" t="s">
        <v>1539</v>
      </c>
      <c r="J70" s="1038" t="s">
        <v>1540</v>
      </c>
      <c r="K70" s="1038" t="s">
        <v>1541</v>
      </c>
      <c r="L70" s="1038" t="s">
        <v>1542</v>
      </c>
      <c r="M70" s="1039" t="s">
        <v>1543</v>
      </c>
      <c r="N70" s="1039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5" customFormat="1" ht="15.75" hidden="1" thickTop="1">
      <c r="A72" s="121"/>
      <c r="B72" s="106">
        <f>B13</f>
        <v>111</v>
      </c>
      <c r="C72" s="1086">
        <v>111</v>
      </c>
      <c r="D72" s="1086">
        <v>222</v>
      </c>
      <c r="E72" s="1086">
        <v>333</v>
      </c>
      <c r="F72" s="1086">
        <v>444</v>
      </c>
      <c r="G72" s="1086"/>
      <c r="H72" s="1124"/>
      <c r="I72" s="1124"/>
      <c r="J72" s="1124"/>
      <c r="K72" s="1124"/>
      <c r="L72" s="1125"/>
      <c r="M72" s="1126"/>
      <c r="N72" s="1082"/>
      <c r="O72" s="1082"/>
      <c r="P72" s="1127"/>
      <c r="Q72" s="1128"/>
    </row>
    <row r="73" spans="1:17" s="1085" customFormat="1" ht="15.75" hidden="1" thickBot="1">
      <c r="A73" s="121"/>
      <c r="B73" s="111"/>
      <c r="C73" s="1095">
        <v>100</v>
      </c>
      <c r="D73" s="1095">
        <v>99</v>
      </c>
      <c r="E73" s="1095">
        <v>98</v>
      </c>
      <c r="F73" s="1095">
        <v>97</v>
      </c>
      <c r="G73" s="1095"/>
      <c r="H73" s="1129"/>
      <c r="I73" s="1129"/>
      <c r="J73" s="1129"/>
      <c r="K73" s="1129"/>
      <c r="L73" s="1129"/>
      <c r="M73" s="1130"/>
      <c r="N73" s="1082"/>
      <c r="O73" s="1082"/>
      <c r="P73" s="1083"/>
      <c r="Q73" s="1084"/>
    </row>
    <row r="74" spans="1:17" s="1085" customFormat="1" ht="15.75" hidden="1" thickTop="1">
      <c r="A74" s="121"/>
      <c r="B74" s="114">
        <f>B14</f>
        <v>111</v>
      </c>
      <c r="C74" s="1098">
        <v>111</v>
      </c>
      <c r="D74" s="1098">
        <v>222</v>
      </c>
      <c r="E74" s="1098">
        <v>333</v>
      </c>
      <c r="F74" s="1098">
        <v>444</v>
      </c>
      <c r="G74" s="1098"/>
      <c r="H74" s="1131"/>
      <c r="I74" s="1131"/>
      <c r="J74" s="1131"/>
      <c r="K74" s="1131"/>
      <c r="L74" s="1132"/>
      <c r="M74" s="1133"/>
      <c r="N74" s="1082"/>
      <c r="O74" s="1082"/>
      <c r="P74" s="1134"/>
      <c r="Q74" s="1084"/>
    </row>
    <row r="75" spans="1:17" s="1085" customFormat="1" ht="15.75" hidden="1" thickBot="1">
      <c r="A75" s="124"/>
      <c r="B75" s="125"/>
      <c r="C75" s="1099">
        <v>100</v>
      </c>
      <c r="D75" s="1099">
        <v>98</v>
      </c>
      <c r="E75" s="1099">
        <v>96</v>
      </c>
      <c r="F75" s="1099">
        <v>94</v>
      </c>
      <c r="G75" s="1099"/>
      <c r="H75" s="1135"/>
      <c r="I75" s="1135"/>
      <c r="J75" s="1135"/>
      <c r="K75" s="1135"/>
      <c r="L75" s="1135"/>
      <c r="M75" s="1136"/>
      <c r="N75" s="1082"/>
      <c r="O75" s="1082"/>
      <c r="P75" s="1083"/>
      <c r="Q75" s="1084"/>
    </row>
    <row r="76" spans="1:17" s="107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5"/>
      <c r="O76" s="1075"/>
      <c r="P76" s="1076"/>
      <c r="Q76" s="1077"/>
    </row>
    <row r="77" spans="1:17" s="107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9"/>
      <c r="O77" s="1079"/>
      <c r="P77" s="1080"/>
      <c r="Q77" s="1077"/>
    </row>
    <row r="78" spans="1:17" s="107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5"/>
      <c r="O78" s="1075"/>
      <c r="P78" s="1080"/>
      <c r="Q78" s="1077"/>
    </row>
    <row r="79" spans="1:17" s="107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9"/>
      <c r="O79" s="1079"/>
      <c r="P79" s="1080"/>
      <c r="Q79" s="1077"/>
    </row>
    <row r="80" spans="1:17" s="107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5"/>
      <c r="O80" s="1075"/>
      <c r="P80" s="1080"/>
      <c r="Q80" s="1077"/>
    </row>
    <row r="81" spans="1:17" s="107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9"/>
      <c r="O81" s="1079"/>
      <c r="P81" s="1080"/>
      <c r="Q81" s="1077"/>
    </row>
    <row r="82" spans="1:17" s="107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5"/>
      <c r="O82" s="1075"/>
      <c r="P82" s="1080"/>
      <c r="Q82" s="1077"/>
    </row>
    <row r="83" spans="1:17" s="107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9"/>
      <c r="O83" s="1079"/>
      <c r="P83" s="1080"/>
      <c r="Q83" s="1077"/>
    </row>
    <row r="84" spans="1:17" s="108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0"/>
      <c r="Q84" s="1077"/>
    </row>
    <row r="85" spans="1:17" s="108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9"/>
      <c r="O85" s="1079"/>
      <c r="P85" s="1080"/>
      <c r="Q85" s="1077"/>
    </row>
    <row r="86" spans="1:17" s="108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0"/>
      <c r="Q86" s="1077"/>
    </row>
    <row r="87" spans="1:17" s="108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9"/>
      <c r="O87" s="1079"/>
      <c r="P87" s="1080"/>
      <c r="Q87" s="1077"/>
    </row>
    <row r="88" spans="1:17" s="1085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2"/>
      <c r="O88" s="1082"/>
      <c r="P88" s="1083"/>
      <c r="Q88" s="1084"/>
    </row>
    <row r="89" spans="1:17" s="108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2"/>
      <c r="O89" s="1082"/>
      <c r="P89" s="1083"/>
      <c r="Q89" s="1084"/>
    </row>
    <row r="90" spans="1:17" s="1085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2"/>
      <c r="O90" s="1082"/>
      <c r="P90" s="1083"/>
      <c r="Q90" s="1084"/>
    </row>
    <row r="91" spans="1:17" s="108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2"/>
      <c r="O91" s="1082"/>
      <c r="P91" s="1083"/>
      <c r="Q91" s="1084"/>
    </row>
    <row r="92" spans="1:17" s="107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5"/>
      <c r="O92" s="1075"/>
      <c r="P92" s="1080"/>
      <c r="Q92" s="1077"/>
    </row>
    <row r="93" spans="1:17" s="107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9"/>
      <c r="O93" s="1079"/>
      <c r="P93" s="1080"/>
      <c r="Q93" s="1077"/>
    </row>
    <row r="94" spans="1:17" s="1078" customFormat="1" ht="27.75" hidden="1" thickTop="1">
      <c r="A94" s="102"/>
      <c r="B94" s="106" t="s">
        <v>129</v>
      </c>
      <c r="C94" s="1086" t="s">
        <v>19</v>
      </c>
      <c r="D94" s="1086" t="s">
        <v>20</v>
      </c>
      <c r="E94" s="1086" t="s">
        <v>22</v>
      </c>
      <c r="F94" s="1086" t="s">
        <v>23</v>
      </c>
      <c r="G94" s="1086" t="s">
        <v>24</v>
      </c>
      <c r="H94" s="1087"/>
      <c r="I94" s="1087"/>
      <c r="J94" s="1087"/>
      <c r="K94" s="1088"/>
      <c r="L94" s="1089"/>
      <c r="M94" s="1090"/>
      <c r="N94" s="1075"/>
      <c r="O94" s="1075"/>
      <c r="P94" s="1080"/>
      <c r="Q94" s="1077"/>
    </row>
    <row r="95" spans="1:17" s="107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9"/>
      <c r="O95" s="1079"/>
      <c r="P95" s="1080"/>
      <c r="Q95" s="1077"/>
    </row>
    <row r="96" spans="1:17" s="1078" customFormat="1" ht="15.75" hidden="1" thickTop="1">
      <c r="A96" s="102"/>
      <c r="B96" s="106">
        <v>111</v>
      </c>
      <c r="C96" s="1087">
        <v>111</v>
      </c>
      <c r="D96" s="1087">
        <v>222</v>
      </c>
      <c r="E96" s="1087">
        <v>333</v>
      </c>
      <c r="F96" s="1087"/>
      <c r="G96" s="1087"/>
      <c r="H96" s="1087"/>
      <c r="I96" s="1087"/>
      <c r="J96" s="1087"/>
      <c r="K96" s="1088"/>
      <c r="L96" s="1089"/>
      <c r="M96" s="1090"/>
      <c r="N96" s="1075"/>
      <c r="O96" s="1075"/>
      <c r="P96" s="1080"/>
      <c r="Q96" s="1077"/>
    </row>
    <row r="97" spans="1:17" s="107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9"/>
      <c r="O97" s="1079"/>
      <c r="P97" s="1080"/>
      <c r="Q97" s="1077"/>
    </row>
    <row r="98" spans="1:17" s="1078" customFormat="1" ht="15.75" hidden="1" thickTop="1">
      <c r="A98" s="102"/>
      <c r="B98" s="114">
        <f>B35</f>
        <v>111</v>
      </c>
      <c r="C98" s="1086">
        <v>111</v>
      </c>
      <c r="D98" s="1086">
        <v>222</v>
      </c>
      <c r="E98" s="1086">
        <v>333</v>
      </c>
      <c r="F98" s="1086">
        <v>444</v>
      </c>
      <c r="G98" s="1091"/>
      <c r="H98" s="1091"/>
      <c r="I98" s="1091"/>
      <c r="J98" s="1091"/>
      <c r="K98" s="1092"/>
      <c r="L98" s="1093"/>
      <c r="M98" s="1094"/>
      <c r="N98" s="1075"/>
      <c r="O98" s="1075"/>
      <c r="P98" s="1080"/>
      <c r="Q98" s="1077"/>
    </row>
    <row r="99" spans="1:17" s="1078" customFormat="1" ht="15.75" hidden="1" thickBot="1">
      <c r="A99" s="102"/>
      <c r="B99" s="125"/>
      <c r="C99" s="1095">
        <v>100</v>
      </c>
      <c r="D99" s="1095">
        <v>99</v>
      </c>
      <c r="E99" s="1095">
        <v>98</v>
      </c>
      <c r="F99" s="1095">
        <v>97</v>
      </c>
      <c r="G99" s="1096"/>
      <c r="H99" s="1096"/>
      <c r="I99" s="1096"/>
      <c r="J99" s="1096"/>
      <c r="K99" s="1096"/>
      <c r="L99" s="1096"/>
      <c r="M99" s="1097"/>
      <c r="N99" s="1079"/>
      <c r="O99" s="1079"/>
      <c r="P99" s="1080"/>
      <c r="Q99" s="1077"/>
    </row>
    <row r="100" spans="1:17" s="1078" customFormat="1" ht="15" hidden="1" thickTop="1">
      <c r="A100" s="162"/>
      <c r="B100" s="106">
        <f>B36</f>
        <v>111</v>
      </c>
      <c r="C100" s="1098">
        <v>111</v>
      </c>
      <c r="D100" s="1098">
        <v>222</v>
      </c>
      <c r="E100" s="1098">
        <v>333</v>
      </c>
      <c r="F100" s="1098">
        <v>444</v>
      </c>
      <c r="G100" s="1087"/>
      <c r="H100" s="1087"/>
      <c r="I100" s="1087"/>
      <c r="J100" s="1087"/>
      <c r="K100" s="1088"/>
      <c r="L100" s="1089"/>
      <c r="M100" s="1090"/>
      <c r="N100" s="1075"/>
      <c r="O100" s="1075"/>
      <c r="P100" s="1080"/>
      <c r="Q100" s="1077"/>
    </row>
    <row r="101" spans="1:17" s="1078" customFormat="1" ht="15" hidden="1">
      <c r="A101" s="102"/>
      <c r="B101" s="114"/>
      <c r="C101" s="1100">
        <v>100</v>
      </c>
      <c r="D101" s="1100">
        <v>98</v>
      </c>
      <c r="E101" s="1100">
        <v>96</v>
      </c>
      <c r="F101" s="1100">
        <v>94</v>
      </c>
      <c r="G101" s="1101"/>
      <c r="H101" s="1101"/>
      <c r="I101" s="1101"/>
      <c r="J101" s="1101"/>
      <c r="K101" s="1101"/>
      <c r="L101" s="1101"/>
      <c r="M101" s="1102"/>
      <c r="N101" s="1079"/>
      <c r="O101" s="1079"/>
      <c r="P101" s="1080"/>
      <c r="Q101" s="1077"/>
    </row>
    <row r="102" spans="1:17" s="65" customFormat="1" ht="15" thickTop="1">
      <c r="A102" s="1119" t="str">
        <f>A37</f>
        <v>区位状况</v>
      </c>
      <c r="B102" s="1120"/>
      <c r="C102" s="1117" t="s">
        <v>1548</v>
      </c>
      <c r="D102" s="1117" t="s">
        <v>1549</v>
      </c>
      <c r="E102" s="1117" t="s">
        <v>1550</v>
      </c>
      <c r="F102" s="1117" t="s">
        <v>1551</v>
      </c>
      <c r="G102" s="1117" t="s">
        <v>1552</v>
      </c>
      <c r="H102" s="1103"/>
      <c r="I102" s="1103"/>
      <c r="J102" s="1104"/>
      <c r="K102" s="1104"/>
      <c r="L102" s="1105"/>
      <c r="M102" s="1106"/>
      <c r="N102" s="474"/>
      <c r="O102" s="474"/>
      <c r="P102" s="122"/>
      <c r="Q102" s="123"/>
    </row>
    <row r="103" spans="1:17" s="65" customFormat="1" ht="15" thickBot="1">
      <c r="A103" s="1121"/>
      <c r="B103" s="125"/>
      <c r="C103" s="1118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8" customFormat="1" ht="30" hidden="1" thickTop="1" thickBot="1">
      <c r="A104" s="1108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0" t="str">
        <f t="shared" si="23"/>
        <v>100000(含)-150000</v>
      </c>
      <c r="I104" s="1490" t="str">
        <f t="shared" si="23"/>
        <v>150000(含)-200000</v>
      </c>
      <c r="J104" s="1490" t="str">
        <f t="shared" si="23"/>
        <v>200000(含)-300000</v>
      </c>
      <c r="K104" s="1491" t="str">
        <f t="shared" si="23"/>
        <v>300000(含)-500000</v>
      </c>
      <c r="L104" s="1492" t="str">
        <f t="shared" si="23"/>
        <v>500000(含)-</v>
      </c>
      <c r="M104" s="1493" t="str">
        <f>M105&amp;"(含)"&amp;"-"&amp;P105</f>
        <v>(含)-</v>
      </c>
      <c r="N104" s="1075"/>
      <c r="O104" s="1075"/>
      <c r="P104" s="1080"/>
      <c r="Q104" s="1077"/>
    </row>
    <row r="105" spans="1:17" s="1078" customFormat="1" ht="15" hidden="1" thickBot="1">
      <c r="A105" s="110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4">
        <v>100000</v>
      </c>
      <c r="I105" s="1494">
        <v>150000</v>
      </c>
      <c r="J105" s="1495">
        <v>200000</v>
      </c>
      <c r="K105" s="1495">
        <v>300000</v>
      </c>
      <c r="L105" s="1496">
        <v>500000</v>
      </c>
      <c r="M105" s="1497"/>
      <c r="N105" s="1075"/>
      <c r="O105" s="1075"/>
      <c r="P105" s="1080"/>
      <c r="Q105" s="1077"/>
    </row>
    <row r="106" spans="1:17" s="1078" customFormat="1" ht="15" hidden="1" thickBot="1">
      <c r="A106" s="1108"/>
      <c r="B106" s="111"/>
      <c r="C106" s="1112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9"/>
      <c r="O106" s="1079"/>
      <c r="P106" s="1080"/>
      <c r="Q106" s="1077"/>
    </row>
    <row r="107" spans="1:17" s="1078" customFormat="1" ht="15.75" hidden="1" thickTop="1" thickBot="1">
      <c r="A107" s="1109"/>
      <c r="B107" s="106" t="s">
        <v>152</v>
      </c>
      <c r="C107" s="1113" t="s">
        <v>232</v>
      </c>
      <c r="D107" s="1113" t="s">
        <v>233</v>
      </c>
      <c r="E107" s="1113" t="s">
        <v>234</v>
      </c>
      <c r="F107" s="1113" t="s">
        <v>235</v>
      </c>
      <c r="G107" s="1113"/>
      <c r="H107" s="1498"/>
      <c r="I107" s="1498"/>
      <c r="J107" s="1498"/>
      <c r="K107" s="1499"/>
      <c r="L107" s="1500"/>
      <c r="M107" s="1501"/>
      <c r="N107" s="1075"/>
      <c r="O107" s="1075"/>
      <c r="P107" s="1080"/>
      <c r="Q107" s="1077"/>
    </row>
    <row r="108" spans="1:17" s="1078" customFormat="1" ht="15" hidden="1" thickBot="1">
      <c r="A108" s="110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2">
        <f t="shared" si="24"/>
        <v>100</v>
      </c>
      <c r="N108" s="1079"/>
      <c r="O108" s="1079"/>
      <c r="P108" s="1080"/>
      <c r="Q108" s="1077"/>
    </row>
    <row r="109" spans="1:17" s="1078" customFormat="1" ht="15.75" hidden="1" thickTop="1" thickBot="1">
      <c r="A109" s="1109"/>
      <c r="B109" s="106" t="s">
        <v>153</v>
      </c>
      <c r="C109" s="1114" t="s">
        <v>236</v>
      </c>
      <c r="D109" s="1114" t="s">
        <v>237</v>
      </c>
      <c r="E109" s="1114" t="s">
        <v>238</v>
      </c>
      <c r="F109" s="1113"/>
      <c r="G109" s="1113"/>
      <c r="H109" s="1498"/>
      <c r="I109" s="1498"/>
      <c r="J109" s="1498"/>
      <c r="K109" s="1499"/>
      <c r="L109" s="1500"/>
      <c r="M109" s="1501"/>
      <c r="N109" s="1075"/>
      <c r="O109" s="1075"/>
      <c r="P109" s="1080"/>
      <c r="Q109" s="1077"/>
    </row>
    <row r="110" spans="1:17" s="1078" customFormat="1" ht="15" hidden="1" thickBot="1">
      <c r="A110" s="110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2">
        <f t="shared" si="25"/>
        <v>100</v>
      </c>
      <c r="N110" s="1079"/>
      <c r="O110" s="1079"/>
      <c r="P110" s="1080"/>
      <c r="Q110" s="1077"/>
    </row>
    <row r="111" spans="1:17" s="1085" customFormat="1" ht="15.75" hidden="1" thickTop="1" thickBot="1">
      <c r="A111" s="1110"/>
      <c r="B111" s="106" t="s">
        <v>154</v>
      </c>
      <c r="C111" s="1114" t="s">
        <v>239</v>
      </c>
      <c r="D111" s="1114" t="s">
        <v>240</v>
      </c>
      <c r="E111" s="1114" t="s">
        <v>241</v>
      </c>
      <c r="F111" s="1114" t="s">
        <v>242</v>
      </c>
      <c r="G111" s="1114" t="s">
        <v>243</v>
      </c>
      <c r="H111" s="1498"/>
      <c r="I111" s="1498"/>
      <c r="J111" s="1498"/>
      <c r="K111" s="1499"/>
      <c r="L111" s="1500"/>
      <c r="M111" s="1501"/>
      <c r="N111" s="1082"/>
      <c r="O111" s="1082"/>
      <c r="P111" s="1083"/>
      <c r="Q111" s="1084"/>
    </row>
    <row r="112" spans="1:17" s="1085" customFormat="1" ht="15" hidden="1" thickBot="1">
      <c r="A112" s="110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2">
        <f t="shared" si="26"/>
        <v>100</v>
      </c>
      <c r="N112" s="1082"/>
      <c r="O112" s="1082"/>
      <c r="P112" s="1083"/>
      <c r="Q112" s="1084"/>
    </row>
    <row r="113" spans="1:17" s="1078" customFormat="1" ht="15.75" hidden="1" thickTop="1" thickBot="1">
      <c r="A113" s="1109"/>
      <c r="B113" s="106" t="s">
        <v>155</v>
      </c>
      <c r="C113" s="1114" t="s">
        <v>244</v>
      </c>
      <c r="D113" s="1114" t="s">
        <v>245</v>
      </c>
      <c r="E113" s="1113" t="s">
        <v>246</v>
      </c>
      <c r="F113" s="1113" t="s">
        <v>247</v>
      </c>
      <c r="G113" s="1113" t="s">
        <v>248</v>
      </c>
      <c r="H113" s="1498"/>
      <c r="I113" s="1498"/>
      <c r="J113" s="1498"/>
      <c r="K113" s="1499"/>
      <c r="L113" s="1500"/>
      <c r="M113" s="1501"/>
      <c r="N113" s="1075"/>
      <c r="O113" s="1075"/>
      <c r="P113" s="1080"/>
      <c r="Q113" s="1077"/>
    </row>
    <row r="114" spans="1:17" s="1078" customFormat="1" ht="15" hidden="1" thickBot="1">
      <c r="A114" s="110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2">
        <f t="shared" si="27"/>
        <v>100</v>
      </c>
      <c r="N114" s="1079"/>
      <c r="O114" s="1079"/>
      <c r="P114" s="1080"/>
      <c r="Q114" s="1077"/>
    </row>
    <row r="115" spans="1:17" s="1078" customFormat="1" ht="15.75" hidden="1" thickTop="1" thickBot="1">
      <c r="A115" s="1109"/>
      <c r="B115" s="106">
        <f>B43</f>
        <v>111</v>
      </c>
      <c r="C115" s="1114">
        <v>111</v>
      </c>
      <c r="D115" s="1114">
        <v>222</v>
      </c>
      <c r="E115" s="1114">
        <v>333</v>
      </c>
      <c r="F115" s="1114">
        <v>444</v>
      </c>
      <c r="G115" s="1114"/>
      <c r="H115" s="1498"/>
      <c r="I115" s="1498"/>
      <c r="J115" s="1498"/>
      <c r="K115" s="1499"/>
      <c r="L115" s="1500"/>
      <c r="M115" s="1501"/>
      <c r="N115" s="1075"/>
      <c r="O115" s="1075"/>
      <c r="P115" s="1080"/>
      <c r="Q115" s="1077"/>
    </row>
    <row r="116" spans="1:17" s="1078" customFormat="1" ht="15" hidden="1" thickBot="1">
      <c r="A116" s="110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9"/>
      <c r="O116" s="1079"/>
      <c r="P116" s="1080"/>
      <c r="Q116" s="1077"/>
    </row>
    <row r="117" spans="1:17" s="1078" customFormat="1" ht="15.75" hidden="1" thickTop="1" thickBot="1">
      <c r="A117" s="1109"/>
      <c r="B117" s="106">
        <f>B44</f>
        <v>111</v>
      </c>
      <c r="C117" s="1115">
        <v>111</v>
      </c>
      <c r="D117" s="1115">
        <v>222</v>
      </c>
      <c r="E117" s="1115">
        <v>333</v>
      </c>
      <c r="F117" s="1115">
        <v>444</v>
      </c>
      <c r="G117" s="1113"/>
      <c r="H117" s="1498"/>
      <c r="I117" s="1498"/>
      <c r="J117" s="1498"/>
      <c r="K117" s="1499"/>
      <c r="L117" s="1500"/>
      <c r="M117" s="1501"/>
      <c r="N117" s="1075"/>
      <c r="O117" s="1075"/>
      <c r="P117" s="1080"/>
      <c r="Q117" s="1077"/>
    </row>
    <row r="118" spans="1:17" s="1078" customFormat="1" ht="15" hidden="1" thickBot="1">
      <c r="A118" s="1108"/>
      <c r="B118" s="114"/>
      <c r="C118" s="1116">
        <v>100</v>
      </c>
      <c r="D118" s="1116">
        <v>98</v>
      </c>
      <c r="E118" s="1116">
        <v>96</v>
      </c>
      <c r="F118" s="1116">
        <v>94</v>
      </c>
      <c r="G118" s="237"/>
      <c r="H118" s="1503"/>
      <c r="I118" s="1503"/>
      <c r="J118" s="1503"/>
      <c r="K118" s="1503"/>
      <c r="L118" s="1503"/>
      <c r="M118" s="1504"/>
      <c r="N118" s="1079"/>
      <c r="O118" s="1079"/>
      <c r="P118" s="1080"/>
      <c r="Q118" s="1077"/>
    </row>
    <row r="119" spans="1:17" s="65" customFormat="1">
      <c r="A119" s="1111" t="str">
        <f>A45</f>
        <v>实物状况</v>
      </c>
      <c r="B119" s="100"/>
      <c r="C119" s="1117" t="s">
        <v>1548</v>
      </c>
      <c r="D119" s="1117" t="s">
        <v>1549</v>
      </c>
      <c r="E119" s="1117" t="s">
        <v>1550</v>
      </c>
      <c r="F119" s="1117" t="s">
        <v>1551</v>
      </c>
      <c r="G119" s="1117" t="s">
        <v>1552</v>
      </c>
      <c r="H119" s="1104"/>
      <c r="I119" s="1104"/>
      <c r="J119" s="1104"/>
      <c r="K119" s="1104"/>
      <c r="L119" s="1105"/>
      <c r="M119" s="1106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8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41232</v>
      </c>
      <c r="D1" s="970" t="str">
        <f>主表!A23</f>
        <v>建设期</v>
      </c>
      <c r="E1" s="1010">
        <f>主表!B23</f>
        <v>1.5</v>
      </c>
      <c r="F1" s="970" t="s">
        <v>1507</v>
      </c>
      <c r="G1" s="971">
        <f ca="1">INDIRECT("d"&amp;$K$1)/100</f>
        <v>6.1500000000000006E-2</v>
      </c>
      <c r="H1" s="970" t="s">
        <v>1508</v>
      </c>
      <c r="I1" s="971">
        <f>SUMIF(F4:F8,E1,G4:G8)/100</f>
        <v>0</v>
      </c>
      <c r="J1" s="1139">
        <f>IF(C1&gt;C14,0,MATCH(C1,C$14:C$59,-1))+IF(SUMIF(C14:C59,C1,D14:D59)=0,14,13)</f>
        <v>20</v>
      </c>
      <c r="K1" s="1139">
        <f>MATCH(E1,C4:C8,1)+IF(SUMIF(C4:C8,E1,D4:D8)=0,3,2)</f>
        <v>6</v>
      </c>
      <c r="L1" s="1139">
        <f>IF(C1&gt;M14,0,MATCH(C1,M$14:M$52,-1))+IF(SUMIF(M14:M52,C1,N14:N52)=0,14,13)</f>
        <v>20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41232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9">
        <f>IF(C2&gt;C14,0,MATCH(C2,C$14:C$59,-1))+IF(SUMIF(C14:C59,C2,D14:D59)=0,14,13)</f>
        <v>20</v>
      </c>
      <c r="K2" s="1139">
        <f ca="1">MATCH(E2,C4:C8,1)+IF(SUMIF(C4:C8,E2,D4:D8)=0,3,2)</f>
        <v>3</v>
      </c>
      <c r="L2" s="1139">
        <f>IF(C2&gt;M14,0,MATCH(C2,M$14:M$52,-1))+IF(SUMIF(M14:M52,C2,N14:N52)=0,14,13)</f>
        <v>20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6.1500000000000006E-2</v>
      </c>
      <c r="H3" s="1021" t="s">
        <v>1508</v>
      </c>
      <c r="I3" s="1022">
        <f ca="1">SUMIF(F4:F8,E3,H4:H8)/100</f>
        <v>4.2500000000000003E-2</v>
      </c>
      <c r="J3" s="1140"/>
      <c r="K3" s="1139">
        <f ca="1">MATCH(E3,C4:C8,1)+IF(SUMIF(C4:C8,E3,D4:D8)=0,3,2)</f>
        <v>6</v>
      </c>
      <c r="L3" s="1140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5.6</v>
      </c>
      <c r="E4" s="1006">
        <f ca="1">INDIRECT("d"&amp;$J$2)</f>
        <v>5.6</v>
      </c>
      <c r="F4" s="1007">
        <v>0.5</v>
      </c>
      <c r="G4" s="1008">
        <f ca="1">INDIRECT("p"&amp;$L$1)</f>
        <v>2.8</v>
      </c>
      <c r="H4" s="1008">
        <f ca="1">INDIRECT("p"&amp;$L$2)</f>
        <v>2.8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6</v>
      </c>
      <c r="E5" s="978">
        <f ca="1">INDIRECT("e"&amp;$J$2)</f>
        <v>6</v>
      </c>
      <c r="F5" s="977">
        <v>1</v>
      </c>
      <c r="G5" s="1009">
        <f ca="1">INDIRECT("q"&amp;$L$1)</f>
        <v>3</v>
      </c>
      <c r="H5" s="1009">
        <f ca="1">INDIRECT("q"&amp;$L$2)</f>
        <v>3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6.15</v>
      </c>
      <c r="E6" s="978">
        <f ca="1">INDIRECT("f"&amp;$J$2)</f>
        <v>6.15</v>
      </c>
      <c r="F6" s="977">
        <v>2</v>
      </c>
      <c r="G6" s="1009">
        <f ca="1">INDIRECT("r"&amp;$L$1)</f>
        <v>3.75</v>
      </c>
      <c r="H6" s="1009">
        <f ca="1">INDIRECT("r"&amp;$L$2)</f>
        <v>3.75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6.4</v>
      </c>
      <c r="E7" s="978">
        <f ca="1">INDIRECT("g"&amp;$J$2)</f>
        <v>6.4</v>
      </c>
      <c r="F7" s="977">
        <v>3</v>
      </c>
      <c r="G7" s="1009">
        <f ca="1">INDIRECT("s"&amp;$L$1)</f>
        <v>4.25</v>
      </c>
      <c r="H7" s="1009">
        <f ca="1">INDIRECT("s"&amp;$L$2)</f>
        <v>4.25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6.55</v>
      </c>
      <c r="E8" s="978">
        <f ca="1">INDIRECT("h"&amp;$J$2)</f>
        <v>6.55</v>
      </c>
      <c r="F8" s="977">
        <v>5</v>
      </c>
      <c r="G8" s="1009">
        <f ca="1">INDIRECT("t"&amp;$L$1)</f>
        <v>4.75</v>
      </c>
      <c r="H8" s="1009">
        <f ca="1">INDIRECT("t"&amp;$L$2)</f>
        <v>4.75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6"/>
    <col min="7" max="7" width="8.875" style="1650"/>
    <col min="8" max="8" width="8.875" style="1626"/>
    <col min="9" max="12" width="9" style="1626" customWidth="1"/>
    <col min="13" max="13" width="2.25" style="1626" customWidth="1"/>
    <col min="14" max="14" width="9" style="1650" customWidth="1"/>
    <col min="15" max="17" width="9" style="1626" customWidth="1"/>
    <col min="18" max="18" width="2.375" style="1626" customWidth="1"/>
    <col min="19" max="19" width="7.125" style="1650" customWidth="1"/>
    <col min="20" max="22" width="7.125" style="1626" customWidth="1"/>
    <col min="23" max="23" width="2.5" style="1626" customWidth="1"/>
    <col min="24" max="16384" width="8.875" style="1626"/>
  </cols>
  <sheetData>
    <row r="1" spans="1:32" s="1588" customFormat="1">
      <c r="A1" s="1587" t="s">
        <v>1701</v>
      </c>
      <c r="C1" s="1589"/>
      <c r="D1" s="1589"/>
      <c r="F1" s="1589"/>
    </row>
    <row r="2" spans="1:32" s="1588" customFormat="1" ht="13.5" thickBot="1">
      <c r="B2" s="1589" t="s">
        <v>1636</v>
      </c>
      <c r="C2" s="1589"/>
      <c r="D2" s="1589"/>
      <c r="F2" s="1589"/>
      <c r="G2" s="1883" t="s">
        <v>1637</v>
      </c>
      <c r="H2" s="1883"/>
      <c r="I2" s="1883"/>
      <c r="J2" s="1883"/>
      <c r="K2" s="1883"/>
      <c r="L2" s="1883"/>
      <c r="N2" s="1875" t="s">
        <v>1638</v>
      </c>
      <c r="O2" s="1875"/>
      <c r="P2" s="1875"/>
      <c r="Q2" s="1875"/>
      <c r="S2" s="1875" t="s">
        <v>1639</v>
      </c>
      <c r="T2" s="1875"/>
      <c r="U2" s="1875"/>
      <c r="V2" s="1875"/>
    </row>
    <row r="3" spans="1:32" s="1588" customFormat="1" ht="14.25">
      <c r="B3" s="1590" t="s">
        <v>1695</v>
      </c>
      <c r="C3" s="1590" t="s">
        <v>42</v>
      </c>
      <c r="D3" s="1591" t="s">
        <v>1298</v>
      </c>
      <c r="E3" s="1591" t="s">
        <v>1299</v>
      </c>
      <c r="F3" s="1590" t="s">
        <v>50</v>
      </c>
      <c r="G3" s="1592" t="s">
        <v>1741</v>
      </c>
      <c r="H3" s="1592" t="s">
        <v>1742</v>
      </c>
      <c r="I3" s="1593" t="s">
        <v>1695</v>
      </c>
      <c r="J3" s="1593" t="s">
        <v>1700</v>
      </c>
      <c r="K3" s="1591" t="s">
        <v>1299</v>
      </c>
      <c r="L3" s="1593" t="s">
        <v>50</v>
      </c>
      <c r="N3" s="1593" t="s">
        <v>1695</v>
      </c>
      <c r="O3" s="1593" t="s">
        <v>1700</v>
      </c>
      <c r="P3" s="1591" t="s">
        <v>1299</v>
      </c>
      <c r="Q3" s="1593" t="s">
        <v>50</v>
      </c>
      <c r="S3" s="1593" t="s">
        <v>1695</v>
      </c>
      <c r="T3" s="1593" t="s">
        <v>1700</v>
      </c>
      <c r="U3" s="1591" t="s">
        <v>1299</v>
      </c>
      <c r="V3" s="1593" t="s">
        <v>50</v>
      </c>
    </row>
    <row r="4" spans="1:32" s="1599" customFormat="1" ht="14.25">
      <c r="A4" s="1594" t="s">
        <v>1744</v>
      </c>
      <c r="B4" s="1595"/>
      <c r="C4" s="1595"/>
      <c r="D4" s="1596"/>
      <c r="E4" s="1596"/>
      <c r="F4" s="1595"/>
      <c r="G4" s="1597"/>
      <c r="H4" s="1597"/>
      <c r="I4" s="1598">
        <f>ROUND(AVERAGE($I5:$I33),2)</f>
        <v>1.74</v>
      </c>
      <c r="J4" s="1598">
        <f>ROUND(AVERAGE($J5:$J33),2)</f>
        <v>1.1399999999999999</v>
      </c>
      <c r="K4" s="1598">
        <f>ROUND(AVERAGE($K5:$K33),2)</f>
        <v>1.92</v>
      </c>
      <c r="L4" s="1598">
        <f>ROUND(AVERAGE($L5:$L33),2)</f>
        <v>1.23</v>
      </c>
      <c r="N4" s="1600"/>
      <c r="O4" s="1600"/>
      <c r="P4" s="1596"/>
      <c r="Q4" s="1600"/>
      <c r="S4" s="1600"/>
      <c r="T4" s="1600"/>
      <c r="U4" s="1596"/>
      <c r="V4" s="1600"/>
      <c r="X4" s="1601"/>
    </row>
    <row r="5" spans="1:32" s="1602" customFormat="1" ht="14.25">
      <c r="B5" s="1603"/>
      <c r="C5" s="1603"/>
      <c r="D5" s="1604"/>
      <c r="E5" s="1604"/>
      <c r="F5" s="1603"/>
      <c r="G5" s="1605"/>
      <c r="H5" s="1605"/>
      <c r="I5" s="1606"/>
      <c r="J5" s="1606"/>
      <c r="K5" s="1607"/>
      <c r="L5" s="1606"/>
      <c r="N5" s="1608"/>
      <c r="O5" s="1608"/>
      <c r="P5" s="1604"/>
      <c r="Q5" s="1608"/>
      <c r="S5" s="1608"/>
      <c r="T5" s="1608"/>
      <c r="U5" s="1604"/>
      <c r="V5" s="1608"/>
      <c r="X5" s="1609"/>
    </row>
    <row r="6" spans="1:32" s="1616" customFormat="1">
      <c r="A6" s="1610" t="s">
        <v>1785</v>
      </c>
      <c r="B6" s="1611">
        <f t="shared" ref="B6" si="0">B7*(1+N6)</f>
        <v>483.1434279321756</v>
      </c>
      <c r="C6" s="1611">
        <f t="shared" ref="C6" si="1">C7*(1+O6)</f>
        <v>345.93622669144776</v>
      </c>
      <c r="D6" s="1611">
        <f t="shared" ref="D6" si="2">C6</f>
        <v>345.93622669144776</v>
      </c>
      <c r="E6" s="1611">
        <f t="shared" ref="E6" si="3">E7*(1+P6)</f>
        <v>694.24498562544113</v>
      </c>
      <c r="F6" s="1611">
        <f t="shared" ref="F6" si="4">F7*(1+Q6)</f>
        <v>319.35475932716082</v>
      </c>
      <c r="G6" s="1612">
        <v>2020</v>
      </c>
      <c r="H6" s="1613">
        <v>4</v>
      </c>
      <c r="I6" s="1614">
        <v>0</v>
      </c>
      <c r="J6" s="1614">
        <v>0</v>
      </c>
      <c r="K6" s="1614">
        <v>0</v>
      </c>
      <c r="L6" s="1615">
        <v>0</v>
      </c>
      <c r="N6" s="1617">
        <f t="shared" ref="N6" si="5">I6/100</f>
        <v>0</v>
      </c>
      <c r="O6" s="1618">
        <f t="shared" ref="O6" si="6">J6/100</f>
        <v>0</v>
      </c>
      <c r="P6" s="1618">
        <f t="shared" ref="P6" si="7">K6/100</f>
        <v>0</v>
      </c>
      <c r="Q6" s="1618">
        <f t="shared" ref="Q6" si="8">L6/100</f>
        <v>0</v>
      </c>
      <c r="S6" s="1619"/>
      <c r="X6" s="1620" t="s">
        <v>1745</v>
      </c>
      <c r="Y6" s="1621"/>
      <c r="Z6" s="1621"/>
      <c r="AA6" s="1621"/>
    </row>
    <row r="7" spans="1:32">
      <c r="A7" s="1622" t="s">
        <v>1784</v>
      </c>
      <c r="B7" s="1623">
        <f t="shared" ref="B7" si="9">B8*(1+N7)</f>
        <v>483.1434279321756</v>
      </c>
      <c r="C7" s="1623">
        <f t="shared" ref="C7" si="10">C8*(1+O7)</f>
        <v>345.93622669144776</v>
      </c>
      <c r="D7" s="1623">
        <f t="shared" ref="D7" si="11">C7</f>
        <v>345.93622669144776</v>
      </c>
      <c r="E7" s="1623">
        <f t="shared" ref="E7" si="12">E8*(1+P7)</f>
        <v>694.24498562544113</v>
      </c>
      <c r="F7" s="1623">
        <f t="shared" ref="F7" si="13">F8*(1+Q7)</f>
        <v>319.35475932716082</v>
      </c>
      <c r="G7" s="1750">
        <v>2020</v>
      </c>
      <c r="H7" s="1625">
        <v>3</v>
      </c>
      <c r="I7" s="1585">
        <v>0.36</v>
      </c>
      <c r="J7" s="1585">
        <v>-0.39</v>
      </c>
      <c r="K7" s="1585">
        <v>0.49</v>
      </c>
      <c r="L7" s="1586">
        <v>7.0000000000000007E-2</v>
      </c>
      <c r="N7" s="1627">
        <f t="shared" ref="N7" si="14">I7/100</f>
        <v>3.5999999999999999E-3</v>
      </c>
      <c r="O7" s="1628">
        <f t="shared" ref="O7" si="15">J7/100</f>
        <v>-3.9000000000000003E-3</v>
      </c>
      <c r="P7" s="1628">
        <f t="shared" ref="P7" si="16">K7/100</f>
        <v>4.8999999999999998E-3</v>
      </c>
      <c r="Q7" s="1628">
        <f t="shared" ref="Q7" si="17">L7/100</f>
        <v>7.000000000000001E-4</v>
      </c>
      <c r="R7" s="1629"/>
      <c r="S7" s="1630"/>
      <c r="T7" s="1631"/>
      <c r="U7" s="1631"/>
      <c r="V7" s="1631"/>
      <c r="AC7" s="1632"/>
      <c r="AD7" s="1632"/>
      <c r="AE7" s="1632"/>
      <c r="AF7" s="1632"/>
    </row>
    <row r="8" spans="1:32">
      <c r="A8" s="1622" t="s">
        <v>1783</v>
      </c>
      <c r="B8" s="1623">
        <f t="shared" ref="B8" si="18">B9*(1+N8)</f>
        <v>481.4103506697644</v>
      </c>
      <c r="C8" s="1623">
        <f t="shared" ref="C8" si="19">C9*(1+O8)</f>
        <v>347.29066026648707</v>
      </c>
      <c r="D8" s="1623">
        <f t="shared" ref="D8" si="20">C8</f>
        <v>347.29066026648707</v>
      </c>
      <c r="E8" s="1623">
        <f t="shared" ref="E8" si="21">E9*(1+P8)</f>
        <v>690.85977273901995</v>
      </c>
      <c r="F8" s="1623">
        <f t="shared" ref="F8" si="22">F9*(1+Q8)</f>
        <v>319.13136737000184</v>
      </c>
      <c r="G8" s="1624">
        <v>2020</v>
      </c>
      <c r="H8" s="1625">
        <v>2</v>
      </c>
      <c r="I8" s="1585">
        <v>0.31</v>
      </c>
      <c r="J8" s="1585">
        <v>-0.78</v>
      </c>
      <c r="K8" s="1585">
        <v>0.5</v>
      </c>
      <c r="L8" s="1586">
        <v>0.47</v>
      </c>
      <c r="N8" s="1627">
        <f t="shared" ref="N8" si="23">I8/100</f>
        <v>3.0999999999999999E-3</v>
      </c>
      <c r="O8" s="1628">
        <f t="shared" ref="O8" si="24">J8/100</f>
        <v>-7.8000000000000005E-3</v>
      </c>
      <c r="P8" s="1628">
        <f t="shared" ref="P8" si="25">K8/100</f>
        <v>5.0000000000000001E-3</v>
      </c>
      <c r="Q8" s="1628">
        <f t="shared" ref="Q8" si="26">L8/100</f>
        <v>4.6999999999999993E-3</v>
      </c>
      <c r="R8" s="1629"/>
      <c r="S8" s="1630"/>
      <c r="T8" s="1631"/>
      <c r="U8" s="1631"/>
      <c r="V8" s="1631"/>
      <c r="AC8" s="1632"/>
      <c r="AD8" s="1632"/>
      <c r="AE8" s="1632"/>
      <c r="AF8" s="1632"/>
    </row>
    <row r="9" spans="1:32" ht="13.5" thickBot="1">
      <c r="A9" s="1622" t="s">
        <v>1782</v>
      </c>
      <c r="B9" s="1623">
        <f t="shared" ref="B9" si="27">B10*(1+N9)</f>
        <v>479.92259063878413</v>
      </c>
      <c r="C9" s="1623">
        <f t="shared" ref="C9" si="28">C10*(1+O9)</f>
        <v>350.02082268341775</v>
      </c>
      <c r="D9" s="1623">
        <f t="shared" ref="D9" si="29">C9</f>
        <v>350.02082268341775</v>
      </c>
      <c r="E9" s="1623">
        <f t="shared" ref="E9" si="30">E10*(1+P9)</f>
        <v>687.42265944181099</v>
      </c>
      <c r="F9" s="1623">
        <f t="shared" ref="F9" si="31">F10*(1+Q9)</f>
        <v>317.63846657708956</v>
      </c>
      <c r="G9" s="1624">
        <v>2020</v>
      </c>
      <c r="H9" s="1625">
        <v>1</v>
      </c>
      <c r="I9" s="1585">
        <v>0.12</v>
      </c>
      <c r="J9" s="1585">
        <v>-0.4</v>
      </c>
      <c r="K9" s="1585">
        <v>0.21</v>
      </c>
      <c r="L9" s="1586">
        <v>0.27</v>
      </c>
      <c r="N9" s="1627">
        <f t="shared" ref="N9" si="32">I9/100</f>
        <v>1.1999999999999999E-3</v>
      </c>
      <c r="O9" s="1628">
        <f t="shared" ref="O9" si="33">J9/100</f>
        <v>-4.0000000000000001E-3</v>
      </c>
      <c r="P9" s="1628">
        <f t="shared" ref="P9" si="34">K9/100</f>
        <v>2.0999999999999999E-3</v>
      </c>
      <c r="Q9" s="1628">
        <f t="shared" ref="Q9" si="35">L9/100</f>
        <v>2.7000000000000001E-3</v>
      </c>
      <c r="R9" s="1629"/>
      <c r="S9" s="1630">
        <f>B9/B10-1</f>
        <v>1.2000000000000899E-3</v>
      </c>
      <c r="T9" s="1631">
        <f>C9/C10-1</f>
        <v>-4.0000000000000036E-3</v>
      </c>
      <c r="U9" s="1631">
        <f>E9/E10-1</f>
        <v>2.0999999999999908E-3</v>
      </c>
      <c r="V9" s="1631">
        <f>F9/F10-1</f>
        <v>2.6999999999999247E-3</v>
      </c>
      <c r="AC9" s="1632"/>
      <c r="AD9" s="1632"/>
      <c r="AE9" s="1632"/>
      <c r="AF9" s="1632"/>
    </row>
    <row r="10" spans="1:32" ht="13.5" thickBot="1">
      <c r="A10" s="1622" t="s">
        <v>1761</v>
      </c>
      <c r="B10" s="1623">
        <f t="shared" ref="B10" si="36">B11*(1+N10)</f>
        <v>479.34737379023579</v>
      </c>
      <c r="C10" s="1623">
        <f t="shared" ref="C10" si="37">C11*(1+O10)</f>
        <v>351.4265287986122</v>
      </c>
      <c r="D10" s="1623">
        <f t="shared" ref="D10" si="38">C10</f>
        <v>351.4265287986122</v>
      </c>
      <c r="E10" s="1623">
        <f t="shared" ref="E10" si="39">E11*(1+P10)</f>
        <v>685.98209703803116</v>
      </c>
      <c r="F10" s="1623">
        <f t="shared" ref="F10" si="40">F11*(1+Q10)</f>
        <v>316.78315206651001</v>
      </c>
      <c r="G10" s="1624">
        <v>2019</v>
      </c>
      <c r="H10" s="1625">
        <v>4</v>
      </c>
      <c r="I10" s="1585">
        <v>0.45</v>
      </c>
      <c r="J10" s="1585">
        <v>-0.12</v>
      </c>
      <c r="K10" s="1585">
        <v>0.54</v>
      </c>
      <c r="L10" s="1633">
        <v>0.48</v>
      </c>
      <c r="N10" s="1627">
        <f t="shared" ref="N10" si="41">I10/100</f>
        <v>4.5000000000000005E-3</v>
      </c>
      <c r="O10" s="1628">
        <f t="shared" ref="O10" si="42">J10/100</f>
        <v>-1.1999999999999999E-3</v>
      </c>
      <c r="P10" s="1628">
        <f t="shared" ref="P10" si="43">K10/100</f>
        <v>5.4000000000000003E-3</v>
      </c>
      <c r="Q10" s="1628">
        <f t="shared" ref="Q10" si="44">L10/100</f>
        <v>4.7999999999999996E-3</v>
      </c>
      <c r="R10" s="1629"/>
      <c r="S10" s="1630"/>
      <c r="T10" s="1631"/>
      <c r="U10" s="1631"/>
      <c r="V10" s="1631"/>
      <c r="AC10" s="1632"/>
      <c r="AD10" s="1632"/>
      <c r="AE10" s="1632"/>
      <c r="AF10" s="1632"/>
    </row>
    <row r="11" spans="1:32" ht="13.5" thickBot="1">
      <c r="A11" s="1622" t="s">
        <v>1760</v>
      </c>
      <c r="B11" s="1623">
        <f t="shared" ref="B11" si="45">B12*(1+N11)</f>
        <v>477.19997390765138</v>
      </c>
      <c r="C11" s="1623">
        <f t="shared" ref="C11" si="46">C12*(1+O11)</f>
        <v>351.84874729536665</v>
      </c>
      <c r="D11" s="1623">
        <f t="shared" ref="D11" si="47">C11</f>
        <v>351.84874729536665</v>
      </c>
      <c r="E11" s="1623">
        <f t="shared" ref="E11" si="48">E12*(1+P11)</f>
        <v>682.29768951465201</v>
      </c>
      <c r="F11" s="1623">
        <f t="shared" ref="F11" si="49">F12*(1+Q11)</f>
        <v>315.26985675409043</v>
      </c>
      <c r="G11" s="1624">
        <v>2019</v>
      </c>
      <c r="H11" s="1625">
        <v>3</v>
      </c>
      <c r="I11" s="1585">
        <v>0.61</v>
      </c>
      <c r="J11" s="1585">
        <v>0.67</v>
      </c>
      <c r="K11" s="1585">
        <v>0.6</v>
      </c>
      <c r="L11" s="1633">
        <v>1.03</v>
      </c>
      <c r="N11" s="1627">
        <f t="shared" ref="N11" si="50">I11/100</f>
        <v>6.0999999999999995E-3</v>
      </c>
      <c r="O11" s="1628">
        <f t="shared" ref="O11" si="51">J11/100</f>
        <v>6.7000000000000002E-3</v>
      </c>
      <c r="P11" s="1628">
        <f t="shared" ref="P11" si="52">K11/100</f>
        <v>6.0000000000000001E-3</v>
      </c>
      <c r="Q11" s="1628">
        <f t="shared" ref="Q11" si="53">L11/100</f>
        <v>1.03E-2</v>
      </c>
      <c r="R11" s="1629"/>
      <c r="S11" s="1630"/>
      <c r="T11" s="1631"/>
      <c r="U11" s="1631"/>
      <c r="V11" s="1631"/>
      <c r="AC11" s="1632"/>
      <c r="AD11" s="1632"/>
      <c r="AE11" s="1632"/>
      <c r="AF11" s="1632"/>
    </row>
    <row r="12" spans="1:32">
      <c r="A12" s="1622" t="s">
        <v>1758</v>
      </c>
      <c r="B12" s="1623">
        <f t="shared" ref="B12" si="54">B13*(1+N12)</f>
        <v>474.30670301923408</v>
      </c>
      <c r="C12" s="1623">
        <f t="shared" ref="C12" si="55">C13*(1+O12)</f>
        <v>349.50705005996491</v>
      </c>
      <c r="D12" s="1623">
        <f t="shared" ref="D12" si="56">C12</f>
        <v>349.50705005996491</v>
      </c>
      <c r="E12" s="1623">
        <f t="shared" ref="E12" si="57">E13*(1+P12)</f>
        <v>678.22831959706957</v>
      </c>
      <c r="F12" s="1623">
        <f t="shared" ref="F12" si="58">F13*(1+Q12)</f>
        <v>312.0556832169558</v>
      </c>
      <c r="G12" s="1624">
        <v>2019</v>
      </c>
      <c r="H12" s="1634">
        <v>2</v>
      </c>
      <c r="I12" s="1634">
        <v>1.53</v>
      </c>
      <c r="J12" s="1634">
        <v>1.01</v>
      </c>
      <c r="K12" s="1634">
        <v>1.62</v>
      </c>
      <c r="L12" s="1633">
        <v>1.25</v>
      </c>
      <c r="N12" s="1627">
        <f t="shared" ref="N12" si="59">I12/100</f>
        <v>1.5300000000000001E-2</v>
      </c>
      <c r="O12" s="1628">
        <f t="shared" ref="O12" si="60">J12/100</f>
        <v>1.01E-2</v>
      </c>
      <c r="P12" s="1628">
        <f t="shared" ref="P12" si="61">K12/100</f>
        <v>1.6200000000000003E-2</v>
      </c>
      <c r="Q12" s="1628">
        <f t="shared" ref="Q12" si="62">L12/100</f>
        <v>1.2500000000000001E-2</v>
      </c>
      <c r="R12" s="1629"/>
      <c r="S12" s="1630"/>
      <c r="T12" s="1631"/>
      <c r="U12" s="1631"/>
      <c r="V12" s="1631"/>
      <c r="AC12" s="1632"/>
      <c r="AD12" s="1632"/>
      <c r="AE12" s="1632"/>
      <c r="AF12" s="1632"/>
    </row>
    <row r="13" spans="1:32" ht="13.5" thickBot="1">
      <c r="A13" s="1622" t="s">
        <v>1759</v>
      </c>
      <c r="B13" s="1623">
        <f t="shared" ref="B13" si="63">B14*(1+N13)</f>
        <v>467.15916775261894</v>
      </c>
      <c r="C13" s="1623">
        <f t="shared" ref="C13" si="64">C14*(1+O13)</f>
        <v>346.01232557169084</v>
      </c>
      <c r="D13" s="1623">
        <f t="shared" ref="D13" si="65">C13</f>
        <v>346.01232557169084</v>
      </c>
      <c r="E13" s="1623">
        <f t="shared" ref="E13" si="66">E14*(1+P13)</f>
        <v>667.41617752122568</v>
      </c>
      <c r="F13" s="1623">
        <f t="shared" ref="F13" si="67">F14*(1+Q13)</f>
        <v>308.20314391798104</v>
      </c>
      <c r="G13" s="1624">
        <v>2019</v>
      </c>
      <c r="H13" s="1625">
        <v>1</v>
      </c>
      <c r="I13" s="1585">
        <v>0.6</v>
      </c>
      <c r="J13" s="1585">
        <v>0.37</v>
      </c>
      <c r="K13" s="1585">
        <v>0.63</v>
      </c>
      <c r="L13" s="1586">
        <v>1.1299999999999999</v>
      </c>
      <c r="N13" s="1627">
        <f t="shared" ref="N13" si="68">I13/100</f>
        <v>6.0000000000000001E-3</v>
      </c>
      <c r="O13" s="1628">
        <f t="shared" ref="O13" si="69">J13/100</f>
        <v>3.7000000000000002E-3</v>
      </c>
      <c r="P13" s="1628">
        <f t="shared" ref="P13" si="70">K13/100</f>
        <v>6.3E-3</v>
      </c>
      <c r="Q13" s="1628">
        <f t="shared" ref="Q13" si="71">L13/100</f>
        <v>1.1299999999999999E-2</v>
      </c>
      <c r="R13" s="1629"/>
      <c r="S13" s="1630">
        <f>B13/B14-1</f>
        <v>6.0000000000000053E-3</v>
      </c>
      <c r="T13" s="1631">
        <f>C13/C14-1</f>
        <v>3.7000000000000366E-3</v>
      </c>
      <c r="U13" s="1631">
        <f>E13/E14-1</f>
        <v>6.2999999999999723E-3</v>
      </c>
      <c r="V13" s="1631">
        <f>F13/F14-1</f>
        <v>1.1300000000000088E-2</v>
      </c>
      <c r="AC13" s="1632"/>
      <c r="AD13" s="1632"/>
      <c r="AE13" s="1632"/>
      <c r="AF13" s="1632"/>
    </row>
    <row r="14" spans="1:32">
      <c r="A14" s="1622" t="s">
        <v>1753</v>
      </c>
      <c r="B14" s="1635">
        <f t="shared" ref="B14" si="72">B15*(1+N14)</f>
        <v>464.37293017158942</v>
      </c>
      <c r="C14" s="1635">
        <f t="shared" ref="C14" si="73">C15*(1+O14)</f>
        <v>344.73679941385956</v>
      </c>
      <c r="D14" s="1635">
        <f t="shared" ref="D14" si="74">C14</f>
        <v>344.73679941385956</v>
      </c>
      <c r="E14" s="1635">
        <f t="shared" ref="E14" si="75">E15*(1+P14)</f>
        <v>663.2377795103107</v>
      </c>
      <c r="F14" s="1636">
        <f t="shared" ref="F14" si="76">F15*(1+Q14)</f>
        <v>304.75936311478398</v>
      </c>
      <c r="G14" s="1877">
        <v>2018</v>
      </c>
      <c r="H14" s="1634">
        <v>4</v>
      </c>
      <c r="I14" s="1634">
        <v>0.96</v>
      </c>
      <c r="J14" s="1634">
        <v>1.03</v>
      </c>
      <c r="K14" s="1634">
        <v>0.92</v>
      </c>
      <c r="L14" s="1633">
        <v>1.29</v>
      </c>
      <c r="N14" s="1627">
        <f t="shared" ref="N14" si="77">I14/100</f>
        <v>9.5999999999999992E-3</v>
      </c>
      <c r="O14" s="1628">
        <f t="shared" ref="O14" si="78">J14/100</f>
        <v>1.03E-2</v>
      </c>
      <c r="P14" s="1628">
        <f t="shared" ref="P14" si="79">K14/100</f>
        <v>9.1999999999999998E-3</v>
      </c>
      <c r="Q14" s="1628">
        <f t="shared" ref="Q14" si="80">L14/100</f>
        <v>1.29E-2</v>
      </c>
      <c r="R14" s="1629"/>
      <c r="S14" s="1637"/>
      <c r="T14" s="1632"/>
      <c r="U14" s="1632"/>
      <c r="V14" s="1632"/>
      <c r="AC14" s="1632"/>
      <c r="AD14" s="1632"/>
      <c r="AE14" s="1632"/>
      <c r="AF14" s="1632"/>
    </row>
    <row r="15" spans="1:32" s="1588" customFormat="1" ht="14.45" customHeight="1">
      <c r="A15" s="1622" t="s">
        <v>1748</v>
      </c>
      <c r="B15" s="1623">
        <f t="shared" ref="B15" si="81">B16*(1+N15)</f>
        <v>459.95733971036987</v>
      </c>
      <c r="C15" s="1623">
        <f t="shared" ref="C15" si="82">C16*(1+O15)</f>
        <v>341.22221064422405</v>
      </c>
      <c r="D15" s="1623">
        <f t="shared" ref="D15" si="83">C15</f>
        <v>341.22221064422405</v>
      </c>
      <c r="E15" s="1623">
        <f t="shared" ref="E15" si="84">E16*(1+P15)</f>
        <v>657.19161663724799</v>
      </c>
      <c r="F15" s="1623">
        <f t="shared" ref="F15" si="85">F16*(1+Q15)</f>
        <v>300.87803644464805</v>
      </c>
      <c r="G15" s="1877"/>
      <c r="H15" s="1625">
        <v>3</v>
      </c>
      <c r="I15" s="1585">
        <v>1.51</v>
      </c>
      <c r="J15" s="1585">
        <v>1.41</v>
      </c>
      <c r="K15" s="1585">
        <v>1.52</v>
      </c>
      <c r="L15" s="1586">
        <v>1.74</v>
      </c>
      <c r="N15" s="1627">
        <f t="shared" ref="N15" si="86">I15/100</f>
        <v>1.5100000000000001E-2</v>
      </c>
      <c r="O15" s="1628">
        <f t="shared" ref="O15" si="87">J15/100</f>
        <v>1.41E-2</v>
      </c>
      <c r="P15" s="1628">
        <f t="shared" ref="P15" si="88">K15/100</f>
        <v>1.52E-2</v>
      </c>
      <c r="Q15" s="1628">
        <f t="shared" ref="Q15" si="89">L15/100</f>
        <v>1.7399999999999999E-2</v>
      </c>
      <c r="S15" s="1630"/>
      <c r="T15" s="1631"/>
      <c r="U15" s="1631"/>
      <c r="V15" s="1631"/>
    </row>
    <row r="16" spans="1:32" s="1588" customFormat="1" ht="14.45" customHeight="1">
      <c r="A16" s="1622" t="s">
        <v>1747</v>
      </c>
      <c r="B16" s="1623">
        <f t="shared" ref="B16:B21" si="90">B17*(1+N16)</f>
        <v>453.11529869999993</v>
      </c>
      <c r="C16" s="1623">
        <f t="shared" ref="C16" si="91">C17*(1+O16)</f>
        <v>336.47787264000004</v>
      </c>
      <c r="D16" s="1623">
        <f t="shared" ref="D16" si="92">C16</f>
        <v>336.47787264000004</v>
      </c>
      <c r="E16" s="1623">
        <f t="shared" ref="E16" si="93">E17*(1+P16)</f>
        <v>647.35186823999993</v>
      </c>
      <c r="F16" s="1623">
        <f t="shared" ref="F16" si="94">F17*(1+Q16)</f>
        <v>295.73229452000004</v>
      </c>
      <c r="G16" s="1877"/>
      <c r="H16" s="1638">
        <v>2</v>
      </c>
      <c r="I16" s="1639">
        <v>1.49</v>
      </c>
      <c r="J16" s="1639">
        <v>0.96</v>
      </c>
      <c r="K16" s="1639">
        <v>1.58</v>
      </c>
      <c r="L16" s="1640">
        <v>2.44</v>
      </c>
      <c r="N16" s="1627">
        <f t="shared" ref="N16" si="95">I16/100</f>
        <v>1.49E-2</v>
      </c>
      <c r="O16" s="1628">
        <f t="shared" ref="O16" si="96">J16/100</f>
        <v>9.5999999999999992E-3</v>
      </c>
      <c r="P16" s="1628">
        <f t="shared" ref="P16" si="97">K16/100</f>
        <v>1.5800000000000002E-2</v>
      </c>
      <c r="Q16" s="1628">
        <f t="shared" ref="Q16" si="98">L16/100</f>
        <v>2.4399999999999998E-2</v>
      </c>
      <c r="S16" s="1630"/>
      <c r="T16" s="1631"/>
      <c r="U16" s="1631"/>
      <c r="V16" s="1631"/>
    </row>
    <row r="17" spans="1:32" s="1588" customFormat="1" ht="15" customHeight="1" thickBot="1">
      <c r="A17" s="1622" t="s">
        <v>1746</v>
      </c>
      <c r="B17" s="1623">
        <f t="shared" si="90"/>
        <v>446.46299999999997</v>
      </c>
      <c r="C17" s="1623">
        <f t="shared" ref="C17" si="99">C18*(1+O17)</f>
        <v>333.27840000000003</v>
      </c>
      <c r="D17" s="1623">
        <f t="shared" ref="D17:D22" si="100">C17</f>
        <v>333.27840000000003</v>
      </c>
      <c r="E17" s="1623">
        <f t="shared" ref="E17" si="101">E18*(1+P17)</f>
        <v>637.28279999999995</v>
      </c>
      <c r="F17" s="1623">
        <f t="shared" ref="F17" si="102">F18*(1+Q17)</f>
        <v>288.68830000000003</v>
      </c>
      <c r="G17" s="1884"/>
      <c r="H17" s="1625">
        <v>1</v>
      </c>
      <c r="I17" s="1585">
        <v>1.7</v>
      </c>
      <c r="J17" s="1585">
        <v>1.92</v>
      </c>
      <c r="K17" s="1585">
        <v>1.64</v>
      </c>
      <c r="L17" s="1586">
        <v>2.0099999999999998</v>
      </c>
      <c r="N17" s="1627">
        <f t="shared" ref="N17" si="103">I17/100</f>
        <v>1.7000000000000001E-2</v>
      </c>
      <c r="O17" s="1628">
        <f t="shared" ref="O17" si="104">J17/100</f>
        <v>1.9199999999999998E-2</v>
      </c>
      <c r="P17" s="1628">
        <f t="shared" ref="P17" si="105">K17/100</f>
        <v>1.6399999999999998E-2</v>
      </c>
      <c r="Q17" s="1628">
        <f t="shared" ref="Q17" si="106">L17/100</f>
        <v>2.0099999999999996E-2</v>
      </c>
      <c r="S17" s="1630">
        <f>B17/B18-1</f>
        <v>1.6999999999999904E-2</v>
      </c>
      <c r="T17" s="1631">
        <f>C17/C18-1</f>
        <v>1.9200000000000106E-2</v>
      </c>
      <c r="U17" s="1631">
        <f>E17/E18-1</f>
        <v>1.639999999999997E-2</v>
      </c>
      <c r="V17" s="1631">
        <f>F17/F18-1</f>
        <v>2.0100000000000007E-2</v>
      </c>
    </row>
    <row r="18" spans="1:32">
      <c r="A18" s="1622" t="s">
        <v>1743</v>
      </c>
      <c r="B18" s="1635">
        <v>439</v>
      </c>
      <c r="C18" s="1635">
        <v>327</v>
      </c>
      <c r="D18" s="1635">
        <f t="shared" si="100"/>
        <v>327</v>
      </c>
      <c r="E18" s="1635">
        <v>627</v>
      </c>
      <c r="F18" s="1636">
        <v>283</v>
      </c>
      <c r="G18" s="1879">
        <v>2017</v>
      </c>
      <c r="H18" s="1634">
        <v>4</v>
      </c>
      <c r="I18" s="1634">
        <v>1.71</v>
      </c>
      <c r="J18" s="1634">
        <v>1.78</v>
      </c>
      <c r="K18" s="1634">
        <v>1.71</v>
      </c>
      <c r="L18" s="1633">
        <v>1.43</v>
      </c>
      <c r="N18" s="1627">
        <f t="shared" ref="N18" si="107">I18/100</f>
        <v>1.7100000000000001E-2</v>
      </c>
      <c r="O18" s="1628">
        <f t="shared" ref="O18" si="108">J18/100</f>
        <v>1.78E-2</v>
      </c>
      <c r="P18" s="1628">
        <f t="shared" ref="P18" si="109">K18/100</f>
        <v>1.7100000000000001E-2</v>
      </c>
      <c r="Q18" s="1628">
        <f t="shared" ref="Q18" si="110">L18/100</f>
        <v>1.43E-2</v>
      </c>
      <c r="R18" s="1629"/>
      <c r="S18" s="1637"/>
      <c r="T18" s="1632"/>
      <c r="U18" s="1632"/>
      <c r="V18" s="1632"/>
      <c r="AC18" s="1632"/>
      <c r="AD18" s="1632"/>
      <c r="AE18" s="1632"/>
      <c r="AF18" s="1632"/>
    </row>
    <row r="19" spans="1:32" s="1588" customFormat="1" ht="14.45" customHeight="1">
      <c r="A19" s="1622" t="s">
        <v>1740</v>
      </c>
      <c r="B19" s="1623">
        <f t="shared" si="90"/>
        <v>431.80730811680002</v>
      </c>
      <c r="C19" s="1623">
        <f t="shared" ref="C19:C20" si="111">C20*(1+O19)</f>
        <v>320.57880516480003</v>
      </c>
      <c r="D19" s="1623">
        <f t="shared" si="100"/>
        <v>320.57880516480003</v>
      </c>
      <c r="E19" s="1623">
        <f t="shared" ref="E19:F21" si="112">E20*(1+P19)</f>
        <v>615.96110553196797</v>
      </c>
      <c r="F19" s="1623">
        <f t="shared" si="112"/>
        <v>279.46777300108801</v>
      </c>
      <c r="G19" s="1877"/>
      <c r="H19" s="1625">
        <v>3</v>
      </c>
      <c r="I19" s="1585">
        <v>2.98</v>
      </c>
      <c r="J19" s="1585">
        <v>2.11</v>
      </c>
      <c r="K19" s="1585">
        <v>3.24</v>
      </c>
      <c r="L19" s="1586">
        <v>1.72</v>
      </c>
      <c r="N19" s="1627">
        <f t="shared" ref="N19:Q20" si="113">I19/100</f>
        <v>2.98E-2</v>
      </c>
      <c r="O19" s="1628">
        <f t="shared" si="113"/>
        <v>2.1099999999999997E-2</v>
      </c>
      <c r="P19" s="1628">
        <f t="shared" si="113"/>
        <v>3.2400000000000005E-2</v>
      </c>
      <c r="Q19" s="1628">
        <f t="shared" si="113"/>
        <v>1.72E-2</v>
      </c>
      <c r="S19" s="1641"/>
    </row>
    <row r="20" spans="1:32" s="1588" customFormat="1" ht="14.45" customHeight="1">
      <c r="A20" s="1622" t="s">
        <v>1640</v>
      </c>
      <c r="B20" s="1623">
        <f t="shared" si="90"/>
        <v>419.31181600000002</v>
      </c>
      <c r="C20" s="1623">
        <f t="shared" si="111"/>
        <v>313.95436800000004</v>
      </c>
      <c r="D20" s="1623">
        <f t="shared" si="100"/>
        <v>313.95436800000004</v>
      </c>
      <c r="E20" s="1623">
        <f t="shared" si="112"/>
        <v>596.63028431999999</v>
      </c>
      <c r="F20" s="1623">
        <f t="shared" si="112"/>
        <v>274.74220703999998</v>
      </c>
      <c r="G20" s="1877"/>
      <c r="H20" s="1638">
        <v>2</v>
      </c>
      <c r="I20" s="1639">
        <v>3.4</v>
      </c>
      <c r="J20" s="1639">
        <v>2</v>
      </c>
      <c r="K20" s="1639">
        <v>3.82</v>
      </c>
      <c r="L20" s="1640">
        <v>1.68</v>
      </c>
      <c r="N20" s="1627">
        <f t="shared" si="113"/>
        <v>3.4000000000000002E-2</v>
      </c>
      <c r="O20" s="1628">
        <f t="shared" si="113"/>
        <v>0.02</v>
      </c>
      <c r="P20" s="1628">
        <f t="shared" si="113"/>
        <v>3.8199999999999998E-2</v>
      </c>
      <c r="Q20" s="1628">
        <f t="shared" si="113"/>
        <v>1.6799999999999999E-2</v>
      </c>
      <c r="S20" s="1641"/>
    </row>
    <row r="21" spans="1:32" s="1588" customFormat="1" ht="15" customHeight="1" thickBot="1">
      <c r="A21" s="1622" t="s">
        <v>1641</v>
      </c>
      <c r="B21" s="1623">
        <f t="shared" si="90"/>
        <v>405.524</v>
      </c>
      <c r="C21" s="1623">
        <f t="shared" ref="C21" si="114">C22*(1+O21)</f>
        <v>307.79840000000002</v>
      </c>
      <c r="D21" s="1623">
        <f t="shared" si="100"/>
        <v>307.79840000000002</v>
      </c>
      <c r="E21" s="1623">
        <f t="shared" si="112"/>
        <v>574.67759999999998</v>
      </c>
      <c r="F21" s="1623">
        <f t="shared" si="112"/>
        <v>270.20280000000002</v>
      </c>
      <c r="G21" s="1884"/>
      <c r="H21" s="1625">
        <v>1</v>
      </c>
      <c r="I21" s="1585">
        <v>3.45</v>
      </c>
      <c r="J21" s="1585">
        <v>1.92</v>
      </c>
      <c r="K21" s="1585">
        <v>3.92</v>
      </c>
      <c r="L21" s="1586">
        <v>1.58</v>
      </c>
      <c r="N21" s="1627">
        <f>I21/100</f>
        <v>3.4500000000000003E-2</v>
      </c>
      <c r="O21" s="1628">
        <f t="shared" ref="O21" si="115">J21/100</f>
        <v>1.9199999999999998E-2</v>
      </c>
      <c r="P21" s="1628">
        <f t="shared" ref="P21" si="116">K21/100</f>
        <v>3.9199999999999999E-2</v>
      </c>
      <c r="Q21" s="1628">
        <f t="shared" ref="Q21" si="117">L21/100</f>
        <v>1.5800000000000002E-2</v>
      </c>
      <c r="S21" s="1630">
        <f>B21/B22-1</f>
        <v>3.4499999999999975E-2</v>
      </c>
      <c r="T21" s="1631">
        <f>C21/C22-1</f>
        <v>1.9200000000000106E-2</v>
      </c>
      <c r="U21" s="1631">
        <f>E21/E22-1</f>
        <v>3.9199999999999902E-2</v>
      </c>
      <c r="V21" s="1631">
        <f>F21/F22-1</f>
        <v>1.5800000000000036E-2</v>
      </c>
    </row>
    <row r="22" spans="1:32">
      <c r="A22" s="1622" t="s">
        <v>277</v>
      </c>
      <c r="B22" s="1642">
        <v>392</v>
      </c>
      <c r="C22" s="1642">
        <v>302</v>
      </c>
      <c r="D22" s="1642">
        <f t="shared" si="100"/>
        <v>302</v>
      </c>
      <c r="E22" s="1642">
        <v>553</v>
      </c>
      <c r="F22" s="1643">
        <v>266</v>
      </c>
      <c r="G22" s="1879">
        <v>2016</v>
      </c>
      <c r="H22" s="1634">
        <v>4</v>
      </c>
      <c r="I22" s="1634">
        <v>4.5599999999999996</v>
      </c>
      <c r="J22" s="1634">
        <v>2.15</v>
      </c>
      <c r="K22" s="1634">
        <v>5.32</v>
      </c>
      <c r="L22" s="1633">
        <v>1.57</v>
      </c>
      <c r="N22" s="1627">
        <f>I22/100</f>
        <v>4.5599999999999995E-2</v>
      </c>
      <c r="O22" s="1628">
        <f t="shared" ref="O22:Q37" si="118">J22/100</f>
        <v>2.1499999999999998E-2</v>
      </c>
      <c r="P22" s="1628">
        <f t="shared" si="118"/>
        <v>5.3200000000000004E-2</v>
      </c>
      <c r="Q22" s="1628">
        <f t="shared" si="118"/>
        <v>1.5700000000000002E-2</v>
      </c>
      <c r="R22" s="1629"/>
      <c r="S22" s="1637"/>
      <c r="T22" s="1632"/>
      <c r="U22" s="1632"/>
      <c r="V22" s="1632"/>
      <c r="AC22" s="1632"/>
      <c r="AD22" s="1632"/>
      <c r="AE22" s="1632"/>
      <c r="AF22" s="1632"/>
    </row>
    <row r="23" spans="1:32">
      <c r="A23" s="1622" t="s">
        <v>276</v>
      </c>
      <c r="B23" s="1623">
        <f t="shared" ref="B23:C25" si="119">B22/(1+N22)</f>
        <v>374.90436113236416</v>
      </c>
      <c r="C23" s="1623">
        <f t="shared" si="119"/>
        <v>295.64366128242779</v>
      </c>
      <c r="D23" s="1623">
        <f t="shared" ref="D23:D82" si="120">C23</f>
        <v>295.64366128242779</v>
      </c>
      <c r="E23" s="1623">
        <f t="shared" ref="E23:F25" si="121">E22/(1+P22)</f>
        <v>525.06646410938095</v>
      </c>
      <c r="F23" s="1623">
        <f t="shared" si="121"/>
        <v>261.88835286009646</v>
      </c>
      <c r="G23" s="1877"/>
      <c r="H23" s="1625">
        <v>3</v>
      </c>
      <c r="I23" s="1625">
        <v>4.12</v>
      </c>
      <c r="J23" s="1625">
        <v>2</v>
      </c>
      <c r="K23" s="1625">
        <v>4.79</v>
      </c>
      <c r="L23" s="1644">
        <v>1.97</v>
      </c>
      <c r="N23" s="1627">
        <f t="shared" ref="N23:Q57" si="122">I23/100</f>
        <v>4.1200000000000001E-2</v>
      </c>
      <c r="O23" s="1628">
        <f t="shared" si="118"/>
        <v>0.02</v>
      </c>
      <c r="P23" s="1628">
        <f t="shared" si="118"/>
        <v>4.7899999999999998E-2</v>
      </c>
      <c r="Q23" s="1628">
        <f t="shared" si="118"/>
        <v>1.9699999999999999E-2</v>
      </c>
      <c r="R23" s="1629"/>
      <c r="S23" s="1627"/>
      <c r="T23" s="1628"/>
      <c r="U23" s="1628"/>
      <c r="V23" s="1628"/>
    </row>
    <row r="24" spans="1:32">
      <c r="A24" s="1622" t="s">
        <v>266</v>
      </c>
      <c r="B24" s="1623">
        <f t="shared" si="119"/>
        <v>360.06949782209392</v>
      </c>
      <c r="C24" s="1623">
        <f t="shared" si="119"/>
        <v>289.84672674747821</v>
      </c>
      <c r="D24" s="1623">
        <f t="shared" si="120"/>
        <v>289.84672674747821</v>
      </c>
      <c r="E24" s="1623">
        <f t="shared" si="121"/>
        <v>501.06543001181495</v>
      </c>
      <c r="F24" s="1623">
        <f t="shared" si="121"/>
        <v>256.82882500744967</v>
      </c>
      <c r="G24" s="1877"/>
      <c r="H24" s="1638">
        <v>2</v>
      </c>
      <c r="I24" s="1638">
        <v>3.85</v>
      </c>
      <c r="J24" s="1638">
        <v>1.95</v>
      </c>
      <c r="K24" s="1638">
        <v>4.4800000000000004</v>
      </c>
      <c r="L24" s="1645">
        <v>1.41</v>
      </c>
      <c r="N24" s="1627">
        <f t="shared" si="122"/>
        <v>3.85E-2</v>
      </c>
      <c r="O24" s="1628">
        <f t="shared" si="118"/>
        <v>1.95E-2</v>
      </c>
      <c r="P24" s="1628">
        <f t="shared" si="118"/>
        <v>4.4800000000000006E-2</v>
      </c>
      <c r="Q24" s="1628">
        <f t="shared" si="118"/>
        <v>1.41E-2</v>
      </c>
      <c r="R24" s="1629"/>
      <c r="S24" s="1627"/>
      <c r="T24" s="1628"/>
      <c r="U24" s="1628"/>
      <c r="V24" s="1628"/>
    </row>
    <row r="25" spans="1:32" ht="13.5" thickBot="1">
      <c r="A25" s="1622" t="s">
        <v>275</v>
      </c>
      <c r="B25" s="1623">
        <f t="shared" si="119"/>
        <v>346.720748986128</v>
      </c>
      <c r="C25" s="1623">
        <f t="shared" si="119"/>
        <v>284.30282172386285</v>
      </c>
      <c r="D25" s="1623">
        <f t="shared" si="120"/>
        <v>284.30282172386285</v>
      </c>
      <c r="E25" s="1623">
        <f t="shared" si="121"/>
        <v>479.58023546306947</v>
      </c>
      <c r="F25" s="1623">
        <f t="shared" si="121"/>
        <v>253.25788877571213</v>
      </c>
      <c r="G25" s="1878"/>
      <c r="H25" s="1625">
        <v>1</v>
      </c>
      <c r="I25" s="1625">
        <v>4.09</v>
      </c>
      <c r="J25" s="1625">
        <v>2.93</v>
      </c>
      <c r="K25" s="1625">
        <v>4.54</v>
      </c>
      <c r="L25" s="1644">
        <v>1.48</v>
      </c>
      <c r="N25" s="1627">
        <f t="shared" si="122"/>
        <v>4.0899999999999999E-2</v>
      </c>
      <c r="O25" s="1628">
        <f t="shared" si="118"/>
        <v>2.9300000000000003E-2</v>
      </c>
      <c r="P25" s="1628">
        <f t="shared" si="118"/>
        <v>4.5400000000000003E-2</v>
      </c>
      <c r="Q25" s="1628">
        <f t="shared" si="118"/>
        <v>1.4800000000000001E-2</v>
      </c>
      <c r="R25" s="1629"/>
      <c r="S25" s="1630">
        <f>B25/B26-1</f>
        <v>4.1203450408792808E-2</v>
      </c>
      <c r="T25" s="1631">
        <f>C25/C26-1</f>
        <v>2.6363977342465095E-2</v>
      </c>
      <c r="U25" s="1631">
        <f>E25/E26-1</f>
        <v>4.4837114298626357E-2</v>
      </c>
      <c r="V25" s="1631">
        <f>F25/F26-1</f>
        <v>1.7099954922538574E-2</v>
      </c>
      <c r="AC25" s="1628"/>
      <c r="AD25" s="1628"/>
      <c r="AE25" s="1628"/>
      <c r="AF25" s="1628"/>
    </row>
    <row r="26" spans="1:32" ht="13.5" thickBot="1">
      <c r="A26" s="1622" t="s">
        <v>274</v>
      </c>
      <c r="B26" s="1642">
        <v>333</v>
      </c>
      <c r="C26" s="1642">
        <v>277</v>
      </c>
      <c r="D26" s="1642">
        <f t="shared" si="120"/>
        <v>277</v>
      </c>
      <c r="E26" s="1642">
        <v>459</v>
      </c>
      <c r="F26" s="1643">
        <v>249</v>
      </c>
      <c r="G26" s="1876">
        <v>2015</v>
      </c>
      <c r="H26" s="1646">
        <v>4</v>
      </c>
      <c r="I26" s="1646">
        <v>1.63</v>
      </c>
      <c r="J26" s="1646">
        <v>1.1100000000000001</v>
      </c>
      <c r="K26" s="1646">
        <v>1.77</v>
      </c>
      <c r="L26" s="1647">
        <v>1.89</v>
      </c>
      <c r="N26" s="1648">
        <f t="shared" si="122"/>
        <v>1.6299999999999999E-2</v>
      </c>
      <c r="O26" s="1649">
        <f t="shared" si="118"/>
        <v>1.11E-2</v>
      </c>
      <c r="P26" s="1649">
        <f t="shared" si="118"/>
        <v>1.77E-2</v>
      </c>
      <c r="Q26" s="1649">
        <f t="shared" si="118"/>
        <v>1.89E-2</v>
      </c>
      <c r="R26" s="1629"/>
      <c r="AC26" s="1632"/>
      <c r="AD26" s="1632"/>
      <c r="AE26" s="1632"/>
      <c r="AF26" s="1632"/>
    </row>
    <row r="27" spans="1:32">
      <c r="A27" s="1622" t="s">
        <v>273</v>
      </c>
      <c r="B27" s="1623">
        <f t="shared" ref="B27:C29" si="123">B26/(1+N26)</f>
        <v>327.65915576109415</v>
      </c>
      <c r="C27" s="1623">
        <f t="shared" si="123"/>
        <v>273.95905449510434</v>
      </c>
      <c r="D27" s="1623">
        <f t="shared" si="120"/>
        <v>273.95905449510434</v>
      </c>
      <c r="E27" s="1623">
        <f t="shared" ref="E27:F29" si="124">E26/(1+P26)</f>
        <v>451.01699911565294</v>
      </c>
      <c r="F27" s="1623">
        <f t="shared" si="124"/>
        <v>244.38119540681129</v>
      </c>
      <c r="G27" s="1877"/>
      <c r="H27" s="1651">
        <v>3</v>
      </c>
      <c r="I27" s="1651">
        <v>1.65</v>
      </c>
      <c r="J27" s="1651">
        <v>0.92</v>
      </c>
      <c r="K27" s="1651">
        <v>1.88</v>
      </c>
      <c r="L27" s="1652">
        <v>1.26</v>
      </c>
      <c r="N27" s="1627">
        <f t="shared" si="122"/>
        <v>1.6500000000000001E-2</v>
      </c>
      <c r="O27" s="1653">
        <f t="shared" si="118"/>
        <v>9.1999999999999998E-3</v>
      </c>
      <c r="P27" s="1653">
        <f t="shared" si="118"/>
        <v>1.8799999999999997E-2</v>
      </c>
      <c r="Q27" s="1653">
        <f t="shared" si="118"/>
        <v>1.26E-2</v>
      </c>
      <c r="R27" s="1629"/>
      <c r="S27" s="1627"/>
      <c r="T27" s="1628"/>
      <c r="U27" s="1628"/>
      <c r="V27" s="1628"/>
    </row>
    <row r="28" spans="1:32">
      <c r="A28" s="1622" t="s">
        <v>272</v>
      </c>
      <c r="B28" s="1623">
        <f t="shared" si="123"/>
        <v>322.34053690220776</v>
      </c>
      <c r="C28" s="1623">
        <f t="shared" si="123"/>
        <v>271.46160770422546</v>
      </c>
      <c r="D28" s="1623">
        <f t="shared" si="120"/>
        <v>271.46160770422546</v>
      </c>
      <c r="E28" s="1623">
        <f t="shared" si="124"/>
        <v>442.69434542172456</v>
      </c>
      <c r="F28" s="1623">
        <f t="shared" si="124"/>
        <v>241.34030753190925</v>
      </c>
      <c r="G28" s="1877"/>
      <c r="H28" s="1638">
        <v>2</v>
      </c>
      <c r="I28" s="1638">
        <v>0.77</v>
      </c>
      <c r="J28" s="1638">
        <v>0.69</v>
      </c>
      <c r="K28" s="1638">
        <v>0.8</v>
      </c>
      <c r="L28" s="1645">
        <v>0.88</v>
      </c>
      <c r="N28" s="1627">
        <f t="shared" si="122"/>
        <v>7.7000000000000002E-3</v>
      </c>
      <c r="O28" s="1653">
        <f t="shared" si="118"/>
        <v>6.8999999999999999E-3</v>
      </c>
      <c r="P28" s="1653">
        <f t="shared" si="118"/>
        <v>8.0000000000000002E-3</v>
      </c>
      <c r="Q28" s="1653">
        <f t="shared" si="118"/>
        <v>8.8000000000000005E-3</v>
      </c>
      <c r="R28" s="1629"/>
      <c r="S28" s="1627"/>
      <c r="T28" s="1628"/>
      <c r="U28" s="1628"/>
      <c r="V28" s="1628"/>
    </row>
    <row r="29" spans="1:32">
      <c r="A29" s="1622" t="s">
        <v>271</v>
      </c>
      <c r="B29" s="1623">
        <f t="shared" si="123"/>
        <v>319.87748030386797</v>
      </c>
      <c r="C29" s="1623">
        <f t="shared" si="123"/>
        <v>269.60135833173649</v>
      </c>
      <c r="D29" s="1623">
        <f t="shared" si="120"/>
        <v>269.60135833173649</v>
      </c>
      <c r="E29" s="1623">
        <f t="shared" si="124"/>
        <v>439.18089823583784</v>
      </c>
      <c r="F29" s="1623">
        <f t="shared" si="124"/>
        <v>239.23503918706311</v>
      </c>
      <c r="G29" s="1878"/>
      <c r="H29" s="1625">
        <v>1</v>
      </c>
      <c r="I29" s="1625">
        <v>0.51</v>
      </c>
      <c r="J29" s="1625">
        <v>0.54</v>
      </c>
      <c r="K29" s="1625">
        <v>0.48</v>
      </c>
      <c r="L29" s="1644">
        <v>0.93</v>
      </c>
      <c r="N29" s="1630">
        <f t="shared" si="122"/>
        <v>5.1000000000000004E-3</v>
      </c>
      <c r="O29" s="1631">
        <f t="shared" si="118"/>
        <v>5.4000000000000003E-3</v>
      </c>
      <c r="P29" s="1631">
        <f t="shared" si="118"/>
        <v>4.7999999999999996E-3</v>
      </c>
      <c r="Q29" s="1631">
        <f t="shared" si="118"/>
        <v>9.300000000000001E-3</v>
      </c>
      <c r="R29" s="1629"/>
      <c r="S29" s="1630">
        <f>B29/B30-1</f>
        <v>5.9040261127922822E-3</v>
      </c>
      <c r="T29" s="1631">
        <f>C29/C30-1</f>
        <v>5.9752176557332781E-3</v>
      </c>
      <c r="U29" s="1631">
        <f>E29/E30-1</f>
        <v>4.9906138119859556E-3</v>
      </c>
      <c r="V29" s="1631">
        <f>F29/F30-1</f>
        <v>9.4305450930933787E-3</v>
      </c>
      <c r="AC29" s="1628"/>
      <c r="AD29" s="1628"/>
      <c r="AE29" s="1628"/>
      <c r="AF29" s="1628"/>
    </row>
    <row r="30" spans="1:32" ht="13.5" thickBot="1">
      <c r="A30" s="1622" t="s">
        <v>270</v>
      </c>
      <c r="B30" s="1654">
        <v>318</v>
      </c>
      <c r="C30" s="1654">
        <v>268</v>
      </c>
      <c r="D30" s="1654">
        <f t="shared" si="120"/>
        <v>268</v>
      </c>
      <c r="E30" s="1654">
        <v>437</v>
      </c>
      <c r="F30" s="1655">
        <v>237</v>
      </c>
      <c r="G30" s="1876">
        <v>2014</v>
      </c>
      <c r="H30" s="1646">
        <v>4</v>
      </c>
      <c r="I30" s="1646">
        <v>0.21</v>
      </c>
      <c r="J30" s="1646">
        <v>0.41</v>
      </c>
      <c r="K30" s="1646">
        <v>0.12</v>
      </c>
      <c r="L30" s="1647">
        <v>0.89</v>
      </c>
      <c r="N30" s="1627">
        <f t="shared" si="122"/>
        <v>2.0999999999999999E-3</v>
      </c>
      <c r="O30" s="1628">
        <f t="shared" si="118"/>
        <v>4.0999999999999995E-3</v>
      </c>
      <c r="P30" s="1628">
        <f t="shared" si="118"/>
        <v>1.1999999999999999E-3</v>
      </c>
      <c r="Q30" s="1628">
        <f t="shared" si="118"/>
        <v>8.8999999999999999E-3</v>
      </c>
      <c r="R30" s="1629"/>
      <c r="S30" s="1637"/>
      <c r="T30" s="1632"/>
      <c r="U30" s="1632"/>
      <c r="V30" s="1632"/>
      <c r="AC30" s="1632"/>
      <c r="AD30" s="1632"/>
      <c r="AE30" s="1632"/>
      <c r="AF30" s="1632"/>
    </row>
    <row r="31" spans="1:32">
      <c r="A31" s="1622" t="s">
        <v>269</v>
      </c>
      <c r="B31" s="1623">
        <f t="shared" ref="B31:C33" si="125">B30/(1+N30)</f>
        <v>317.33359944117353</v>
      </c>
      <c r="C31" s="1623">
        <f t="shared" si="125"/>
        <v>266.90568668459315</v>
      </c>
      <c r="D31" s="1623">
        <f t="shared" si="120"/>
        <v>266.90568668459315</v>
      </c>
      <c r="E31" s="1623">
        <f t="shared" ref="E31:F33" si="126">E30/(1+P30)</f>
        <v>436.47622852576905</v>
      </c>
      <c r="F31" s="1623">
        <f t="shared" si="126"/>
        <v>234.90930716622066</v>
      </c>
      <c r="G31" s="1877"/>
      <c r="H31" s="1656">
        <v>3</v>
      </c>
      <c r="I31" s="1656">
        <v>0.83</v>
      </c>
      <c r="J31" s="1656">
        <v>1.47</v>
      </c>
      <c r="K31" s="1656">
        <v>0.65</v>
      </c>
      <c r="L31" s="1657">
        <v>0.72</v>
      </c>
      <c r="N31" s="1627">
        <f t="shared" si="122"/>
        <v>8.3000000000000001E-3</v>
      </c>
      <c r="O31" s="1628">
        <f t="shared" si="118"/>
        <v>1.47E-2</v>
      </c>
      <c r="P31" s="1628">
        <f t="shared" si="118"/>
        <v>6.5000000000000006E-3</v>
      </c>
      <c r="Q31" s="1628">
        <f t="shared" si="118"/>
        <v>7.1999999999999998E-3</v>
      </c>
      <c r="R31" s="1629"/>
      <c r="S31" s="1627"/>
      <c r="T31" s="1628"/>
      <c r="U31" s="1628"/>
      <c r="V31" s="1628"/>
    </row>
    <row r="32" spans="1:32" ht="13.5" thickBot="1">
      <c r="A32" s="1622" t="s">
        <v>268</v>
      </c>
      <c r="B32" s="1623">
        <f t="shared" si="125"/>
        <v>314.72141172386546</v>
      </c>
      <c r="C32" s="1623">
        <f t="shared" si="125"/>
        <v>263.03901319069001</v>
      </c>
      <c r="D32" s="1623">
        <f t="shared" si="120"/>
        <v>263.03901319069001</v>
      </c>
      <c r="E32" s="1623">
        <f t="shared" si="126"/>
        <v>433.65745506782821</v>
      </c>
      <c r="F32" s="1623">
        <f t="shared" si="126"/>
        <v>233.23005080045735</v>
      </c>
      <c r="G32" s="1877"/>
      <c r="H32" s="1646">
        <v>2</v>
      </c>
      <c r="I32" s="1646">
        <v>2.4</v>
      </c>
      <c r="J32" s="1646">
        <v>2.0299999999999998</v>
      </c>
      <c r="K32" s="1646">
        <v>2.59</v>
      </c>
      <c r="L32" s="1647">
        <v>1.52</v>
      </c>
      <c r="N32" s="1627">
        <f t="shared" si="122"/>
        <v>2.4E-2</v>
      </c>
      <c r="O32" s="1628">
        <f t="shared" si="118"/>
        <v>2.0299999999999999E-2</v>
      </c>
      <c r="P32" s="1628">
        <f t="shared" si="118"/>
        <v>2.5899999999999999E-2</v>
      </c>
      <c r="Q32" s="1628">
        <f t="shared" si="118"/>
        <v>1.52E-2</v>
      </c>
      <c r="R32" s="1629"/>
      <c r="S32" s="1627"/>
      <c r="T32" s="1628"/>
      <c r="U32" s="1628"/>
      <c r="V32" s="1628"/>
    </row>
    <row r="33" spans="1:32" s="1662" customFormat="1" ht="13.5" thickBot="1">
      <c r="A33" s="1658" t="s">
        <v>267</v>
      </c>
      <c r="B33" s="1659">
        <f t="shared" si="125"/>
        <v>307.34512863658733</v>
      </c>
      <c r="C33" s="1659">
        <f t="shared" si="125"/>
        <v>257.80556031626975</v>
      </c>
      <c r="D33" s="1659">
        <f t="shared" si="120"/>
        <v>257.80556031626975</v>
      </c>
      <c r="E33" s="1659">
        <f t="shared" si="126"/>
        <v>422.70928459677179</v>
      </c>
      <c r="F33" s="1659">
        <f t="shared" si="126"/>
        <v>229.73803270336617</v>
      </c>
      <c r="G33" s="1878"/>
      <c r="H33" s="1660">
        <v>1</v>
      </c>
      <c r="I33" s="1660">
        <v>2.97</v>
      </c>
      <c r="J33" s="1660">
        <v>2.34</v>
      </c>
      <c r="K33" s="1660">
        <v>3.28</v>
      </c>
      <c r="L33" s="1661">
        <v>1.36</v>
      </c>
      <c r="N33" s="1663">
        <f t="shared" si="122"/>
        <v>2.9700000000000001E-2</v>
      </c>
      <c r="O33" s="1664">
        <f t="shared" si="118"/>
        <v>2.3399999999999997E-2</v>
      </c>
      <c r="P33" s="1664">
        <f t="shared" si="118"/>
        <v>3.2799999999999996E-2</v>
      </c>
      <c r="Q33" s="1664">
        <f t="shared" si="118"/>
        <v>1.3600000000000001E-2</v>
      </c>
      <c r="R33" s="1665"/>
      <c r="S33" s="1666">
        <f>B33/B34-1</f>
        <v>2.7910129219355539E-2</v>
      </c>
      <c r="T33" s="1667">
        <f>C33/C34-1</f>
        <v>2.3037937762975247E-2</v>
      </c>
      <c r="U33" s="1667">
        <f>E33/E34-1</f>
        <v>3.3519033243940788E-2</v>
      </c>
      <c r="V33" s="1667">
        <f>F33/F34-1</f>
        <v>1.2061818076502862E-2</v>
      </c>
      <c r="AC33" s="1664"/>
      <c r="AD33" s="1664"/>
      <c r="AE33" s="1664"/>
      <c r="AF33" s="1664"/>
    </row>
    <row r="34" spans="1:32" ht="13.5" thickBot="1">
      <c r="A34" s="1622" t="s">
        <v>1642</v>
      </c>
      <c r="B34" s="1642">
        <v>299</v>
      </c>
      <c r="C34" s="1642">
        <v>252</v>
      </c>
      <c r="D34" s="1642">
        <f t="shared" si="120"/>
        <v>252</v>
      </c>
      <c r="E34" s="1642">
        <v>409</v>
      </c>
      <c r="F34" s="1643">
        <v>227</v>
      </c>
      <c r="G34" s="1880">
        <v>2013</v>
      </c>
      <c r="H34" s="1668">
        <v>4</v>
      </c>
      <c r="I34" s="1668">
        <v>1.83</v>
      </c>
      <c r="J34" s="1668">
        <v>1.68</v>
      </c>
      <c r="K34" s="1668">
        <v>1.97</v>
      </c>
      <c r="L34" s="1669">
        <v>0.87</v>
      </c>
      <c r="N34" s="1648">
        <f t="shared" si="122"/>
        <v>1.83E-2</v>
      </c>
      <c r="O34" s="1649">
        <f t="shared" si="118"/>
        <v>1.6799999999999999E-2</v>
      </c>
      <c r="P34" s="1649">
        <f t="shared" si="118"/>
        <v>1.9699999999999999E-2</v>
      </c>
      <c r="Q34" s="1649">
        <f t="shared" si="118"/>
        <v>8.6999999999999994E-3</v>
      </c>
      <c r="R34" s="1629"/>
      <c r="S34" s="1637"/>
      <c r="T34" s="1632"/>
      <c r="U34" s="1632"/>
      <c r="V34" s="1632"/>
      <c r="AC34" s="1632"/>
      <c r="AD34" s="1632"/>
      <c r="AE34" s="1632"/>
      <c r="AF34" s="1632"/>
    </row>
    <row r="35" spans="1:32">
      <c r="A35" s="1622" t="s">
        <v>1643</v>
      </c>
      <c r="B35" s="1623">
        <f t="shared" ref="B35:C37" si="127">B34/(1+N34)</f>
        <v>293.62663262299913</v>
      </c>
      <c r="C35" s="1623">
        <f t="shared" si="127"/>
        <v>247.83634933123525</v>
      </c>
      <c r="D35" s="1623">
        <f t="shared" si="120"/>
        <v>247.83634933123525</v>
      </c>
      <c r="E35" s="1623">
        <f t="shared" ref="E35:F37" si="128">E34/(1+P34)</f>
        <v>401.09836226341076</v>
      </c>
      <c r="F35" s="1623">
        <f t="shared" si="128"/>
        <v>225.04213343908003</v>
      </c>
      <c r="G35" s="1881"/>
      <c r="H35" s="1651">
        <v>3</v>
      </c>
      <c r="I35" s="1651">
        <v>1.86</v>
      </c>
      <c r="J35" s="1651">
        <v>1.72</v>
      </c>
      <c r="K35" s="1651">
        <v>1.98</v>
      </c>
      <c r="L35" s="1652">
        <v>0.88</v>
      </c>
      <c r="N35" s="1627">
        <f t="shared" si="122"/>
        <v>1.8600000000000002E-2</v>
      </c>
      <c r="O35" s="1653">
        <f t="shared" si="118"/>
        <v>1.72E-2</v>
      </c>
      <c r="P35" s="1653">
        <f t="shared" si="118"/>
        <v>1.9799999999999998E-2</v>
      </c>
      <c r="Q35" s="1653">
        <f t="shared" si="118"/>
        <v>8.8000000000000005E-3</v>
      </c>
      <c r="R35" s="1629"/>
      <c r="S35" s="1627"/>
      <c r="T35" s="1628"/>
      <c r="U35" s="1628"/>
      <c r="V35" s="1628"/>
    </row>
    <row r="36" spans="1:32">
      <c r="A36" s="1622" t="s">
        <v>1644</v>
      </c>
      <c r="B36" s="1623">
        <f t="shared" si="127"/>
        <v>288.2649053828776</v>
      </c>
      <c r="C36" s="1623">
        <f t="shared" si="127"/>
        <v>243.64564425013293</v>
      </c>
      <c r="D36" s="1623">
        <f t="shared" si="120"/>
        <v>243.64564425013293</v>
      </c>
      <c r="E36" s="1623">
        <f t="shared" si="128"/>
        <v>393.31080825986544</v>
      </c>
      <c r="F36" s="1623">
        <f t="shared" si="128"/>
        <v>223.07903790551154</v>
      </c>
      <c r="G36" s="1881"/>
      <c r="H36" s="1638">
        <v>2</v>
      </c>
      <c r="I36" s="1638">
        <v>2.04</v>
      </c>
      <c r="J36" s="1638">
        <v>2.33</v>
      </c>
      <c r="K36" s="1638">
        <v>2.0699999999999998</v>
      </c>
      <c r="L36" s="1645">
        <v>0.69</v>
      </c>
      <c r="N36" s="1627">
        <f t="shared" si="122"/>
        <v>2.0400000000000001E-2</v>
      </c>
      <c r="O36" s="1653">
        <f t="shared" si="118"/>
        <v>2.3300000000000001E-2</v>
      </c>
      <c r="P36" s="1653">
        <f t="shared" si="118"/>
        <v>2.07E-2</v>
      </c>
      <c r="Q36" s="1653">
        <f t="shared" si="118"/>
        <v>6.8999999999999999E-3</v>
      </c>
      <c r="R36" s="1629"/>
      <c r="S36" s="1627"/>
      <c r="T36" s="1628"/>
      <c r="U36" s="1628"/>
      <c r="V36" s="1628"/>
    </row>
    <row r="37" spans="1:32">
      <c r="A37" s="1622" t="s">
        <v>1645</v>
      </c>
      <c r="B37" s="1623">
        <f t="shared" si="127"/>
        <v>282.50186729015837</v>
      </c>
      <c r="C37" s="1623">
        <f t="shared" si="127"/>
        <v>238.09796174155468</v>
      </c>
      <c r="D37" s="1623">
        <f t="shared" si="120"/>
        <v>238.09796174155468</v>
      </c>
      <c r="E37" s="1623">
        <f t="shared" si="128"/>
        <v>385.33438646014054</v>
      </c>
      <c r="F37" s="1623">
        <f t="shared" si="128"/>
        <v>221.55034055567739</v>
      </c>
      <c r="G37" s="1882"/>
      <c r="H37" s="1625">
        <v>1</v>
      </c>
      <c r="I37" s="1625">
        <v>1.67</v>
      </c>
      <c r="J37" s="1625">
        <v>1.31</v>
      </c>
      <c r="K37" s="1625">
        <v>1.85</v>
      </c>
      <c r="L37" s="1644">
        <v>0.96</v>
      </c>
      <c r="N37" s="1630">
        <f t="shared" si="122"/>
        <v>1.67E-2</v>
      </c>
      <c r="O37" s="1631">
        <f t="shared" si="118"/>
        <v>1.3100000000000001E-2</v>
      </c>
      <c r="P37" s="1631">
        <f t="shared" si="118"/>
        <v>1.8500000000000003E-2</v>
      </c>
      <c r="Q37" s="1631">
        <f t="shared" si="118"/>
        <v>9.5999999999999992E-3</v>
      </c>
      <c r="R37" s="1629"/>
      <c r="S37" s="1630">
        <f>B37/B38-1</f>
        <v>1.6193767230785472E-2</v>
      </c>
      <c r="T37" s="1631">
        <f>C37/C38-1</f>
        <v>1.7512657015190891E-2</v>
      </c>
      <c r="U37" s="1631">
        <f>E37/E38-1</f>
        <v>1.6713420739157048E-2</v>
      </c>
      <c r="V37" s="1631">
        <f>F37/F38-1</f>
        <v>7.0470025258062563E-3</v>
      </c>
      <c r="AC37" s="1628"/>
      <c r="AD37" s="1628"/>
      <c r="AE37" s="1628"/>
      <c r="AF37" s="1628"/>
    </row>
    <row r="38" spans="1:32" ht="13.5" thickBot="1">
      <c r="A38" s="1622" t="s">
        <v>1646</v>
      </c>
      <c r="B38" s="1670">
        <v>278</v>
      </c>
      <c r="C38" s="1670">
        <v>234</v>
      </c>
      <c r="D38" s="1670">
        <f t="shared" si="120"/>
        <v>234</v>
      </c>
      <c r="E38" s="1670">
        <v>379</v>
      </c>
      <c r="F38" s="1671">
        <v>220</v>
      </c>
      <c r="G38" s="1876">
        <v>2012</v>
      </c>
      <c r="H38" s="1646">
        <v>4</v>
      </c>
      <c r="I38" s="1646">
        <v>0.91</v>
      </c>
      <c r="J38" s="1646">
        <v>0.68</v>
      </c>
      <c r="K38" s="1646">
        <v>0.98</v>
      </c>
      <c r="L38" s="1647">
        <v>0.9</v>
      </c>
      <c r="N38" s="1627">
        <f t="shared" si="122"/>
        <v>9.1000000000000004E-3</v>
      </c>
      <c r="O38" s="1628">
        <f t="shared" si="122"/>
        <v>6.8000000000000005E-3</v>
      </c>
      <c r="P38" s="1628">
        <f t="shared" si="122"/>
        <v>9.7999999999999997E-3</v>
      </c>
      <c r="Q38" s="1628">
        <f t="shared" si="122"/>
        <v>9.0000000000000011E-3</v>
      </c>
      <c r="R38" s="1629"/>
      <c r="S38" s="1637"/>
      <c r="T38" s="1632"/>
      <c r="U38" s="1632"/>
      <c r="V38" s="1632"/>
      <c r="AC38" s="1632"/>
      <c r="AD38" s="1632"/>
      <c r="AE38" s="1632"/>
      <c r="AF38" s="1632"/>
    </row>
    <row r="39" spans="1:32">
      <c r="A39" s="1622" t="s">
        <v>1647</v>
      </c>
      <c r="B39" s="1623">
        <f>B38/(1+N38)</f>
        <v>275.49301357645425</v>
      </c>
      <c r="C39" s="1623">
        <f>C38/(1+O38)</f>
        <v>232.41954707985698</v>
      </c>
      <c r="D39" s="1623">
        <f t="shared" si="120"/>
        <v>232.41954707985698</v>
      </c>
      <c r="E39" s="1623">
        <f t="shared" ref="E39:F41" si="129">E38/(1+P38)</f>
        <v>375.32184591008121</v>
      </c>
      <c r="F39" s="1623">
        <f t="shared" si="129"/>
        <v>218.03766105054513</v>
      </c>
      <c r="G39" s="1877"/>
      <c r="H39" s="1651">
        <v>3</v>
      </c>
      <c r="I39" s="1651">
        <v>0.09</v>
      </c>
      <c r="J39" s="1651">
        <v>0.28999999999999998</v>
      </c>
      <c r="K39" s="1651">
        <v>-0.01</v>
      </c>
      <c r="L39" s="1652">
        <v>0.57999999999999996</v>
      </c>
      <c r="N39" s="1627">
        <f t="shared" si="122"/>
        <v>8.9999999999999998E-4</v>
      </c>
      <c r="O39" s="1628">
        <f t="shared" si="122"/>
        <v>2.8999999999999998E-3</v>
      </c>
      <c r="P39" s="1628">
        <f t="shared" si="122"/>
        <v>-1E-4</v>
      </c>
      <c r="Q39" s="1628">
        <f t="shared" si="122"/>
        <v>5.7999999999999996E-3</v>
      </c>
      <c r="R39" s="1629"/>
      <c r="S39" s="1627"/>
      <c r="T39" s="1628"/>
      <c r="U39" s="1628"/>
      <c r="V39" s="1628"/>
    </row>
    <row r="40" spans="1:32">
      <c r="A40" s="1622" t="s">
        <v>1648</v>
      </c>
      <c r="B40" s="1623">
        <f>B39/(1+N39)</f>
        <v>275.24529281292263</v>
      </c>
      <c r="C40" s="1623">
        <f>C39/(1+O39)</f>
        <v>231.74747938962707</v>
      </c>
      <c r="D40" s="1623">
        <f t="shared" si="120"/>
        <v>231.74747938962707</v>
      </c>
      <c r="E40" s="1623">
        <f t="shared" si="129"/>
        <v>375.35938184826603</v>
      </c>
      <c r="F40" s="1623">
        <f t="shared" si="129"/>
        <v>216.78033510692495</v>
      </c>
      <c r="G40" s="1877"/>
      <c r="H40" s="1638">
        <v>2</v>
      </c>
      <c r="I40" s="1638">
        <v>0.02</v>
      </c>
      <c r="J40" s="1638">
        <v>0.12</v>
      </c>
      <c r="K40" s="1638">
        <v>-0.08</v>
      </c>
      <c r="L40" s="1645">
        <v>1.24</v>
      </c>
      <c r="N40" s="1627">
        <f t="shared" si="122"/>
        <v>2.0000000000000001E-4</v>
      </c>
      <c r="O40" s="1628">
        <f t="shared" si="122"/>
        <v>1.1999999999999999E-3</v>
      </c>
      <c r="P40" s="1628">
        <f t="shared" si="122"/>
        <v>-8.0000000000000004E-4</v>
      </c>
      <c r="Q40" s="1628">
        <f t="shared" si="122"/>
        <v>1.24E-2</v>
      </c>
      <c r="R40" s="1629"/>
      <c r="S40" s="1627"/>
      <c r="T40" s="1628"/>
      <c r="U40" s="1628"/>
      <c r="V40" s="1628"/>
    </row>
    <row r="41" spans="1:32" ht="13.5" thickBot="1">
      <c r="A41" s="1622" t="s">
        <v>1649</v>
      </c>
      <c r="B41" s="1623">
        <f>B40/(1+N40)</f>
        <v>275.19025476197027</v>
      </c>
      <c r="C41" s="1672">
        <v>232</v>
      </c>
      <c r="D41" s="1672">
        <f t="shared" si="120"/>
        <v>232</v>
      </c>
      <c r="E41" s="1623">
        <f t="shared" si="129"/>
        <v>375.65990977608692</v>
      </c>
      <c r="F41" s="1623">
        <f t="shared" si="129"/>
        <v>214.12518283971252</v>
      </c>
      <c r="G41" s="1878"/>
      <c r="H41" s="1625">
        <v>1</v>
      </c>
      <c r="I41" s="1625">
        <v>0.02</v>
      </c>
      <c r="J41" s="1625">
        <v>0.13</v>
      </c>
      <c r="K41" s="1625">
        <v>-0.04</v>
      </c>
      <c r="L41" s="1644">
        <v>0.46</v>
      </c>
      <c r="N41" s="1627">
        <f t="shared" si="122"/>
        <v>2.0000000000000001E-4</v>
      </c>
      <c r="O41" s="1628">
        <f t="shared" si="122"/>
        <v>1.2999999999999999E-3</v>
      </c>
      <c r="P41" s="1628">
        <f t="shared" si="122"/>
        <v>-4.0000000000000002E-4</v>
      </c>
      <c r="Q41" s="1628">
        <f t="shared" si="122"/>
        <v>4.5999999999999999E-3</v>
      </c>
      <c r="R41" s="1629"/>
      <c r="S41" s="1630">
        <f>B41/B42-1</f>
        <v>6.9183549807361189E-4</v>
      </c>
      <c r="T41" s="1631">
        <f>C41/C42-1</f>
        <v>0</v>
      </c>
      <c r="U41" s="1631">
        <f>E41/E42-1</f>
        <v>-9.0449527636460303E-4</v>
      </c>
      <c r="V41" s="1631">
        <f>F41/F42-1</f>
        <v>5.2825485432512753E-3</v>
      </c>
      <c r="AC41" s="1628"/>
      <c r="AD41" s="1628"/>
      <c r="AE41" s="1628"/>
      <c r="AF41" s="1628"/>
    </row>
    <row r="42" spans="1:32" ht="13.5" thickBot="1">
      <c r="A42" s="1622" t="s">
        <v>1650</v>
      </c>
      <c r="B42" s="1642">
        <v>275</v>
      </c>
      <c r="C42" s="1642">
        <v>232</v>
      </c>
      <c r="D42" s="1642">
        <f t="shared" si="120"/>
        <v>232</v>
      </c>
      <c r="E42" s="1642">
        <v>376</v>
      </c>
      <c r="F42" s="1643">
        <v>213</v>
      </c>
      <c r="G42" s="1876">
        <v>2011</v>
      </c>
      <c r="H42" s="1646">
        <v>4</v>
      </c>
      <c r="I42" s="1646">
        <v>-0.2</v>
      </c>
      <c r="J42" s="1646">
        <v>0.04</v>
      </c>
      <c r="K42" s="1646">
        <v>-0.34</v>
      </c>
      <c r="L42" s="1647">
        <v>0.46</v>
      </c>
      <c r="N42" s="1648">
        <f t="shared" si="122"/>
        <v>-2E-3</v>
      </c>
      <c r="O42" s="1649">
        <f t="shared" si="122"/>
        <v>4.0000000000000002E-4</v>
      </c>
      <c r="P42" s="1649">
        <f t="shared" si="122"/>
        <v>-3.4000000000000002E-3</v>
      </c>
      <c r="Q42" s="1649">
        <f t="shared" si="122"/>
        <v>4.5999999999999999E-3</v>
      </c>
      <c r="R42" s="1629"/>
      <c r="S42" s="1637"/>
      <c r="T42" s="1632"/>
      <c r="U42" s="1632"/>
      <c r="V42" s="1632"/>
      <c r="AC42" s="1632"/>
      <c r="AD42" s="1632"/>
      <c r="AE42" s="1632"/>
      <c r="AF42" s="1632"/>
    </row>
    <row r="43" spans="1:32">
      <c r="A43" s="1622" t="s">
        <v>1651</v>
      </c>
      <c r="B43" s="1623">
        <f t="shared" ref="B43:C45" si="130">B42/(1+N42)</f>
        <v>275.55110220440883</v>
      </c>
      <c r="C43" s="1623">
        <f t="shared" si="130"/>
        <v>231.90723710515795</v>
      </c>
      <c r="D43" s="1623">
        <f t="shared" si="120"/>
        <v>231.90723710515795</v>
      </c>
      <c r="E43" s="1623">
        <f t="shared" ref="E43:F45" si="131">E42/(1+P42)</f>
        <v>377.28276138872161</v>
      </c>
      <c r="F43" s="1623">
        <f t="shared" si="131"/>
        <v>212.02468644236512</v>
      </c>
      <c r="G43" s="1877">
        <v>2011</v>
      </c>
      <c r="H43" s="1651">
        <v>3</v>
      </c>
      <c r="I43" s="1651">
        <v>0.13</v>
      </c>
      <c r="J43" s="1651">
        <v>0.75</v>
      </c>
      <c r="K43" s="1651">
        <v>-0.08</v>
      </c>
      <c r="L43" s="1652">
        <v>0.53</v>
      </c>
      <c r="N43" s="1627">
        <f t="shared" si="122"/>
        <v>1.2999999999999999E-3</v>
      </c>
      <c r="O43" s="1653">
        <f t="shared" si="122"/>
        <v>7.4999999999999997E-3</v>
      </c>
      <c r="P43" s="1653">
        <f t="shared" si="122"/>
        <v>-8.0000000000000004E-4</v>
      </c>
      <c r="Q43" s="1653">
        <f t="shared" si="122"/>
        <v>5.3E-3</v>
      </c>
      <c r="R43" s="1629"/>
      <c r="S43" s="1627"/>
      <c r="T43" s="1628"/>
      <c r="U43" s="1628"/>
      <c r="V43" s="1628"/>
    </row>
    <row r="44" spans="1:32">
      <c r="A44" s="1622" t="s">
        <v>1652</v>
      </c>
      <c r="B44" s="1623">
        <f t="shared" si="130"/>
        <v>275.19335084830601</v>
      </c>
      <c r="C44" s="1623">
        <f t="shared" si="130"/>
        <v>230.18088050139744</v>
      </c>
      <c r="D44" s="1623">
        <f t="shared" si="120"/>
        <v>230.18088050139744</v>
      </c>
      <c r="E44" s="1623">
        <f t="shared" si="131"/>
        <v>377.58482925212331</v>
      </c>
      <c r="F44" s="1623">
        <f t="shared" si="131"/>
        <v>210.90687997847917</v>
      </c>
      <c r="G44" s="1877">
        <v>2011</v>
      </c>
      <c r="H44" s="1638">
        <v>2</v>
      </c>
      <c r="I44" s="1638">
        <v>-0.4</v>
      </c>
      <c r="J44" s="1638">
        <v>0.17</v>
      </c>
      <c r="K44" s="1638">
        <v>-0.57999999999999996</v>
      </c>
      <c r="L44" s="1645">
        <v>-0.2</v>
      </c>
      <c r="N44" s="1627">
        <f t="shared" si="122"/>
        <v>-4.0000000000000001E-3</v>
      </c>
      <c r="O44" s="1653">
        <f t="shared" si="122"/>
        <v>1.7000000000000001E-3</v>
      </c>
      <c r="P44" s="1653">
        <f t="shared" si="122"/>
        <v>-5.7999999999999996E-3</v>
      </c>
      <c r="Q44" s="1653">
        <f t="shared" si="122"/>
        <v>-2E-3</v>
      </c>
      <c r="R44" s="1629"/>
      <c r="S44" s="1627"/>
      <c r="T44" s="1628"/>
      <c r="U44" s="1628"/>
      <c r="V44" s="1628"/>
    </row>
    <row r="45" spans="1:32" ht="13.5" thickBot="1">
      <c r="A45" s="1622" t="s">
        <v>1653</v>
      </c>
      <c r="B45" s="1623">
        <f t="shared" si="130"/>
        <v>276.29854502841971</v>
      </c>
      <c r="C45" s="1623">
        <f t="shared" si="130"/>
        <v>229.79023709833027</v>
      </c>
      <c r="D45" s="1623">
        <f t="shared" si="120"/>
        <v>229.79023709833027</v>
      </c>
      <c r="E45" s="1623">
        <f t="shared" si="131"/>
        <v>379.78759731655936</v>
      </c>
      <c r="F45" s="1623">
        <f t="shared" si="131"/>
        <v>211.32953905659235</v>
      </c>
      <c r="G45" s="1878">
        <v>2011</v>
      </c>
      <c r="H45" s="1625">
        <v>1</v>
      </c>
      <c r="I45" s="1625">
        <v>2.65</v>
      </c>
      <c r="J45" s="1625">
        <v>3.76</v>
      </c>
      <c r="K45" s="1625">
        <v>1.89</v>
      </c>
      <c r="L45" s="1644">
        <v>7.95</v>
      </c>
      <c r="N45" s="1630">
        <f t="shared" si="122"/>
        <v>2.6499999999999999E-2</v>
      </c>
      <c r="O45" s="1631">
        <f t="shared" si="122"/>
        <v>3.7599999999999995E-2</v>
      </c>
      <c r="P45" s="1631">
        <f t="shared" si="122"/>
        <v>1.89E-2</v>
      </c>
      <c r="Q45" s="1631">
        <f t="shared" si="122"/>
        <v>7.9500000000000001E-2</v>
      </c>
      <c r="R45" s="1629"/>
      <c r="S45" s="1630">
        <f>B45/B46-1</f>
        <v>2.713213765211786E-2</v>
      </c>
      <c r="T45" s="1631">
        <f>C45/C46-1</f>
        <v>3.9774828499231862E-2</v>
      </c>
      <c r="U45" s="1631">
        <f>E45/E46-1</f>
        <v>1.8197311840641772E-2</v>
      </c>
      <c r="V45" s="1631">
        <f>F45/F46-1</f>
        <v>7.8211933962205826E-2</v>
      </c>
      <c r="AC45" s="1628"/>
      <c r="AD45" s="1628"/>
      <c r="AE45" s="1628"/>
      <c r="AF45" s="1628"/>
    </row>
    <row r="46" spans="1:32" ht="13.5" thickBot="1">
      <c r="A46" s="1622" t="s">
        <v>1654</v>
      </c>
      <c r="B46" s="1642">
        <v>269</v>
      </c>
      <c r="C46" s="1642">
        <v>221</v>
      </c>
      <c r="D46" s="1642">
        <f t="shared" si="120"/>
        <v>221</v>
      </c>
      <c r="E46" s="1642">
        <v>373</v>
      </c>
      <c r="F46" s="1643">
        <v>196</v>
      </c>
      <c r="G46" s="1876">
        <v>2010</v>
      </c>
      <c r="H46" s="1646">
        <v>4</v>
      </c>
      <c r="I46" s="1646">
        <v>5.72</v>
      </c>
      <c r="J46" s="1646">
        <v>6.57</v>
      </c>
      <c r="K46" s="1646">
        <v>5.72</v>
      </c>
      <c r="L46" s="1647">
        <v>2.72</v>
      </c>
      <c r="N46" s="1627">
        <f t="shared" si="122"/>
        <v>5.7200000000000001E-2</v>
      </c>
      <c r="O46" s="1628">
        <f t="shared" si="122"/>
        <v>6.5700000000000008E-2</v>
      </c>
      <c r="P46" s="1628">
        <f t="shared" si="122"/>
        <v>5.7200000000000001E-2</v>
      </c>
      <c r="Q46" s="1628">
        <f t="shared" si="122"/>
        <v>2.7200000000000002E-2</v>
      </c>
      <c r="R46" s="1629"/>
      <c r="S46" s="1637"/>
      <c r="T46" s="1632"/>
      <c r="U46" s="1632"/>
      <c r="V46" s="1632"/>
      <c r="AC46" s="1632"/>
      <c r="AD46" s="1632"/>
      <c r="AE46" s="1632"/>
      <c r="AF46" s="1632"/>
    </row>
    <row r="47" spans="1:32">
      <c r="A47" s="1622" t="s">
        <v>1655</v>
      </c>
      <c r="B47" s="1623">
        <f t="shared" ref="B47:C49" si="132">B46/(1+N46)</f>
        <v>254.44570563753314</v>
      </c>
      <c r="C47" s="1623">
        <f t="shared" si="132"/>
        <v>207.37543398705074</v>
      </c>
      <c r="D47" s="1623">
        <f t="shared" si="120"/>
        <v>207.37543398705074</v>
      </c>
      <c r="E47" s="1623">
        <f t="shared" ref="E47:F49" si="133">E46/(1+P46)</f>
        <v>352.81876655315932</v>
      </c>
      <c r="F47" s="1623">
        <f t="shared" si="133"/>
        <v>190.809968847352</v>
      </c>
      <c r="G47" s="1877">
        <v>2010</v>
      </c>
      <c r="H47" s="1651">
        <v>3</v>
      </c>
      <c r="I47" s="1651">
        <v>4.7300000000000004</v>
      </c>
      <c r="J47" s="1651">
        <v>3.9</v>
      </c>
      <c r="K47" s="1651">
        <v>5.03</v>
      </c>
      <c r="L47" s="1652">
        <v>4.21</v>
      </c>
      <c r="N47" s="1627">
        <f t="shared" si="122"/>
        <v>4.7300000000000002E-2</v>
      </c>
      <c r="O47" s="1628">
        <f t="shared" si="122"/>
        <v>3.9E-2</v>
      </c>
      <c r="P47" s="1628">
        <f t="shared" si="122"/>
        <v>5.0300000000000004E-2</v>
      </c>
      <c r="Q47" s="1628">
        <f t="shared" si="122"/>
        <v>4.2099999999999999E-2</v>
      </c>
      <c r="R47" s="1629"/>
      <c r="S47" s="1627"/>
      <c r="T47" s="1628"/>
      <c r="U47" s="1628"/>
      <c r="V47" s="1628"/>
    </row>
    <row r="48" spans="1:32">
      <c r="A48" s="1622" t="s">
        <v>1656</v>
      </c>
      <c r="B48" s="1623">
        <f t="shared" si="132"/>
        <v>242.95398227588385</v>
      </c>
      <c r="C48" s="1623">
        <f t="shared" si="132"/>
        <v>199.59137053614126</v>
      </c>
      <c r="D48" s="1623">
        <f t="shared" si="120"/>
        <v>199.59137053614126</v>
      </c>
      <c r="E48" s="1623">
        <f t="shared" si="133"/>
        <v>335.92189522342125</v>
      </c>
      <c r="F48" s="1623">
        <f t="shared" si="133"/>
        <v>183.10139991109489</v>
      </c>
      <c r="G48" s="1877">
        <v>2010</v>
      </c>
      <c r="H48" s="1638">
        <v>2</v>
      </c>
      <c r="I48" s="1638">
        <v>4.6900000000000004</v>
      </c>
      <c r="J48" s="1638">
        <v>3.55</v>
      </c>
      <c r="K48" s="1638">
        <v>5.07</v>
      </c>
      <c r="L48" s="1645">
        <v>4.2300000000000004</v>
      </c>
      <c r="N48" s="1627">
        <f t="shared" si="122"/>
        <v>4.6900000000000004E-2</v>
      </c>
      <c r="O48" s="1628">
        <f t="shared" si="122"/>
        <v>3.5499999999999997E-2</v>
      </c>
      <c r="P48" s="1628">
        <f t="shared" si="122"/>
        <v>5.0700000000000002E-2</v>
      </c>
      <c r="Q48" s="1628">
        <f t="shared" si="122"/>
        <v>4.2300000000000004E-2</v>
      </c>
      <c r="R48" s="1629"/>
      <c r="S48" s="1627"/>
      <c r="T48" s="1628"/>
      <c r="U48" s="1628"/>
      <c r="V48" s="1628"/>
    </row>
    <row r="49" spans="1:32" ht="13.5" thickBot="1">
      <c r="A49" s="1622" t="s">
        <v>1657</v>
      </c>
      <c r="B49" s="1623">
        <f t="shared" si="132"/>
        <v>232.06990378821649</v>
      </c>
      <c r="C49" s="1623">
        <f t="shared" si="132"/>
        <v>192.74878854286936</v>
      </c>
      <c r="D49" s="1623">
        <f t="shared" si="120"/>
        <v>192.74878854286936</v>
      </c>
      <c r="E49" s="1623">
        <f t="shared" si="133"/>
        <v>319.71247284992984</v>
      </c>
      <c r="F49" s="1623">
        <f t="shared" si="133"/>
        <v>175.67053622862409</v>
      </c>
      <c r="G49" s="1878">
        <v>2010</v>
      </c>
      <c r="H49" s="1625">
        <v>1</v>
      </c>
      <c r="I49" s="1625">
        <v>5.4</v>
      </c>
      <c r="J49" s="1625">
        <v>3.2</v>
      </c>
      <c r="K49" s="1625">
        <v>6.16</v>
      </c>
      <c r="L49" s="1644">
        <v>4.51</v>
      </c>
      <c r="N49" s="1627">
        <f t="shared" si="122"/>
        <v>5.4000000000000006E-2</v>
      </c>
      <c r="O49" s="1628">
        <f t="shared" si="122"/>
        <v>3.2000000000000001E-2</v>
      </c>
      <c r="P49" s="1628">
        <f t="shared" si="122"/>
        <v>6.1600000000000002E-2</v>
      </c>
      <c r="Q49" s="1628">
        <f t="shared" si="122"/>
        <v>4.5100000000000001E-2</v>
      </c>
      <c r="R49" s="1629"/>
      <c r="S49" s="1630">
        <f>B49/B50-1</f>
        <v>5.4863199037347599E-2</v>
      </c>
      <c r="T49" s="1631">
        <f>C49/C50-1</f>
        <v>3.0742184721226584E-2</v>
      </c>
      <c r="U49" s="1631">
        <f>E49/E50-1</f>
        <v>6.2167683886810154E-2</v>
      </c>
      <c r="V49" s="1631">
        <f>F49/F50-1</f>
        <v>4.5657953741810031E-2</v>
      </c>
      <c r="AC49" s="1628"/>
      <c r="AD49" s="1628"/>
      <c r="AE49" s="1628"/>
      <c r="AF49" s="1628"/>
    </row>
    <row r="50" spans="1:32" ht="13.5" thickBot="1">
      <c r="A50" s="1622" t="s">
        <v>1658</v>
      </c>
      <c r="B50" s="1642">
        <v>220</v>
      </c>
      <c r="C50" s="1642">
        <v>187</v>
      </c>
      <c r="D50" s="1642">
        <f t="shared" si="120"/>
        <v>187</v>
      </c>
      <c r="E50" s="1642">
        <v>301</v>
      </c>
      <c r="F50" s="1643">
        <v>168</v>
      </c>
      <c r="G50" s="1876">
        <v>2009</v>
      </c>
      <c r="H50" s="1646">
        <v>4</v>
      </c>
      <c r="I50" s="1646">
        <v>2.2999999999999998</v>
      </c>
      <c r="J50" s="1646">
        <v>1.04</v>
      </c>
      <c r="K50" s="1646">
        <v>2.84</v>
      </c>
      <c r="L50" s="1647">
        <v>0.67</v>
      </c>
      <c r="N50" s="1648">
        <f t="shared" si="122"/>
        <v>2.3E-2</v>
      </c>
      <c r="O50" s="1649">
        <f t="shared" si="122"/>
        <v>1.04E-2</v>
      </c>
      <c r="P50" s="1649">
        <f t="shared" si="122"/>
        <v>2.8399999999999998E-2</v>
      </c>
      <c r="Q50" s="1649">
        <f t="shared" si="122"/>
        <v>6.7000000000000002E-3</v>
      </c>
      <c r="R50" s="1629"/>
      <c r="S50" s="1637"/>
      <c r="T50" s="1632"/>
      <c r="U50" s="1632"/>
      <c r="V50" s="1632"/>
      <c r="AC50" s="1632"/>
      <c r="AD50" s="1632"/>
      <c r="AE50" s="1632"/>
      <c r="AF50" s="1632"/>
    </row>
    <row r="51" spans="1:32">
      <c r="A51" s="1622" t="s">
        <v>1659</v>
      </c>
      <c r="B51" s="1623">
        <f t="shared" ref="B51:C53" si="134">B50/(1+N50)</f>
        <v>215.05376344086022</v>
      </c>
      <c r="C51" s="1623">
        <f t="shared" si="134"/>
        <v>185.0752177355503</v>
      </c>
      <c r="D51" s="1623">
        <f t="shared" si="120"/>
        <v>185.0752177355503</v>
      </c>
      <c r="E51" s="1623">
        <f t="shared" ref="E51:F53" si="135">E50/(1+P50)</f>
        <v>292.68767016725008</v>
      </c>
      <c r="F51" s="1623">
        <f t="shared" si="135"/>
        <v>166.88189132810174</v>
      </c>
      <c r="G51" s="1877">
        <v>2009</v>
      </c>
      <c r="H51" s="1651">
        <v>3</v>
      </c>
      <c r="I51" s="1651">
        <v>2.1</v>
      </c>
      <c r="J51" s="1651">
        <v>1.86</v>
      </c>
      <c r="K51" s="1651">
        <v>2.29</v>
      </c>
      <c r="L51" s="1652">
        <v>0.85</v>
      </c>
      <c r="N51" s="1627">
        <f t="shared" si="122"/>
        <v>2.1000000000000001E-2</v>
      </c>
      <c r="O51" s="1653">
        <f t="shared" si="122"/>
        <v>1.8600000000000002E-2</v>
      </c>
      <c r="P51" s="1653">
        <f t="shared" si="122"/>
        <v>2.29E-2</v>
      </c>
      <c r="Q51" s="1653">
        <f t="shared" si="122"/>
        <v>8.5000000000000006E-3</v>
      </c>
      <c r="R51" s="1629"/>
      <c r="S51" s="1627"/>
      <c r="T51" s="1628"/>
      <c r="U51" s="1628"/>
      <c r="V51" s="1628"/>
    </row>
    <row r="52" spans="1:32">
      <c r="A52" s="1622" t="s">
        <v>1660</v>
      </c>
      <c r="B52" s="1623">
        <f t="shared" si="134"/>
        <v>210.630522469011</v>
      </c>
      <c r="C52" s="1623">
        <f t="shared" si="134"/>
        <v>181.69567812247232</v>
      </c>
      <c r="D52" s="1623">
        <f t="shared" si="120"/>
        <v>181.69567812247232</v>
      </c>
      <c r="E52" s="1623">
        <f t="shared" si="135"/>
        <v>286.13517466736738</v>
      </c>
      <c r="F52" s="1623">
        <f t="shared" si="135"/>
        <v>165.47535084591149</v>
      </c>
      <c r="G52" s="1877">
        <v>2009</v>
      </c>
      <c r="H52" s="1638">
        <v>2</v>
      </c>
      <c r="I52" s="1638">
        <v>0.86</v>
      </c>
      <c r="J52" s="1638">
        <v>-1.1299999999999999</v>
      </c>
      <c r="K52" s="1638">
        <v>1.79</v>
      </c>
      <c r="L52" s="1645">
        <v>-2.0699999999999998</v>
      </c>
      <c r="N52" s="1627">
        <f t="shared" si="122"/>
        <v>8.6E-3</v>
      </c>
      <c r="O52" s="1653">
        <f t="shared" si="122"/>
        <v>-1.1299999999999999E-2</v>
      </c>
      <c r="P52" s="1653">
        <f t="shared" si="122"/>
        <v>1.7899999999999999E-2</v>
      </c>
      <c r="Q52" s="1653">
        <f t="shared" si="122"/>
        <v>-2.07E-2</v>
      </c>
      <c r="R52" s="1629"/>
      <c r="S52" s="1627"/>
      <c r="T52" s="1628"/>
      <c r="U52" s="1628"/>
      <c r="V52" s="1628"/>
    </row>
    <row r="53" spans="1:32">
      <c r="A53" s="1622" t="s">
        <v>1661</v>
      </c>
      <c r="B53" s="1623">
        <f t="shared" si="134"/>
        <v>208.83454537875372</v>
      </c>
      <c r="C53" s="1623">
        <f t="shared" si="134"/>
        <v>183.77230517090351</v>
      </c>
      <c r="D53" s="1623">
        <f t="shared" si="120"/>
        <v>183.77230517090351</v>
      </c>
      <c r="E53" s="1623">
        <f t="shared" si="135"/>
        <v>281.10342338870947</v>
      </c>
      <c r="F53" s="1623">
        <f t="shared" si="135"/>
        <v>168.97309388942256</v>
      </c>
      <c r="G53" s="1878">
        <v>2009</v>
      </c>
      <c r="H53" s="1625">
        <v>1</v>
      </c>
      <c r="I53" s="1625">
        <v>-2.64</v>
      </c>
      <c r="J53" s="1625">
        <v>-2.5299999999999998</v>
      </c>
      <c r="K53" s="1625">
        <v>-3.02</v>
      </c>
      <c r="L53" s="1644">
        <v>1.52</v>
      </c>
      <c r="N53" s="1630">
        <f t="shared" si="122"/>
        <v>-2.64E-2</v>
      </c>
      <c r="O53" s="1631">
        <f t="shared" si="122"/>
        <v>-2.53E-2</v>
      </c>
      <c r="P53" s="1631">
        <f t="shared" si="122"/>
        <v>-3.0200000000000001E-2</v>
      </c>
      <c r="Q53" s="1631">
        <f t="shared" si="122"/>
        <v>1.52E-2</v>
      </c>
      <c r="R53" s="1629"/>
      <c r="S53" s="1630">
        <f>B53/B54-1</f>
        <v>-2.4137638417038754E-2</v>
      </c>
      <c r="T53" s="1631">
        <f>C53/C54-1</f>
        <v>-2.248773845264096E-2</v>
      </c>
      <c r="U53" s="1631">
        <f>E53/E54-1</f>
        <v>-2.7323794502735366E-2</v>
      </c>
      <c r="V53" s="1631">
        <f>F53/F54-1</f>
        <v>1.7910204153148035E-2</v>
      </c>
      <c r="AC53" s="1628"/>
      <c r="AD53" s="1628"/>
      <c r="AE53" s="1628"/>
      <c r="AF53" s="1628"/>
    </row>
    <row r="54" spans="1:32" ht="13.5" thickBot="1">
      <c r="A54" s="1622" t="s">
        <v>1662</v>
      </c>
      <c r="B54" s="1670">
        <v>214</v>
      </c>
      <c r="C54" s="1670">
        <v>188</v>
      </c>
      <c r="D54" s="1670">
        <f t="shared" si="120"/>
        <v>188</v>
      </c>
      <c r="E54" s="1670">
        <v>289</v>
      </c>
      <c r="F54" s="1671">
        <v>166</v>
      </c>
      <c r="G54" s="1876">
        <v>2008</v>
      </c>
      <c r="H54" s="1646">
        <v>4</v>
      </c>
      <c r="I54" s="1646">
        <v>1.73</v>
      </c>
      <c r="J54" s="1646">
        <v>0.03</v>
      </c>
      <c r="K54" s="1646">
        <v>2.59</v>
      </c>
      <c r="L54" s="1647">
        <v>-1.66</v>
      </c>
      <c r="N54" s="1627">
        <f t="shared" si="122"/>
        <v>1.7299999999999999E-2</v>
      </c>
      <c r="O54" s="1628">
        <f t="shared" si="122"/>
        <v>2.9999999999999997E-4</v>
      </c>
      <c r="P54" s="1628">
        <f t="shared" si="122"/>
        <v>2.5899999999999999E-2</v>
      </c>
      <c r="Q54" s="1628">
        <f t="shared" si="122"/>
        <v>-1.66E-2</v>
      </c>
      <c r="R54" s="1629"/>
      <c r="S54" s="1637"/>
      <c r="T54" s="1632"/>
      <c r="U54" s="1632"/>
      <c r="V54" s="1632"/>
      <c r="AC54" s="1632"/>
      <c r="AD54" s="1632"/>
      <c r="AE54" s="1632"/>
      <c r="AF54" s="1632"/>
    </row>
    <row r="55" spans="1:32">
      <c r="A55" s="1622" t="s">
        <v>1663</v>
      </c>
      <c r="B55" s="1623">
        <f t="shared" ref="B55:C57" si="136">B54/(1+N54)</f>
        <v>210.36075887152265</v>
      </c>
      <c r="C55" s="1623">
        <f t="shared" si="136"/>
        <v>187.94361691492554</v>
      </c>
      <c r="D55" s="1623">
        <f t="shared" si="120"/>
        <v>187.94361691492554</v>
      </c>
      <c r="E55" s="1623">
        <f t="shared" ref="E55:F57" si="137">E54/(1+P54)</f>
        <v>281.70386977288234</v>
      </c>
      <c r="F55" s="1623">
        <f t="shared" si="137"/>
        <v>168.80211511083994</v>
      </c>
      <c r="G55" s="1877">
        <v>2008</v>
      </c>
      <c r="H55" s="1651">
        <v>3</v>
      </c>
      <c r="I55" s="1651">
        <v>1.96</v>
      </c>
      <c r="J55" s="1651">
        <v>2.36</v>
      </c>
      <c r="K55" s="1651">
        <v>1.82</v>
      </c>
      <c r="L55" s="1652">
        <v>2.2200000000000002</v>
      </c>
      <c r="N55" s="1627">
        <f t="shared" si="122"/>
        <v>1.9599999999999999E-2</v>
      </c>
      <c r="O55" s="1628">
        <f t="shared" si="122"/>
        <v>2.3599999999999999E-2</v>
      </c>
      <c r="P55" s="1628">
        <f t="shared" si="122"/>
        <v>1.8200000000000001E-2</v>
      </c>
      <c r="Q55" s="1628">
        <f t="shared" si="122"/>
        <v>2.2200000000000001E-2</v>
      </c>
      <c r="R55" s="1629"/>
      <c r="S55" s="1627"/>
      <c r="T55" s="1628"/>
      <c r="U55" s="1628"/>
      <c r="V55" s="1628"/>
    </row>
    <row r="56" spans="1:32">
      <c r="A56" s="1622" t="s">
        <v>1664</v>
      </c>
      <c r="B56" s="1623">
        <f t="shared" si="136"/>
        <v>206.31694671589116</v>
      </c>
      <c r="C56" s="1623">
        <f t="shared" si="136"/>
        <v>183.61041121036101</v>
      </c>
      <c r="D56" s="1623">
        <f t="shared" si="120"/>
        <v>183.61041121036101</v>
      </c>
      <c r="E56" s="1623">
        <f t="shared" si="137"/>
        <v>276.66850301795557</v>
      </c>
      <c r="F56" s="1623">
        <f t="shared" si="137"/>
        <v>165.1360938278614</v>
      </c>
      <c r="G56" s="1877">
        <v>2008</v>
      </c>
      <c r="H56" s="1638">
        <v>2</v>
      </c>
      <c r="I56" s="1638">
        <v>4.93</v>
      </c>
      <c r="J56" s="1638">
        <v>7.38</v>
      </c>
      <c r="K56" s="1638">
        <v>3.98</v>
      </c>
      <c r="L56" s="1645">
        <v>6.86</v>
      </c>
      <c r="N56" s="1627">
        <f t="shared" si="122"/>
        <v>4.9299999999999997E-2</v>
      </c>
      <c r="O56" s="1628">
        <f t="shared" si="122"/>
        <v>7.3800000000000004E-2</v>
      </c>
      <c r="P56" s="1628">
        <f t="shared" si="122"/>
        <v>3.9800000000000002E-2</v>
      </c>
      <c r="Q56" s="1628">
        <f t="shared" si="122"/>
        <v>6.8600000000000008E-2</v>
      </c>
      <c r="R56" s="1629"/>
      <c r="S56" s="1627"/>
      <c r="T56" s="1628"/>
      <c r="U56" s="1628"/>
      <c r="V56" s="1628"/>
    </row>
    <row r="57" spans="1:32" s="1676" customFormat="1" ht="13.5" thickBot="1">
      <c r="A57" s="1622" t="s">
        <v>1665</v>
      </c>
      <c r="B57" s="1673">
        <f t="shared" si="136"/>
        <v>196.62341248059772</v>
      </c>
      <c r="C57" s="1673">
        <f t="shared" si="136"/>
        <v>170.99125648199012</v>
      </c>
      <c r="D57" s="1673">
        <f t="shared" si="120"/>
        <v>170.99125648199012</v>
      </c>
      <c r="E57" s="1673">
        <f t="shared" si="137"/>
        <v>266.07857570490052</v>
      </c>
      <c r="F57" s="1673">
        <f t="shared" si="137"/>
        <v>154.53499328828505</v>
      </c>
      <c r="G57" s="1878">
        <v>2008</v>
      </c>
      <c r="H57" s="1674">
        <v>1</v>
      </c>
      <c r="I57" s="1674">
        <v>4.1399999999999997</v>
      </c>
      <c r="J57" s="1674">
        <v>3.45</v>
      </c>
      <c r="K57" s="1674">
        <v>4.95</v>
      </c>
      <c r="L57" s="1675">
        <v>4.82</v>
      </c>
      <c r="N57" s="1677">
        <f t="shared" si="122"/>
        <v>4.1399999999999999E-2</v>
      </c>
      <c r="O57" s="1678">
        <f t="shared" si="122"/>
        <v>3.4500000000000003E-2</v>
      </c>
      <c r="P57" s="1678">
        <f t="shared" si="122"/>
        <v>4.9500000000000002E-2</v>
      </c>
      <c r="Q57" s="1678">
        <f t="shared" si="122"/>
        <v>4.82E-2</v>
      </c>
      <c r="R57" s="1679"/>
      <c r="S57" s="1677">
        <f>B57/B58-1</f>
        <v>4.5869215322328349E-2</v>
      </c>
      <c r="T57" s="1678">
        <f>C57/C58-1</f>
        <v>3.6310645345394743E-2</v>
      </c>
      <c r="U57" s="1678">
        <f>E57/E58-1</f>
        <v>4.7553447657088688E-2</v>
      </c>
      <c r="V57" s="1678">
        <f>F57/F58-1</f>
        <v>4.4155360055980086E-2</v>
      </c>
      <c r="AC57" s="1678"/>
      <c r="AD57" s="1678"/>
      <c r="AE57" s="1678"/>
      <c r="AF57" s="1678"/>
    </row>
    <row r="58" spans="1:32" ht="13.5" thickBot="1">
      <c r="A58" s="1622" t="s">
        <v>1666</v>
      </c>
      <c r="B58" s="1642">
        <v>188</v>
      </c>
      <c r="C58" s="1642">
        <v>165</v>
      </c>
      <c r="D58" s="1642">
        <f t="shared" si="120"/>
        <v>165</v>
      </c>
      <c r="E58" s="1642">
        <v>254</v>
      </c>
      <c r="F58" s="1643">
        <v>148</v>
      </c>
      <c r="G58" s="1876">
        <v>2007</v>
      </c>
      <c r="H58" s="1680">
        <v>4</v>
      </c>
      <c r="I58" s="1680">
        <v>5.51</v>
      </c>
      <c r="J58" s="1680">
        <v>4.8899999999999997</v>
      </c>
      <c r="K58" s="1680">
        <v>6.43</v>
      </c>
      <c r="L58" s="1681">
        <v>5.36</v>
      </c>
      <c r="N58" s="1682">
        <f t="shared" ref="N58:O61" si="138">B58/B59-1</f>
        <v>4.1339718365245526E-2</v>
      </c>
      <c r="O58" s="1683">
        <f t="shared" si="138"/>
        <v>4.0324492593776018E-2</v>
      </c>
      <c r="P58" s="1683">
        <f t="shared" ref="P58:Q61" si="139">E58/E59-1</f>
        <v>6.1625555347990968E-2</v>
      </c>
      <c r="Q58" s="1683">
        <f t="shared" si="139"/>
        <v>4.6757569250590603E-2</v>
      </c>
      <c r="R58" s="1629"/>
      <c r="S58" s="1637"/>
      <c r="T58" s="1632"/>
      <c r="U58" s="1632"/>
      <c r="V58" s="1632"/>
      <c r="AC58" s="1632"/>
      <c r="AD58" s="1632"/>
      <c r="AE58" s="1632"/>
      <c r="AF58" s="1632"/>
    </row>
    <row r="59" spans="1:32">
      <c r="A59" s="1622" t="s">
        <v>1667</v>
      </c>
      <c r="B59" s="1623">
        <f t="shared" ref="B59:C61" si="140">B60+(B$58-B$62)*I59/SUM(I$58:I$61)</f>
        <v>180.5366651097618</v>
      </c>
      <c r="C59" s="1623">
        <f t="shared" si="140"/>
        <v>158.60435967302453</v>
      </c>
      <c r="D59" s="1623">
        <f t="shared" si="120"/>
        <v>158.60435967302453</v>
      </c>
      <c r="E59" s="1623">
        <f t="shared" ref="E59:F61" si="141">E60+(E$58-E$62)*K59/SUM(K$58:K$61)</f>
        <v>239.25573260785075</v>
      </c>
      <c r="F59" s="1623">
        <f t="shared" si="141"/>
        <v>141.38899430740037</v>
      </c>
      <c r="G59" s="1877">
        <v>2007</v>
      </c>
      <c r="H59" s="1651">
        <v>3</v>
      </c>
      <c r="I59" s="1651">
        <v>8.65</v>
      </c>
      <c r="J59" s="1651">
        <v>8.06</v>
      </c>
      <c r="K59" s="1651">
        <v>9.94</v>
      </c>
      <c r="L59" s="1652">
        <v>5.8</v>
      </c>
      <c r="N59" s="1682">
        <f t="shared" si="138"/>
        <v>6.940217571740015E-2</v>
      </c>
      <c r="O59" s="1683">
        <f t="shared" si="138"/>
        <v>7.1197482471153428E-2</v>
      </c>
      <c r="P59" s="1683">
        <f t="shared" si="139"/>
        <v>0.10529679922579582</v>
      </c>
      <c r="Q59" s="1683">
        <f t="shared" si="139"/>
        <v>5.3292245059512133E-2</v>
      </c>
      <c r="R59" s="1629"/>
      <c r="S59" s="1627"/>
      <c r="T59" s="1628"/>
      <c r="U59" s="1628"/>
      <c r="V59" s="1628"/>
      <c r="AC59" s="1684"/>
      <c r="AD59" s="1684"/>
      <c r="AE59" s="1684"/>
      <c r="AF59" s="1684"/>
    </row>
    <row r="60" spans="1:32">
      <c r="A60" s="1622" t="s">
        <v>1668</v>
      </c>
      <c r="B60" s="1623">
        <f t="shared" si="140"/>
        <v>168.82017748715555</v>
      </c>
      <c r="C60" s="1623">
        <f t="shared" si="140"/>
        <v>148.06267029972753</v>
      </c>
      <c r="D60" s="1623">
        <f t="shared" si="120"/>
        <v>148.06267029972753</v>
      </c>
      <c r="E60" s="1623">
        <f t="shared" si="141"/>
        <v>216.46288379323747</v>
      </c>
      <c r="F60" s="1623">
        <f t="shared" si="141"/>
        <v>134.23529411764704</v>
      </c>
      <c r="G60" s="1877">
        <v>2007</v>
      </c>
      <c r="H60" s="1638">
        <v>2</v>
      </c>
      <c r="I60" s="1638">
        <v>3.67</v>
      </c>
      <c r="J60" s="1638">
        <v>2.3199999999999998</v>
      </c>
      <c r="K60" s="1638">
        <v>5.0199999999999996</v>
      </c>
      <c r="L60" s="1645">
        <v>6.71</v>
      </c>
      <c r="N60" s="1682">
        <f t="shared" si="138"/>
        <v>3.0339138143848032E-2</v>
      </c>
      <c r="O60" s="1683">
        <f t="shared" si="138"/>
        <v>2.0922341588790472E-2</v>
      </c>
      <c r="P60" s="1683">
        <f t="shared" si="139"/>
        <v>5.6164796592717003E-2</v>
      </c>
      <c r="Q60" s="1683">
        <f t="shared" si="139"/>
        <v>6.5704536723887319E-2</v>
      </c>
      <c r="R60" s="1629"/>
      <c r="S60" s="1627"/>
      <c r="T60" s="1628"/>
      <c r="U60" s="1628"/>
      <c r="V60" s="1628"/>
      <c r="AC60" s="1684"/>
      <c r="AD60" s="1684"/>
      <c r="AE60" s="1684"/>
      <c r="AF60" s="1684"/>
    </row>
    <row r="61" spans="1:32">
      <c r="A61" s="1622" t="s">
        <v>1669</v>
      </c>
      <c r="B61" s="1623">
        <f t="shared" si="140"/>
        <v>163.84913591779542</v>
      </c>
      <c r="C61" s="1623">
        <f t="shared" si="140"/>
        <v>145.0283378746594</v>
      </c>
      <c r="D61" s="1623">
        <f t="shared" si="120"/>
        <v>145.0283378746594</v>
      </c>
      <c r="E61" s="1623">
        <f t="shared" si="141"/>
        <v>204.95180722891567</v>
      </c>
      <c r="F61" s="1623">
        <f t="shared" si="141"/>
        <v>125.95920303605313</v>
      </c>
      <c r="G61" s="1878">
        <v>2007</v>
      </c>
      <c r="H61" s="1625">
        <v>1</v>
      </c>
      <c r="I61" s="1625">
        <v>3.58</v>
      </c>
      <c r="J61" s="1625">
        <v>3.08</v>
      </c>
      <c r="K61" s="1625">
        <v>4.34</v>
      </c>
      <c r="L61" s="1644">
        <v>3.21</v>
      </c>
      <c r="N61" s="1685">
        <f t="shared" si="138"/>
        <v>3.0497710174814063E-2</v>
      </c>
      <c r="O61" s="1686">
        <f t="shared" si="138"/>
        <v>2.8569772160704998E-2</v>
      </c>
      <c r="P61" s="1686">
        <f t="shared" si="139"/>
        <v>5.1034908866234296E-2</v>
      </c>
      <c r="Q61" s="1686">
        <f t="shared" si="139"/>
        <v>3.245248390207478E-2</v>
      </c>
      <c r="R61" s="1629"/>
      <c r="S61" s="1630">
        <f>B61/B62-1</f>
        <v>3.0497710174814063E-2</v>
      </c>
      <c r="T61" s="1631">
        <f>C61/C62-1</f>
        <v>2.8569772160704998E-2</v>
      </c>
      <c r="U61" s="1631">
        <f>E61/E62-1</f>
        <v>5.1034908866234296E-2</v>
      </c>
      <c r="V61" s="1631">
        <f>F61/F62-1</f>
        <v>3.245248390207478E-2</v>
      </c>
      <c r="AC61" s="1684"/>
      <c r="AD61" s="1684"/>
      <c r="AE61" s="1684"/>
      <c r="AF61" s="1684"/>
    </row>
    <row r="62" spans="1:32" ht="13.5" thickBot="1">
      <c r="A62" s="1622" t="s">
        <v>1670</v>
      </c>
      <c r="B62" s="1654">
        <v>159</v>
      </c>
      <c r="C62" s="1654">
        <v>141</v>
      </c>
      <c r="D62" s="1654">
        <f t="shared" si="120"/>
        <v>141</v>
      </c>
      <c r="E62" s="1654">
        <v>195</v>
      </c>
      <c r="F62" s="1655">
        <v>122</v>
      </c>
      <c r="G62" s="1876">
        <v>2006</v>
      </c>
      <c r="H62" s="1646">
        <v>4</v>
      </c>
      <c r="I62" s="1646">
        <v>3.79</v>
      </c>
      <c r="J62" s="1646">
        <v>2.21</v>
      </c>
      <c r="K62" s="1646">
        <v>5.65</v>
      </c>
      <c r="L62" s="1647">
        <v>5.41</v>
      </c>
      <c r="N62" s="1682">
        <f t="shared" ref="N62:O65" si="142">I62/SUM(I$62:I$65)*(B$62/B$66-1)</f>
        <v>7.245466462748526E-2</v>
      </c>
      <c r="O62" s="1683">
        <f t="shared" si="142"/>
        <v>2.3237230038062766E-2</v>
      </c>
      <c r="P62" s="1683">
        <f t="shared" ref="P62:Q65" si="143">K62/SUM(K$62:K$65)*(E$62/E$66-1)</f>
        <v>0.16146893866323722</v>
      </c>
      <c r="Q62" s="1683">
        <f t="shared" si="143"/>
        <v>5.0755230321793784E-2</v>
      </c>
      <c r="R62" s="1629"/>
      <c r="S62" s="1637"/>
      <c r="T62" s="1632"/>
      <c r="U62" s="1632"/>
      <c r="V62" s="1632"/>
      <c r="AC62" s="1684"/>
      <c r="AD62" s="1684"/>
      <c r="AE62" s="1684"/>
      <c r="AF62" s="1684"/>
    </row>
    <row r="63" spans="1:32">
      <c r="A63" s="1622" t="s">
        <v>1671</v>
      </c>
      <c r="B63" s="1623">
        <f t="shared" ref="B63:C65" si="144">B64+(B$62-B$66)*I63/SUM(I$62:I$65)</f>
        <v>149.00125628140702</v>
      </c>
      <c r="C63" s="1623">
        <f t="shared" si="144"/>
        <v>137.95592286501378</v>
      </c>
      <c r="D63" s="1623">
        <f t="shared" si="120"/>
        <v>137.95592286501378</v>
      </c>
      <c r="E63" s="1623">
        <f t="shared" ref="E63:F65" si="145">E64+(E$62-E$66)*K63/SUM(K$62:K$65)</f>
        <v>169.97231450719823</v>
      </c>
      <c r="F63" s="1623">
        <f t="shared" si="145"/>
        <v>116.21390374331551</v>
      </c>
      <c r="G63" s="1877">
        <v>2006</v>
      </c>
      <c r="H63" s="1651">
        <v>3</v>
      </c>
      <c r="I63" s="1651">
        <v>0.92</v>
      </c>
      <c r="J63" s="1651">
        <v>1.08</v>
      </c>
      <c r="K63" s="1651">
        <v>0.73</v>
      </c>
      <c r="L63" s="1652">
        <v>1.08</v>
      </c>
      <c r="N63" s="1682">
        <f t="shared" si="142"/>
        <v>1.7587939698492462E-2</v>
      </c>
      <c r="O63" s="1683">
        <f t="shared" si="142"/>
        <v>1.1355750425840628E-2</v>
      </c>
      <c r="P63" s="1683">
        <f t="shared" si="143"/>
        <v>2.0862358446754544E-2</v>
      </c>
      <c r="Q63" s="1683">
        <f t="shared" si="143"/>
        <v>1.0132282578103011E-2</v>
      </c>
      <c r="R63" s="1629"/>
      <c r="S63" s="1627"/>
      <c r="T63" s="1628"/>
      <c r="U63" s="1628"/>
      <c r="V63" s="1628"/>
      <c r="AC63" s="1684"/>
      <c r="AD63" s="1684"/>
      <c r="AE63" s="1684"/>
      <c r="AF63" s="1684"/>
    </row>
    <row r="64" spans="1:32">
      <c r="A64" s="1622" t="s">
        <v>1672</v>
      </c>
      <c r="B64" s="1623">
        <f t="shared" si="144"/>
        <v>146.57412060301507</v>
      </c>
      <c r="C64" s="1623">
        <f t="shared" si="144"/>
        <v>136.46831955922866</v>
      </c>
      <c r="D64" s="1623">
        <f t="shared" si="120"/>
        <v>136.46831955922866</v>
      </c>
      <c r="E64" s="1623">
        <f t="shared" si="145"/>
        <v>166.73864894795128</v>
      </c>
      <c r="F64" s="1623">
        <f t="shared" si="145"/>
        <v>115.05882352941177</v>
      </c>
      <c r="G64" s="1877">
        <v>2006</v>
      </c>
      <c r="H64" s="1638">
        <v>2</v>
      </c>
      <c r="I64" s="1638">
        <v>0.96</v>
      </c>
      <c r="J64" s="1638">
        <v>0.25</v>
      </c>
      <c r="K64" s="1638">
        <v>1.9</v>
      </c>
      <c r="L64" s="1645">
        <v>0.95</v>
      </c>
      <c r="N64" s="1682">
        <f t="shared" si="142"/>
        <v>1.8352632728861701E-2</v>
      </c>
      <c r="O64" s="1683">
        <f t="shared" si="142"/>
        <v>2.6286459319075526E-3</v>
      </c>
      <c r="P64" s="1683">
        <f t="shared" si="143"/>
        <v>5.4299289107991269E-2</v>
      </c>
      <c r="Q64" s="1683">
        <f t="shared" si="143"/>
        <v>8.9126559714794995E-3</v>
      </c>
      <c r="R64" s="1629"/>
      <c r="S64" s="1627"/>
      <c r="T64" s="1628"/>
      <c r="U64" s="1628"/>
      <c r="V64" s="1628"/>
      <c r="AC64" s="1684"/>
      <c r="AD64" s="1684"/>
      <c r="AE64" s="1684"/>
      <c r="AF64" s="1684"/>
    </row>
    <row r="65" spans="1:32">
      <c r="A65" s="1622" t="s">
        <v>1673</v>
      </c>
      <c r="B65" s="1623">
        <f t="shared" si="144"/>
        <v>144.04145728643215</v>
      </c>
      <c r="C65" s="1623">
        <f t="shared" si="144"/>
        <v>136.12396694214877</v>
      </c>
      <c r="D65" s="1623">
        <f t="shared" si="120"/>
        <v>136.12396694214877</v>
      </c>
      <c r="E65" s="1623">
        <f t="shared" si="145"/>
        <v>158.32225913621264</v>
      </c>
      <c r="F65" s="1623">
        <f t="shared" si="145"/>
        <v>114.04278074866311</v>
      </c>
      <c r="G65" s="1878">
        <v>2006</v>
      </c>
      <c r="H65" s="1625">
        <v>1</v>
      </c>
      <c r="I65" s="1625">
        <v>2.29</v>
      </c>
      <c r="J65" s="1625">
        <v>3.72</v>
      </c>
      <c r="K65" s="1625">
        <v>0.75</v>
      </c>
      <c r="L65" s="1644">
        <v>0.04</v>
      </c>
      <c r="N65" s="1685">
        <f t="shared" si="142"/>
        <v>4.3778675988638847E-2</v>
      </c>
      <c r="O65" s="1686">
        <f t="shared" si="142"/>
        <v>3.9114251466784385E-2</v>
      </c>
      <c r="P65" s="1686">
        <f t="shared" si="143"/>
        <v>2.1433929911049188E-2</v>
      </c>
      <c r="Q65" s="1686">
        <f t="shared" si="143"/>
        <v>3.7526972511492629E-4</v>
      </c>
      <c r="R65" s="1629"/>
      <c r="S65" s="1630">
        <f>B65/B66-1</f>
        <v>4.3778675988638716E-2</v>
      </c>
      <c r="T65" s="1631">
        <f>C65/C66-1</f>
        <v>3.91142514667846E-2</v>
      </c>
      <c r="U65" s="1631">
        <f>E65/E66-1</f>
        <v>2.143392991104931E-2</v>
      </c>
      <c r="V65" s="1631">
        <f>F65/F66-1</f>
        <v>3.7526972511492396E-4</v>
      </c>
      <c r="AC65" s="1684"/>
      <c r="AD65" s="1684"/>
      <c r="AE65" s="1684"/>
      <c r="AF65" s="1684"/>
    </row>
    <row r="66" spans="1:32" ht="13.5" thickBot="1">
      <c r="A66" s="1622" t="s">
        <v>1674</v>
      </c>
      <c r="B66" s="1654">
        <v>138</v>
      </c>
      <c r="C66" s="1654">
        <v>131</v>
      </c>
      <c r="D66" s="1654">
        <f t="shared" si="120"/>
        <v>131</v>
      </c>
      <c r="E66" s="1654">
        <v>155</v>
      </c>
      <c r="F66" s="1655">
        <v>114</v>
      </c>
      <c r="G66" s="1876">
        <v>2005</v>
      </c>
      <c r="H66" s="1646">
        <v>4</v>
      </c>
      <c r="I66" s="1646">
        <v>3.29</v>
      </c>
      <c r="J66" s="1646">
        <v>1.44</v>
      </c>
      <c r="K66" s="1646">
        <v>0.66</v>
      </c>
      <c r="L66" s="1647">
        <v>7.78</v>
      </c>
      <c r="N66" s="1682">
        <f t="shared" ref="N66:O69" si="146">I66/SUM(I$66:I$69)*(B$66/B$70-1)</f>
        <v>9.9404603216919935E-2</v>
      </c>
      <c r="O66" s="1683">
        <f t="shared" si="146"/>
        <v>4.7636550760861554E-2</v>
      </c>
      <c r="P66" s="1683">
        <f t="shared" ref="P66:Q69" si="147">K66/SUM(K$66:K$69)*(E$66/E$70-1)</f>
        <v>8.3756345177664976E-2</v>
      </c>
      <c r="Q66" s="1683">
        <f t="shared" si="147"/>
        <v>5.2148766661559584E-2</v>
      </c>
      <c r="R66" s="1629"/>
      <c r="S66" s="1637"/>
      <c r="T66" s="1632"/>
      <c r="U66" s="1632"/>
      <c r="V66" s="1632"/>
      <c r="AC66" s="1684"/>
      <c r="AD66" s="1684"/>
      <c r="AE66" s="1684"/>
      <c r="AF66" s="1684"/>
    </row>
    <row r="67" spans="1:32">
      <c r="A67" s="1622" t="s">
        <v>1675</v>
      </c>
      <c r="B67" s="1623">
        <f t="shared" ref="B67:C69" si="148">B68+(B$66-B$70)*I67/SUM(I$66:I$69)</f>
        <v>125.9720430107527</v>
      </c>
      <c r="C67" s="1623">
        <f t="shared" si="148"/>
        <v>125.1883408071749</v>
      </c>
      <c r="D67" s="1623">
        <f t="shared" si="120"/>
        <v>125.1883408071749</v>
      </c>
      <c r="E67" s="1623">
        <f t="shared" ref="E67:F69" si="149">E68+(E$66-E$70)*K67/SUM(K$66:K$69)</f>
        <v>144.61421319796952</v>
      </c>
      <c r="F67" s="1623">
        <f t="shared" si="149"/>
        <v>108.42008196721311</v>
      </c>
      <c r="G67" s="1877">
        <v>2005</v>
      </c>
      <c r="H67" s="1651">
        <v>3</v>
      </c>
      <c r="I67" s="1651">
        <v>0.46</v>
      </c>
      <c r="J67" s="1651">
        <v>0.32</v>
      </c>
      <c r="K67" s="1651">
        <v>0.42</v>
      </c>
      <c r="L67" s="1652">
        <v>0.64</v>
      </c>
      <c r="N67" s="1682">
        <f t="shared" si="146"/>
        <v>1.3898515951301874E-2</v>
      </c>
      <c r="O67" s="1683">
        <f t="shared" si="146"/>
        <v>1.0585900169080346E-2</v>
      </c>
      <c r="P67" s="1683">
        <f t="shared" si="147"/>
        <v>5.3299492385786795E-2</v>
      </c>
      <c r="Q67" s="1683">
        <f t="shared" si="147"/>
        <v>4.2898728359123568E-3</v>
      </c>
      <c r="R67" s="1629"/>
      <c r="S67" s="1627"/>
      <c r="T67" s="1628"/>
      <c r="U67" s="1628"/>
      <c r="V67" s="1628"/>
      <c r="AC67" s="1684"/>
      <c r="AD67" s="1684"/>
      <c r="AE67" s="1684"/>
      <c r="AF67" s="1684"/>
    </row>
    <row r="68" spans="1:32">
      <c r="A68" s="1622" t="s">
        <v>1676</v>
      </c>
      <c r="B68" s="1623">
        <f t="shared" si="148"/>
        <v>124.29032258064517</v>
      </c>
      <c r="C68" s="1623">
        <f t="shared" si="148"/>
        <v>123.8968609865471</v>
      </c>
      <c r="D68" s="1623">
        <f t="shared" si="120"/>
        <v>123.8968609865471</v>
      </c>
      <c r="E68" s="1623">
        <f t="shared" si="149"/>
        <v>138.00507614213197</v>
      </c>
      <c r="F68" s="1623">
        <f t="shared" si="149"/>
        <v>107.96106557377048</v>
      </c>
      <c r="G68" s="1877">
        <v>2005</v>
      </c>
      <c r="H68" s="1638">
        <v>2</v>
      </c>
      <c r="I68" s="1638">
        <v>0.47</v>
      </c>
      <c r="J68" s="1638">
        <v>0.1</v>
      </c>
      <c r="K68" s="1638">
        <v>0.52</v>
      </c>
      <c r="L68" s="1645">
        <v>0.79</v>
      </c>
      <c r="N68" s="1682">
        <f t="shared" si="146"/>
        <v>1.420065760241713E-2</v>
      </c>
      <c r="O68" s="1683">
        <f t="shared" si="146"/>
        <v>3.3080938028376083E-3</v>
      </c>
      <c r="P68" s="1683">
        <f t="shared" si="147"/>
        <v>6.598984771573603E-2</v>
      </c>
      <c r="Q68" s="1683">
        <f t="shared" si="147"/>
        <v>5.2953117818293153E-3</v>
      </c>
      <c r="R68" s="1629"/>
      <c r="S68" s="1627"/>
      <c r="T68" s="1628"/>
      <c r="U68" s="1628"/>
      <c r="V68" s="1628"/>
      <c r="AC68" s="1684"/>
      <c r="AD68" s="1684"/>
      <c r="AE68" s="1684"/>
      <c r="AF68" s="1684"/>
    </row>
    <row r="69" spans="1:32">
      <c r="A69" s="1622" t="s">
        <v>1677</v>
      </c>
      <c r="B69" s="1623">
        <f t="shared" si="148"/>
        <v>122.57204301075269</v>
      </c>
      <c r="C69" s="1623">
        <f t="shared" si="148"/>
        <v>123.4932735426009</v>
      </c>
      <c r="D69" s="1623">
        <f t="shared" si="120"/>
        <v>123.4932735426009</v>
      </c>
      <c r="E69" s="1623">
        <f t="shared" si="149"/>
        <v>129.82233502538071</v>
      </c>
      <c r="F69" s="1623">
        <f t="shared" si="149"/>
        <v>107.39446721311475</v>
      </c>
      <c r="G69" s="1878">
        <v>2005</v>
      </c>
      <c r="H69" s="1625">
        <v>1</v>
      </c>
      <c r="I69" s="1625">
        <v>0.43</v>
      </c>
      <c r="J69" s="1625">
        <v>0.37</v>
      </c>
      <c r="K69" s="1625">
        <v>0.37</v>
      </c>
      <c r="L69" s="1644">
        <v>0.55000000000000004</v>
      </c>
      <c r="N69" s="1685">
        <f t="shared" si="146"/>
        <v>1.2992090997956099E-2</v>
      </c>
      <c r="O69" s="1686">
        <f t="shared" si="146"/>
        <v>1.2239947070499151E-2</v>
      </c>
      <c r="P69" s="1686">
        <f t="shared" si="147"/>
        <v>4.6954314720812178E-2</v>
      </c>
      <c r="Q69" s="1686">
        <f t="shared" si="147"/>
        <v>3.6866094683621815E-3</v>
      </c>
      <c r="R69" s="1629"/>
      <c r="S69" s="1630">
        <f>B69/B70-1</f>
        <v>1.2992090997956174E-2</v>
      </c>
      <c r="T69" s="1631">
        <f>C69/C70-1</f>
        <v>1.2239947070499246E-2</v>
      </c>
      <c r="U69" s="1631">
        <f>E69/E70-1</f>
        <v>4.695431472081224E-2</v>
      </c>
      <c r="V69" s="1631">
        <f>F69/F70-1</f>
        <v>3.6866094683620787E-3</v>
      </c>
      <c r="AC69" s="1684"/>
      <c r="AD69" s="1684"/>
      <c r="AE69" s="1684"/>
      <c r="AF69" s="1684"/>
    </row>
    <row r="70" spans="1:32" ht="13.5" thickBot="1">
      <c r="A70" s="1622" t="s">
        <v>1678</v>
      </c>
      <c r="B70" s="1670">
        <v>121</v>
      </c>
      <c r="C70" s="1670">
        <v>122</v>
      </c>
      <c r="D70" s="1670">
        <f t="shared" si="120"/>
        <v>122</v>
      </c>
      <c r="E70" s="1670">
        <v>124</v>
      </c>
      <c r="F70" s="1671">
        <v>107</v>
      </c>
      <c r="G70" s="1876">
        <v>2004</v>
      </c>
      <c r="H70" s="1646">
        <v>4</v>
      </c>
      <c r="I70" s="1646">
        <v>0.33</v>
      </c>
      <c r="J70" s="1646">
        <v>0.5</v>
      </c>
      <c r="K70" s="1646">
        <v>0.5</v>
      </c>
      <c r="L70" s="1647">
        <v>0</v>
      </c>
      <c r="N70" s="1682">
        <f t="shared" ref="N70:O73" si="150">I70/SUM(I$70:I$73)*(B$70/B$74-1)</f>
        <v>1.3391770148526898E-2</v>
      </c>
      <c r="O70" s="1683">
        <f t="shared" si="150"/>
        <v>1.063264221158958E-2</v>
      </c>
      <c r="P70" s="1683">
        <f t="shared" ref="P70:Q73" si="151">K70/SUM(K$70:K$73)*(E$70/E$74-1)</f>
        <v>2.2244466688911134E-2</v>
      </c>
      <c r="Q70" s="1683">
        <f t="shared" si="151"/>
        <v>0</v>
      </c>
      <c r="R70" s="1629"/>
      <c r="S70" s="1637"/>
      <c r="T70" s="1632"/>
      <c r="U70" s="1632"/>
      <c r="V70" s="1632"/>
      <c r="AC70" s="1684"/>
      <c r="AD70" s="1684"/>
      <c r="AE70" s="1684"/>
      <c r="AF70" s="1684"/>
    </row>
    <row r="71" spans="1:32">
      <c r="A71" s="1622" t="s">
        <v>1679</v>
      </c>
      <c r="B71" s="1623">
        <f t="shared" ref="B71:C73" si="152">B72+(B$70-B$74)*I71/SUM(I$70:I$73)</f>
        <v>119.51351351351352</v>
      </c>
      <c r="C71" s="1623">
        <f t="shared" si="152"/>
        <v>120.7878787878788</v>
      </c>
      <c r="D71" s="1623">
        <f t="shared" si="120"/>
        <v>120.7878787878788</v>
      </c>
      <c r="E71" s="1623">
        <f t="shared" ref="E71:F73" si="153">E72+(E$70-E$74)*K71/SUM(K$70:K$73)</f>
        <v>121.5975975975976</v>
      </c>
      <c r="F71" s="1623">
        <f t="shared" si="153"/>
        <v>107</v>
      </c>
      <c r="G71" s="1877">
        <v>2004</v>
      </c>
      <c r="H71" s="1651">
        <v>3</v>
      </c>
      <c r="I71" s="1651">
        <v>0.56000000000000005</v>
      </c>
      <c r="J71" s="1651">
        <v>0.8</v>
      </c>
      <c r="K71" s="1651">
        <v>0.83</v>
      </c>
      <c r="L71" s="1652">
        <v>0.06</v>
      </c>
      <c r="N71" s="1682">
        <f t="shared" si="150"/>
        <v>2.2725428130833527E-2</v>
      </c>
      <c r="O71" s="1683">
        <f t="shared" si="150"/>
        <v>1.7012227538543329E-2</v>
      </c>
      <c r="P71" s="1683">
        <f t="shared" si="151"/>
        <v>3.6925814703592477E-2</v>
      </c>
      <c r="Q71" s="1683">
        <f t="shared" si="151"/>
        <v>2.8846153846153744E-2</v>
      </c>
      <c r="R71" s="1629"/>
      <c r="S71" s="1627"/>
      <c r="T71" s="1628"/>
      <c r="U71" s="1628"/>
      <c r="V71" s="1628"/>
      <c r="AC71" s="1684"/>
      <c r="AD71" s="1684"/>
      <c r="AE71" s="1684"/>
      <c r="AF71" s="1684"/>
    </row>
    <row r="72" spans="1:32">
      <c r="A72" s="1622" t="s">
        <v>1680</v>
      </c>
      <c r="B72" s="1623">
        <f t="shared" si="152"/>
        <v>116.99099099099099</v>
      </c>
      <c r="C72" s="1623">
        <f t="shared" si="152"/>
        <v>118.84848484848486</v>
      </c>
      <c r="D72" s="1623">
        <f t="shared" si="120"/>
        <v>118.84848484848486</v>
      </c>
      <c r="E72" s="1623">
        <f t="shared" si="153"/>
        <v>117.60960960960961</v>
      </c>
      <c r="F72" s="1623">
        <f t="shared" si="153"/>
        <v>104</v>
      </c>
      <c r="G72" s="1877">
        <v>2004</v>
      </c>
      <c r="H72" s="1638">
        <v>2</v>
      </c>
      <c r="I72" s="1638">
        <v>1</v>
      </c>
      <c r="J72" s="1638">
        <v>1.5</v>
      </c>
      <c r="K72" s="1638">
        <v>1.5</v>
      </c>
      <c r="L72" s="1645">
        <v>0</v>
      </c>
      <c r="N72" s="1682">
        <f t="shared" si="150"/>
        <v>4.0581121662202721E-2</v>
      </c>
      <c r="O72" s="1683">
        <f t="shared" si="150"/>
        <v>3.1897926634768738E-2</v>
      </c>
      <c r="P72" s="1683">
        <f t="shared" si="151"/>
        <v>6.6733400066733395E-2</v>
      </c>
      <c r="Q72" s="1683">
        <f t="shared" si="151"/>
        <v>0</v>
      </c>
      <c r="R72" s="1629"/>
      <c r="S72" s="1627"/>
      <c r="T72" s="1628"/>
      <c r="U72" s="1628"/>
      <c r="V72" s="1628"/>
      <c r="AC72" s="1684"/>
      <c r="AD72" s="1684"/>
      <c r="AE72" s="1684"/>
      <c r="AF72" s="1684"/>
    </row>
    <row r="73" spans="1:32" s="1676" customFormat="1" ht="13.5" thickBot="1">
      <c r="A73" s="1622" t="s">
        <v>1681</v>
      </c>
      <c r="B73" s="1673">
        <f t="shared" si="152"/>
        <v>112.48648648648648</v>
      </c>
      <c r="C73" s="1673">
        <f t="shared" si="152"/>
        <v>115.21212121212122</v>
      </c>
      <c r="D73" s="1673">
        <f t="shared" si="120"/>
        <v>115.21212121212122</v>
      </c>
      <c r="E73" s="1673">
        <f t="shared" si="153"/>
        <v>110.4024024024024</v>
      </c>
      <c r="F73" s="1673">
        <f t="shared" si="153"/>
        <v>104</v>
      </c>
      <c r="G73" s="1878">
        <v>2004</v>
      </c>
      <c r="H73" s="1674">
        <v>1</v>
      </c>
      <c r="I73" s="1674">
        <v>0.33</v>
      </c>
      <c r="J73" s="1674">
        <v>0.5</v>
      </c>
      <c r="K73" s="1674">
        <v>0.5</v>
      </c>
      <c r="L73" s="1675">
        <v>0</v>
      </c>
      <c r="N73" s="1687">
        <f t="shared" si="150"/>
        <v>1.3391770148526898E-2</v>
      </c>
      <c r="O73" s="1688">
        <f t="shared" si="150"/>
        <v>1.063264221158958E-2</v>
      </c>
      <c r="P73" s="1688">
        <f t="shared" si="151"/>
        <v>2.2244466688911134E-2</v>
      </c>
      <c r="Q73" s="1688">
        <f t="shared" si="151"/>
        <v>0</v>
      </c>
      <c r="R73" s="1679"/>
      <c r="S73" s="1677">
        <f>B73/B74-1</f>
        <v>1.3391770148526883E-2</v>
      </c>
      <c r="T73" s="1678">
        <f>C73/C74-1</f>
        <v>1.063264221158966E-2</v>
      </c>
      <c r="U73" s="1678">
        <f>E73/E74-1</f>
        <v>2.2244466688911224E-2</v>
      </c>
      <c r="V73" s="1678">
        <f>F73/F74-1</f>
        <v>0</v>
      </c>
      <c r="AC73" s="1689"/>
      <c r="AD73" s="1689"/>
      <c r="AE73" s="1689"/>
      <c r="AF73" s="1689"/>
    </row>
    <row r="74" spans="1:32" ht="13.5" thickBot="1">
      <c r="A74" s="1622" t="s">
        <v>1682</v>
      </c>
      <c r="B74" s="1690">
        <v>111</v>
      </c>
      <c r="C74" s="1690">
        <v>114</v>
      </c>
      <c r="D74" s="1690">
        <f t="shared" si="120"/>
        <v>114</v>
      </c>
      <c r="E74" s="1690">
        <v>108</v>
      </c>
      <c r="F74" s="1691">
        <v>104</v>
      </c>
      <c r="G74" s="1876">
        <v>2003</v>
      </c>
      <c r="H74" s="1680">
        <v>4</v>
      </c>
      <c r="I74" s="1692"/>
      <c r="J74" s="1692"/>
      <c r="K74" s="1692"/>
      <c r="L74" s="1692"/>
      <c r="N74" s="1693"/>
      <c r="O74" s="1692"/>
      <c r="P74" s="1692"/>
      <c r="Q74" s="1692"/>
      <c r="S74" s="1693"/>
      <c r="T74" s="1692"/>
      <c r="U74" s="1692"/>
      <c r="V74" s="1692"/>
      <c r="AC74" s="1684"/>
      <c r="AD74" s="1684"/>
      <c r="AE74" s="1684"/>
      <c r="AF74" s="1684"/>
    </row>
    <row r="75" spans="1:32">
      <c r="A75" s="1622" t="s">
        <v>1683</v>
      </c>
      <c r="B75" s="1694">
        <f t="shared" ref="B75:C77" si="154">B76+(B$74-B$78)/4</f>
        <v>109.75</v>
      </c>
      <c r="C75" s="1694">
        <f t="shared" si="154"/>
        <v>112.25</v>
      </c>
      <c r="D75" s="1694">
        <f t="shared" si="120"/>
        <v>112.25</v>
      </c>
      <c r="E75" s="1694">
        <f t="shared" ref="E75:F77" si="155">E76+(E$74-E$78)/4</f>
        <v>107.25</v>
      </c>
      <c r="F75" s="1694">
        <f t="shared" si="155"/>
        <v>103.5</v>
      </c>
      <c r="G75" s="1877">
        <v>2003</v>
      </c>
      <c r="H75" s="1651">
        <v>3</v>
      </c>
      <c r="I75" s="1692"/>
      <c r="J75" s="1692"/>
      <c r="K75" s="1692"/>
      <c r="L75" s="1692"/>
      <c r="AC75" s="1684"/>
      <c r="AD75" s="1684"/>
      <c r="AE75" s="1684"/>
      <c r="AF75" s="1684"/>
    </row>
    <row r="76" spans="1:32">
      <c r="A76" s="1622" t="s">
        <v>1684</v>
      </c>
      <c r="B76" s="1694">
        <f t="shared" si="154"/>
        <v>108.5</v>
      </c>
      <c r="C76" s="1694">
        <f t="shared" si="154"/>
        <v>110.5</v>
      </c>
      <c r="D76" s="1694">
        <f t="shared" si="120"/>
        <v>110.5</v>
      </c>
      <c r="E76" s="1694">
        <f t="shared" si="155"/>
        <v>106.5</v>
      </c>
      <c r="F76" s="1694">
        <f t="shared" si="155"/>
        <v>103</v>
      </c>
      <c r="G76" s="1877">
        <v>2003</v>
      </c>
      <c r="H76" s="1638">
        <v>2</v>
      </c>
      <c r="I76" s="1692"/>
      <c r="J76" s="1692"/>
      <c r="K76" s="1692"/>
      <c r="L76" s="1692"/>
      <c r="AC76" s="1684"/>
      <c r="AD76" s="1684"/>
      <c r="AE76" s="1684"/>
      <c r="AF76" s="1684"/>
    </row>
    <row r="77" spans="1:32" ht="13.5" thickBot="1">
      <c r="A77" s="1622" t="s">
        <v>1685</v>
      </c>
      <c r="B77" s="1694">
        <f t="shared" si="154"/>
        <v>107.25</v>
      </c>
      <c r="C77" s="1694">
        <f t="shared" si="154"/>
        <v>108.75</v>
      </c>
      <c r="D77" s="1694">
        <f t="shared" si="120"/>
        <v>108.75</v>
      </c>
      <c r="E77" s="1694">
        <f t="shared" si="155"/>
        <v>105.75</v>
      </c>
      <c r="F77" s="1694">
        <f t="shared" si="155"/>
        <v>102.5</v>
      </c>
      <c r="G77" s="1878">
        <v>2003</v>
      </c>
      <c r="H77" s="1695">
        <v>1</v>
      </c>
      <c r="I77" s="1692"/>
      <c r="J77" s="1692"/>
      <c r="K77" s="1692"/>
      <c r="L77" s="1692"/>
      <c r="S77" s="1627"/>
      <c r="T77" s="1628"/>
      <c r="U77" s="1628"/>
      <c r="AC77" s="1684"/>
      <c r="AD77" s="1684"/>
      <c r="AE77" s="1684"/>
      <c r="AF77" s="1684"/>
    </row>
    <row r="78" spans="1:32" ht="13.5" thickBot="1">
      <c r="A78" s="1622" t="s">
        <v>1686</v>
      </c>
      <c r="B78" s="1696">
        <v>106</v>
      </c>
      <c r="C78" s="1696">
        <v>107</v>
      </c>
      <c r="D78" s="1696">
        <f t="shared" si="120"/>
        <v>107</v>
      </c>
      <c r="E78" s="1696">
        <v>105</v>
      </c>
      <c r="F78" s="1697">
        <v>102</v>
      </c>
      <c r="G78" s="1876">
        <v>2002</v>
      </c>
      <c r="H78" s="1646">
        <v>4</v>
      </c>
      <c r="I78" s="1692"/>
      <c r="J78" s="1692"/>
      <c r="K78" s="1692"/>
      <c r="L78" s="1692"/>
      <c r="N78" s="1693"/>
      <c r="O78" s="1692"/>
      <c r="P78" s="1692"/>
      <c r="Q78" s="1692"/>
      <c r="S78" s="1693"/>
      <c r="T78" s="1692"/>
      <c r="U78" s="1692"/>
      <c r="V78" s="1692"/>
      <c r="AC78" s="1684"/>
      <c r="AD78" s="1684"/>
      <c r="AE78" s="1684"/>
      <c r="AF78" s="1684"/>
    </row>
    <row r="79" spans="1:32">
      <c r="A79" s="1622" t="s">
        <v>1687</v>
      </c>
      <c r="B79" s="1694">
        <f t="shared" ref="B79:C81" si="156">B80+(B$78-B$82)/4</f>
        <v>105</v>
      </c>
      <c r="C79" s="1694">
        <f t="shared" si="156"/>
        <v>106</v>
      </c>
      <c r="D79" s="1694">
        <f t="shared" si="120"/>
        <v>106</v>
      </c>
      <c r="E79" s="1694">
        <f t="shared" ref="E79:F81" si="157">E80+(E$78-E$82)/4</f>
        <v>104.5</v>
      </c>
      <c r="F79" s="1694">
        <f t="shared" si="157"/>
        <v>101.5</v>
      </c>
      <c r="G79" s="1877">
        <v>2002</v>
      </c>
      <c r="H79" s="1651">
        <v>3</v>
      </c>
      <c r="I79" s="1692"/>
      <c r="J79" s="1692"/>
      <c r="K79" s="1692"/>
      <c r="L79" s="1692"/>
      <c r="AC79" s="1684"/>
      <c r="AD79" s="1684"/>
      <c r="AE79" s="1684"/>
      <c r="AF79" s="1684"/>
    </row>
    <row r="80" spans="1:32">
      <c r="A80" s="1622" t="s">
        <v>1688</v>
      </c>
      <c r="B80" s="1694">
        <f t="shared" si="156"/>
        <v>104</v>
      </c>
      <c r="C80" s="1694">
        <f t="shared" si="156"/>
        <v>105</v>
      </c>
      <c r="D80" s="1694">
        <f t="shared" si="120"/>
        <v>105</v>
      </c>
      <c r="E80" s="1694">
        <f t="shared" si="157"/>
        <v>104</v>
      </c>
      <c r="F80" s="1694">
        <f t="shared" si="157"/>
        <v>101</v>
      </c>
      <c r="G80" s="1877">
        <v>2002</v>
      </c>
      <c r="H80" s="1638">
        <v>2</v>
      </c>
      <c r="I80" s="1692"/>
      <c r="J80" s="1692"/>
      <c r="K80" s="1692"/>
      <c r="L80" s="1692"/>
      <c r="AC80" s="1684"/>
      <c r="AD80" s="1684"/>
      <c r="AE80" s="1684"/>
      <c r="AF80" s="1684"/>
    </row>
    <row r="81" spans="1:32" s="1662" customFormat="1" ht="13.5" thickBot="1">
      <c r="A81" s="1658" t="s">
        <v>1689</v>
      </c>
      <c r="B81" s="1665">
        <f t="shared" si="156"/>
        <v>103</v>
      </c>
      <c r="C81" s="1665">
        <f t="shared" si="156"/>
        <v>104</v>
      </c>
      <c r="D81" s="1665">
        <f t="shared" si="120"/>
        <v>104</v>
      </c>
      <c r="E81" s="1665">
        <f t="shared" si="157"/>
        <v>103.5</v>
      </c>
      <c r="F81" s="1665">
        <f t="shared" si="157"/>
        <v>100.5</v>
      </c>
      <c r="G81" s="1878">
        <v>2002</v>
      </c>
      <c r="H81" s="1698">
        <v>1</v>
      </c>
      <c r="I81" s="1699"/>
      <c r="J81" s="1699"/>
      <c r="K81" s="1699"/>
      <c r="L81" s="1699"/>
      <c r="N81" s="1700"/>
      <c r="S81" s="1700"/>
      <c r="AC81" s="1701"/>
      <c r="AD81" s="1701"/>
      <c r="AE81" s="1701"/>
      <c r="AF81" s="1701"/>
    </row>
    <row r="82" spans="1:32" ht="13.5" thickBot="1">
      <c r="B82" s="1702">
        <v>102</v>
      </c>
      <c r="C82" s="1703">
        <v>103</v>
      </c>
      <c r="D82" s="1703">
        <f t="shared" si="120"/>
        <v>103</v>
      </c>
      <c r="E82" s="1703">
        <v>103</v>
      </c>
      <c r="F82" s="1704">
        <v>100</v>
      </c>
      <c r="I82" s="1692"/>
      <c r="J82" s="1692"/>
      <c r="K82" s="1692"/>
      <c r="L82" s="1692"/>
      <c r="N82" s="1693"/>
      <c r="O82" s="1692"/>
      <c r="P82" s="1692"/>
      <c r="Q82" s="1692"/>
      <c r="S82" s="1693"/>
      <c r="T82" s="1692"/>
      <c r="U82" s="1692"/>
      <c r="V82" s="1692"/>
      <c r="AC82" s="1632"/>
      <c r="AD82" s="1632"/>
      <c r="AE82" s="1632"/>
      <c r="AF82" s="1632"/>
    </row>
    <row r="84" spans="1:32" s="1706" customFormat="1">
      <c r="A84" s="1705" t="s">
        <v>1696</v>
      </c>
      <c r="G84" s="1707"/>
      <c r="N84" s="1707"/>
      <c r="S84" s="1707"/>
    </row>
    <row r="85" spans="1:32" s="1706" customFormat="1">
      <c r="A85" s="1706" t="s">
        <v>1697</v>
      </c>
      <c r="G85" s="1707"/>
      <c r="N85" s="1707"/>
      <c r="S85" s="1707"/>
    </row>
    <row r="86" spans="1:32" s="1706" customFormat="1">
      <c r="A86" s="1706" t="s">
        <v>1698</v>
      </c>
      <c r="G86" s="1707"/>
      <c r="I86" s="1708"/>
      <c r="J86" s="1708"/>
      <c r="K86" s="1708"/>
      <c r="L86" s="1708"/>
      <c r="N86" s="1709"/>
      <c r="O86" s="1708"/>
      <c r="P86" s="1708"/>
      <c r="Q86" s="1708"/>
      <c r="S86" s="1709"/>
      <c r="T86" s="1708"/>
      <c r="U86" s="1708"/>
      <c r="V86" s="1708"/>
    </row>
    <row r="87" spans="1:32" s="1706" customFormat="1">
      <c r="A87" s="1706" t="s">
        <v>1699</v>
      </c>
      <c r="G87" s="1707"/>
      <c r="N87" s="1707"/>
      <c r="S87" s="1707"/>
    </row>
    <row r="94" spans="1:32" ht="13.5" thickBot="1"/>
    <row r="95" spans="1:32" ht="24">
      <c r="S95" s="1710" t="s">
        <v>1690</v>
      </c>
      <c r="T95" s="1711" t="s">
        <v>1691</v>
      </c>
      <c r="U95" s="1711" t="s">
        <v>1692</v>
      </c>
      <c r="V95" s="1711" t="s">
        <v>1693</v>
      </c>
      <c r="W95" s="1712" t="s">
        <v>1694</v>
      </c>
      <c r="X95" s="1713">
        <v>2006</v>
      </c>
      <c r="Y95" s="1714">
        <v>4</v>
      </c>
      <c r="Z95" s="1714">
        <v>3.79</v>
      </c>
      <c r="AA95" s="1714">
        <v>2.21</v>
      </c>
      <c r="AB95" s="1714">
        <v>5.65</v>
      </c>
      <c r="AC95" s="1715">
        <v>5.41</v>
      </c>
    </row>
    <row r="96" spans="1:32">
      <c r="N96" s="1637"/>
      <c r="O96" s="1632"/>
      <c r="P96" s="1632"/>
      <c r="Q96" s="1632"/>
      <c r="S96" s="1716">
        <v>2006</v>
      </c>
      <c r="T96" s="1717">
        <v>15.1</v>
      </c>
      <c r="U96" s="1717">
        <v>7.43</v>
      </c>
      <c r="V96" s="1717">
        <v>26.26</v>
      </c>
      <c r="W96" s="1718">
        <v>7.6</v>
      </c>
      <c r="X96" s="1719">
        <v>2006</v>
      </c>
      <c r="Y96" s="1720">
        <v>3</v>
      </c>
      <c r="Z96" s="1720">
        <v>0.92</v>
      </c>
      <c r="AA96" s="1720">
        <v>1.08</v>
      </c>
      <c r="AB96" s="1720">
        <v>0.73</v>
      </c>
      <c r="AC96" s="1721">
        <v>1.08</v>
      </c>
    </row>
    <row r="97" spans="14:29">
      <c r="N97" s="1637"/>
      <c r="O97" s="1632"/>
      <c r="P97" s="1632"/>
      <c r="Q97" s="1632"/>
      <c r="S97" s="1722">
        <v>2005</v>
      </c>
      <c r="T97" s="1720">
        <v>13.9</v>
      </c>
      <c r="U97" s="1720">
        <v>7.49</v>
      </c>
      <c r="V97" s="1720">
        <v>24.92</v>
      </c>
      <c r="W97" s="1721">
        <v>6.51</v>
      </c>
      <c r="X97" s="1723">
        <v>2006</v>
      </c>
      <c r="Y97" s="1717">
        <v>2</v>
      </c>
      <c r="Z97" s="1717">
        <v>0.96</v>
      </c>
      <c r="AA97" s="1717">
        <v>0.25</v>
      </c>
      <c r="AB97" s="1717">
        <v>1.9</v>
      </c>
      <c r="AC97" s="1718">
        <v>0.95</v>
      </c>
    </row>
    <row r="98" spans="14:29" ht="13.5" thickBot="1">
      <c r="N98" s="1637"/>
      <c r="O98" s="1632"/>
      <c r="P98" s="1632"/>
      <c r="Q98" s="1632"/>
      <c r="S98" s="1716">
        <v>2004</v>
      </c>
      <c r="T98" s="1717">
        <v>9.48</v>
      </c>
      <c r="U98" s="1717">
        <v>7.2</v>
      </c>
      <c r="V98" s="1717">
        <v>14.68</v>
      </c>
      <c r="W98" s="1718">
        <v>2.2000000000000002</v>
      </c>
      <c r="X98" s="1724">
        <v>2006</v>
      </c>
      <c r="Y98" s="1725">
        <v>1</v>
      </c>
      <c r="Z98" s="1725">
        <v>2.29</v>
      </c>
      <c r="AA98" s="1725">
        <v>3.72</v>
      </c>
      <c r="AB98" s="1725">
        <v>0.75</v>
      </c>
      <c r="AC98" s="1726">
        <v>0.04</v>
      </c>
    </row>
    <row r="99" spans="14:29">
      <c r="N99" s="1637"/>
      <c r="O99" s="1632"/>
      <c r="P99" s="1632"/>
      <c r="Q99" s="1632"/>
      <c r="S99" s="1722">
        <v>2003</v>
      </c>
      <c r="T99" s="1720">
        <v>4.5</v>
      </c>
      <c r="U99" s="1720">
        <v>6.12</v>
      </c>
      <c r="V99" s="1720">
        <v>2.34</v>
      </c>
      <c r="W99" s="1721">
        <v>2.36</v>
      </c>
    </row>
    <row r="100" spans="14:29" ht="13.5" thickBot="1">
      <c r="N100" s="1637"/>
      <c r="O100" s="1632"/>
      <c r="P100" s="1632"/>
      <c r="Q100" s="1632"/>
      <c r="S100" s="1727">
        <v>2002</v>
      </c>
      <c r="T100" s="1728">
        <v>3.59</v>
      </c>
      <c r="U100" s="1728">
        <v>4.54</v>
      </c>
      <c r="V100" s="1728">
        <v>2.5499999999999998</v>
      </c>
      <c r="W100" s="1729">
        <v>1.52</v>
      </c>
    </row>
    <row r="101" spans="14:29">
      <c r="N101" s="1637"/>
      <c r="O101" s="1632"/>
      <c r="P101" s="1632"/>
      <c r="Q101" s="1632"/>
    </row>
    <row r="102" spans="14:29">
      <c r="N102" s="1637"/>
      <c r="O102" s="1632"/>
      <c r="P102" s="1632"/>
      <c r="Q102" s="1632"/>
    </row>
    <row r="103" spans="14:29">
      <c r="N103" s="1637"/>
      <c r="O103" s="1632"/>
      <c r="P103" s="1632"/>
      <c r="Q103" s="1632"/>
    </row>
    <row r="104" spans="14:29">
      <c r="N104" s="1637"/>
      <c r="O104" s="1632"/>
      <c r="P104" s="1632"/>
      <c r="Q104" s="1632"/>
    </row>
    <row r="105" spans="14:29">
      <c r="N105" s="1637"/>
      <c r="O105" s="1632"/>
      <c r="P105" s="1632"/>
      <c r="Q105" s="1632"/>
    </row>
    <row r="106" spans="14:29">
      <c r="N106" s="1637"/>
      <c r="O106" s="1632"/>
      <c r="P106" s="1632"/>
      <c r="Q106" s="1632"/>
    </row>
    <row r="107" spans="14:29">
      <c r="N107" s="1637"/>
      <c r="O107" s="1632"/>
      <c r="P107" s="1632"/>
      <c r="Q107" s="1632"/>
    </row>
    <row r="108" spans="14:29">
      <c r="N108" s="1637"/>
      <c r="O108" s="1632"/>
      <c r="P108" s="1632"/>
      <c r="Q108" s="1632"/>
    </row>
    <row r="109" spans="14:29">
      <c r="N109" s="1637"/>
      <c r="O109" s="1632"/>
      <c r="P109" s="1632"/>
      <c r="Q109" s="1632"/>
    </row>
    <row r="110" spans="14:29">
      <c r="N110" s="1637"/>
      <c r="O110" s="1632"/>
      <c r="P110" s="1632"/>
      <c r="Q110" s="1632"/>
    </row>
    <row r="111" spans="14:29">
      <c r="N111" s="1637"/>
      <c r="O111" s="1632"/>
      <c r="P111" s="1632"/>
      <c r="Q111" s="1632"/>
    </row>
    <row r="112" spans="14:29">
      <c r="N112" s="1637"/>
      <c r="O112" s="1632"/>
      <c r="P112" s="1632"/>
      <c r="Q112" s="1632"/>
    </row>
    <row r="113" spans="14:17">
      <c r="N113" s="1637"/>
      <c r="O113" s="1632"/>
      <c r="P113" s="1632"/>
      <c r="Q113" s="1632"/>
    </row>
    <row r="114" spans="14:17">
      <c r="N114" s="1637"/>
      <c r="O114" s="1632"/>
      <c r="P114" s="1632"/>
      <c r="Q114" s="1632"/>
    </row>
    <row r="115" spans="14:17">
      <c r="N115" s="1637"/>
      <c r="O115" s="1632"/>
      <c r="P115" s="1632"/>
      <c r="Q115" s="1632"/>
    </row>
    <row r="116" spans="14:17">
      <c r="N116" s="1637"/>
      <c r="O116" s="1632"/>
      <c r="P116" s="1632"/>
      <c r="Q116" s="1632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6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3"/>
    <col min="2" max="3" width="9" style="246"/>
    <col min="4" max="5" width="14" style="246" customWidth="1"/>
    <col min="6" max="6" width="9" style="246"/>
    <col min="7" max="7" width="9" style="1449" customWidth="1"/>
    <col min="8" max="8" width="9" style="246" customWidth="1"/>
    <col min="9" max="10" width="14" style="246" customWidth="1"/>
    <col min="11" max="11" width="9" style="246" customWidth="1"/>
    <col min="12" max="12" width="9" style="144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0" t="s">
        <v>969</v>
      </c>
      <c r="H1" s="249">
        <f>'2014基准地价'!M18</f>
        <v>4</v>
      </c>
      <c r="I1" s="1410" t="s">
        <v>1633</v>
      </c>
      <c r="J1" s="1424" t="str">
        <f>'2014基准地价'!N19</f>
        <v>2017-1</v>
      </c>
      <c r="K1" s="298"/>
      <c r="L1" s="1422" t="s">
        <v>969</v>
      </c>
      <c r="M1" s="249">
        <f>'2002基准地价'!B24</f>
        <v>44</v>
      </c>
      <c r="N1" s="1410" t="s">
        <v>1633</v>
      </c>
      <c r="O1" s="1424" t="str">
        <f>'2002基准地价'!C25</f>
        <v>2012-4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2">
        <f ca="1">ROUND(SUMIF(季度2014,$J$1,K4:K19),4)</f>
        <v>0</v>
      </c>
      <c r="L2" s="1417">
        <f>ROUND(SUMIF($A$17:$A$67,$O$1,L17:L67),4)</f>
        <v>1.9300000000000001E-2</v>
      </c>
      <c r="M2" s="28">
        <f>ROUND(SUMIF($A$17:$A$67,$O$1,M17:M67),4)</f>
        <v>1.77E-2</v>
      </c>
      <c r="N2" s="28">
        <f>ROUND(SUMIF($A$17:$A$67,$O$1,N17:N67),4)</f>
        <v>1.77E-2</v>
      </c>
      <c r="O2" s="28">
        <f>ROUND(SUMIF($A$17:$A$67,$O$1,O17:O67),4)</f>
        <v>1.9800000000000002E-2</v>
      </c>
      <c r="P2" s="28">
        <f>ROUND(SUMIF($A$17:$A$67,$O$1,P17:P67),4)</f>
        <v>1.9199999999999998E-2</v>
      </c>
    </row>
    <row r="3" spans="1:23">
      <c r="A3" s="1411" t="s">
        <v>264</v>
      </c>
      <c r="B3" s="1408" t="s">
        <v>278</v>
      </c>
      <c r="C3" s="1408" t="s">
        <v>280</v>
      </c>
      <c r="D3" s="1408" t="s">
        <v>1300</v>
      </c>
      <c r="E3" s="1408" t="s">
        <v>1347</v>
      </c>
      <c r="F3" s="1413" t="s">
        <v>2</v>
      </c>
      <c r="G3" s="1416" t="s">
        <v>278</v>
      </c>
      <c r="H3" s="1408" t="s">
        <v>0</v>
      </c>
      <c r="I3" s="1408" t="s">
        <v>1300</v>
      </c>
      <c r="J3" s="1408" t="s">
        <v>1347</v>
      </c>
      <c r="K3" s="1413" t="s">
        <v>2</v>
      </c>
      <c r="L3" s="1416" t="s">
        <v>278</v>
      </c>
      <c r="M3" s="1408" t="s">
        <v>0</v>
      </c>
      <c r="N3" s="1408" t="s">
        <v>1300</v>
      </c>
      <c r="O3" s="1408" t="s">
        <v>1347</v>
      </c>
      <c r="P3" s="1408" t="s">
        <v>2</v>
      </c>
    </row>
    <row r="4" spans="1:23">
      <c r="A4" s="665" t="s">
        <v>1584</v>
      </c>
      <c r="B4" s="607"/>
      <c r="C4" s="607"/>
      <c r="D4" s="607"/>
      <c r="E4" s="607"/>
      <c r="F4" s="1414"/>
      <c r="G4" s="141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2">
        <f>AVERAGE(F4:F$18)</f>
        <v>1.32E-2</v>
      </c>
      <c r="L4" s="1419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4"/>
      <c r="G5" s="141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2">
        <f>AVERAGE(F5:F$18)</f>
        <v>1.32E-2</v>
      </c>
      <c r="L5" s="1419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4"/>
      <c r="G6" s="141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2">
        <f>AVERAGE(F6:F$18)</f>
        <v>1.32E-2</v>
      </c>
      <c r="L6" s="1419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4"/>
      <c r="G7" s="141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2">
        <f>AVERAGE(F7:F$18)</f>
        <v>1.32E-2</v>
      </c>
      <c r="L7" s="1419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5">
        <f>W8/100</f>
        <v>1.5700000000000002E-2</v>
      </c>
      <c r="G8" s="141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2">
        <f>AVERAGE(F8:F$18)</f>
        <v>1.32E-2</v>
      </c>
      <c r="L8" s="1419"/>
      <c r="M8" s="28"/>
      <c r="N8" s="28"/>
      <c r="O8" s="28"/>
      <c r="P8" s="28"/>
      <c r="R8" s="1425">
        <v>2016</v>
      </c>
      <c r="S8" s="1426">
        <v>4</v>
      </c>
      <c r="T8" s="1426">
        <v>4.5599999999999996</v>
      </c>
      <c r="U8" s="1426">
        <v>2.15</v>
      </c>
      <c r="V8" s="1426">
        <v>5.32</v>
      </c>
      <c r="W8" s="1427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5">
        <f t="shared" ref="F9:F59" si="4">W9/100</f>
        <v>1.9699999999999999E-2</v>
      </c>
      <c r="G9" s="141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2">
        <f>AVERAGE(F9:F$18)</f>
        <v>1.295E-2</v>
      </c>
      <c r="L9" s="1419"/>
      <c r="M9" s="28"/>
      <c r="N9" s="28"/>
      <c r="O9" s="28"/>
      <c r="P9" s="28"/>
      <c r="R9" s="1428">
        <v>2016</v>
      </c>
      <c r="S9" s="1429">
        <v>3</v>
      </c>
      <c r="T9" s="1429">
        <v>4.12</v>
      </c>
      <c r="U9" s="1429">
        <v>2</v>
      </c>
      <c r="V9" s="1429">
        <v>4.79</v>
      </c>
      <c r="W9" s="1430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5">
        <f t="shared" si="4"/>
        <v>1.41E-2</v>
      </c>
      <c r="G10" s="141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2">
        <f>AVERAGE(F10:F$18)</f>
        <v>1.2200000000000001E-2</v>
      </c>
      <c r="L10" s="1419"/>
      <c r="M10" s="28"/>
      <c r="N10" s="28"/>
      <c r="O10" s="28"/>
      <c r="P10" s="28"/>
      <c r="R10" s="1431">
        <v>2016</v>
      </c>
      <c r="S10" s="1432">
        <v>2</v>
      </c>
      <c r="T10" s="1432">
        <v>3.85</v>
      </c>
      <c r="U10" s="1432">
        <v>1.95</v>
      </c>
      <c r="V10" s="1432">
        <v>4.4800000000000004</v>
      </c>
      <c r="W10" s="1433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5">
        <f t="shared" si="4"/>
        <v>1.4800000000000001E-2</v>
      </c>
      <c r="G11" s="141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2">
        <f>AVERAGE(F11:F$18)</f>
        <v>1.1962500000000001E-2</v>
      </c>
      <c r="L11" s="1419"/>
      <c r="M11" s="28"/>
      <c r="N11" s="28"/>
      <c r="O11" s="28"/>
      <c r="P11" s="28"/>
      <c r="R11" s="1428">
        <v>2016</v>
      </c>
      <c r="S11" s="1429">
        <v>1</v>
      </c>
      <c r="T11" s="1429">
        <v>4.09</v>
      </c>
      <c r="U11" s="1429">
        <v>2.93</v>
      </c>
      <c r="V11" s="1429">
        <v>4.54</v>
      </c>
      <c r="W11" s="1430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5">
        <f t="shared" si="4"/>
        <v>1.89E-2</v>
      </c>
      <c r="G12" s="141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2">
        <f>AVERAGE(F12:F$18)</f>
        <v>1.155714285714286E-2</v>
      </c>
      <c r="L12" s="1419"/>
      <c r="M12" s="28"/>
      <c r="N12" s="28"/>
      <c r="O12" s="28"/>
      <c r="P12" s="28"/>
      <c r="R12" s="1434">
        <v>2015</v>
      </c>
      <c r="S12" s="1435">
        <v>4</v>
      </c>
      <c r="T12" s="1435">
        <v>1.63</v>
      </c>
      <c r="U12" s="1435">
        <v>1.1100000000000001</v>
      </c>
      <c r="V12" s="1435">
        <v>1.77</v>
      </c>
      <c r="W12" s="1436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5">
        <f t="shared" si="4"/>
        <v>1.26E-2</v>
      </c>
      <c r="G13" s="141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2">
        <f>AVERAGE(F13:F$18)</f>
        <v>1.0333333333333333E-2</v>
      </c>
      <c r="L13" s="1419"/>
      <c r="M13" s="28"/>
      <c r="N13" s="28"/>
      <c r="O13" s="28"/>
      <c r="P13" s="28"/>
      <c r="R13" s="1437">
        <v>2015</v>
      </c>
      <c r="S13" s="1438">
        <v>3</v>
      </c>
      <c r="T13" s="1438">
        <v>1.65</v>
      </c>
      <c r="U13" s="1438">
        <v>0.92</v>
      </c>
      <c r="V13" s="1438">
        <v>1.88</v>
      </c>
      <c r="W13" s="1439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5">
        <f t="shared" si="4"/>
        <v>8.8000000000000005E-3</v>
      </c>
      <c r="G14" s="141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2">
        <f>AVERAGE(F14:F$18)</f>
        <v>9.8799999999999999E-3</v>
      </c>
      <c r="L14" s="1419"/>
      <c r="M14" s="28"/>
      <c r="N14" s="28"/>
      <c r="O14" s="28"/>
      <c r="P14" s="28"/>
      <c r="R14" s="1431">
        <v>2015</v>
      </c>
      <c r="S14" s="1432">
        <v>2</v>
      </c>
      <c r="T14" s="1432">
        <v>0.77</v>
      </c>
      <c r="U14" s="1432">
        <v>0.69</v>
      </c>
      <c r="V14" s="1432">
        <v>0.8</v>
      </c>
      <c r="W14" s="1433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5">
        <f t="shared" si="4"/>
        <v>9.300000000000001E-3</v>
      </c>
      <c r="G15" s="141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2">
        <f>AVERAGE(F15:F$18)</f>
        <v>1.0149999999999999E-2</v>
      </c>
      <c r="L15" s="1419"/>
      <c r="M15" s="28"/>
      <c r="N15" s="28"/>
      <c r="O15" s="28"/>
      <c r="P15" s="28"/>
      <c r="R15" s="1428">
        <v>2015</v>
      </c>
      <c r="S15" s="1429">
        <v>1</v>
      </c>
      <c r="T15" s="1429">
        <v>0.51</v>
      </c>
      <c r="U15" s="1429">
        <v>0.54</v>
      </c>
      <c r="V15" s="1429">
        <v>0.48</v>
      </c>
      <c r="W15" s="1430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5">
        <f t="shared" si="4"/>
        <v>8.8999999999999999E-3</v>
      </c>
      <c r="G16" s="141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2">
        <f>AVERAGE(F16:F$18)</f>
        <v>1.0433333333333334E-2</v>
      </c>
      <c r="L16" s="1419"/>
      <c r="M16" s="28"/>
      <c r="N16" s="28"/>
      <c r="O16" s="28"/>
      <c r="P16" s="28"/>
      <c r="R16" s="1434">
        <v>2014</v>
      </c>
      <c r="S16" s="1435">
        <v>4</v>
      </c>
      <c r="T16" s="1435">
        <v>0.21</v>
      </c>
      <c r="U16" s="1435">
        <v>0.41</v>
      </c>
      <c r="V16" s="1435">
        <v>0.12</v>
      </c>
      <c r="W16" s="1436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5">
        <f t="shared" si="4"/>
        <v>7.1999999999999998E-3</v>
      </c>
      <c r="G17" s="141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2">
        <f>AVERAGE(F17:F$18)</f>
        <v>1.12E-2</v>
      </c>
      <c r="L17" s="141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0">
        <v>2014</v>
      </c>
      <c r="S17" s="1441">
        <v>3</v>
      </c>
      <c r="T17" s="1441">
        <v>0.83</v>
      </c>
      <c r="U17" s="1441">
        <v>1.47</v>
      </c>
      <c r="V17" s="1441">
        <v>0.65</v>
      </c>
      <c r="W17" s="1442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5">
        <f t="shared" si="4"/>
        <v>1.52E-2</v>
      </c>
      <c r="G18" s="141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0">
        <f t="shared" si="5"/>
        <v>1.52E-2</v>
      </c>
      <c r="L18" s="141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3">
        <v>2014</v>
      </c>
      <c r="S18" s="1444">
        <v>2</v>
      </c>
      <c r="T18" s="1444">
        <v>2.4</v>
      </c>
      <c r="U18" s="1444">
        <v>2.0299999999999998</v>
      </c>
      <c r="V18" s="1444">
        <v>2.59</v>
      </c>
      <c r="W18" s="1445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5">
        <f t="shared" si="4"/>
        <v>1.3600000000000001E-2</v>
      </c>
      <c r="G19" s="1418">
        <v>0</v>
      </c>
      <c r="H19" s="26">
        <v>0</v>
      </c>
      <c r="I19" s="26">
        <v>0</v>
      </c>
      <c r="J19" s="26">
        <v>0</v>
      </c>
      <c r="K19" s="1421">
        <v>0</v>
      </c>
      <c r="L19" s="141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6">
        <v>2014</v>
      </c>
      <c r="S19" s="1447">
        <v>1</v>
      </c>
      <c r="T19" s="1447">
        <v>2.97</v>
      </c>
      <c r="U19" s="1447">
        <v>2.34</v>
      </c>
      <c r="V19" s="1447">
        <v>3.28</v>
      </c>
      <c r="W19" s="1448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5">
        <f t="shared" si="4"/>
        <v>8.6999999999999994E-3</v>
      </c>
      <c r="L20" s="141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0">
        <v>2013</v>
      </c>
      <c r="S20" s="1451">
        <v>4</v>
      </c>
      <c r="T20" s="1451">
        <v>1.83</v>
      </c>
      <c r="U20" s="1451">
        <v>1.68</v>
      </c>
      <c r="V20" s="1451">
        <v>1.97</v>
      </c>
      <c r="W20" s="1452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5">
        <f t="shared" si="4"/>
        <v>8.8000000000000005E-3</v>
      </c>
      <c r="L21" s="141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7">
        <v>2013</v>
      </c>
      <c r="S21" s="1438">
        <v>3</v>
      </c>
      <c r="T21" s="1438">
        <v>1.86</v>
      </c>
      <c r="U21" s="1438">
        <v>1.72</v>
      </c>
      <c r="V21" s="1438">
        <v>1.98</v>
      </c>
      <c r="W21" s="1439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5">
        <f t="shared" si="4"/>
        <v>6.8999999999999999E-3</v>
      </c>
      <c r="L22" s="141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1">
        <v>2013</v>
      </c>
      <c r="S22" s="1432">
        <v>2</v>
      </c>
      <c r="T22" s="1432">
        <v>2.04</v>
      </c>
      <c r="U22" s="1432">
        <v>2.33</v>
      </c>
      <c r="V22" s="1432">
        <v>2.0699999999999998</v>
      </c>
      <c r="W22" s="1433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5">
        <f t="shared" si="4"/>
        <v>9.5999999999999992E-3</v>
      </c>
      <c r="L23" s="141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8">
        <v>2013</v>
      </c>
      <c r="S23" s="1429">
        <v>1</v>
      </c>
      <c r="T23" s="1429">
        <v>1.67</v>
      </c>
      <c r="U23" s="1429">
        <v>1.31</v>
      </c>
      <c r="V23" s="1429">
        <v>1.85</v>
      </c>
      <c r="W23" s="1430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5">
        <f t="shared" si="4"/>
        <v>9.0000000000000011E-3</v>
      </c>
      <c r="L24" s="141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4">
        <v>2012</v>
      </c>
      <c r="S24" s="1435">
        <v>4</v>
      </c>
      <c r="T24" s="1435">
        <v>0.91</v>
      </c>
      <c r="U24" s="1435">
        <v>0.68</v>
      </c>
      <c r="V24" s="1435">
        <v>0.98</v>
      </c>
      <c r="W24" s="1436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5">
        <f t="shared" si="4"/>
        <v>5.7999999999999996E-3</v>
      </c>
      <c r="L25" s="141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7">
        <v>2012</v>
      </c>
      <c r="S25" s="1438">
        <v>3</v>
      </c>
      <c r="T25" s="1438">
        <v>0.09</v>
      </c>
      <c r="U25" s="1438">
        <v>0.28999999999999998</v>
      </c>
      <c r="V25" s="1438">
        <v>-0.01</v>
      </c>
      <c r="W25" s="1439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5">
        <f t="shared" si="4"/>
        <v>1.24E-2</v>
      </c>
      <c r="L26" s="141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1">
        <v>2012</v>
      </c>
      <c r="S26" s="1432">
        <v>2</v>
      </c>
      <c r="T26" s="1432">
        <v>0.02</v>
      </c>
      <c r="U26" s="1432">
        <v>0.12</v>
      </c>
      <c r="V26" s="1432">
        <v>-0.08</v>
      </c>
      <c r="W26" s="1433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5">
        <f t="shared" si="4"/>
        <v>4.5999999999999999E-3</v>
      </c>
      <c r="L27" s="141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8">
        <v>2012</v>
      </c>
      <c r="S27" s="1429">
        <v>1</v>
      </c>
      <c r="T27" s="1429">
        <v>0.02</v>
      </c>
      <c r="U27" s="1429">
        <v>0.13</v>
      </c>
      <c r="V27" s="1429">
        <v>-0.04</v>
      </c>
      <c r="W27" s="1430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5">
        <f t="shared" si="4"/>
        <v>4.5999999999999999E-3</v>
      </c>
      <c r="L28" s="141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4">
        <v>2011</v>
      </c>
      <c r="S28" s="1435">
        <v>4</v>
      </c>
      <c r="T28" s="1435">
        <v>-0.2</v>
      </c>
      <c r="U28" s="1435">
        <v>0.04</v>
      </c>
      <c r="V28" s="1435">
        <v>-0.34</v>
      </c>
      <c r="W28" s="1436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5">
        <f t="shared" si="4"/>
        <v>5.3E-3</v>
      </c>
      <c r="L29" s="141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7">
        <v>2011</v>
      </c>
      <c r="S29" s="1438">
        <v>3</v>
      </c>
      <c r="T29" s="1438">
        <v>0.13</v>
      </c>
      <c r="U29" s="1438">
        <v>0.75</v>
      </c>
      <c r="V29" s="1438">
        <v>-0.08</v>
      </c>
      <c r="W29" s="1439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5">
        <f t="shared" si="4"/>
        <v>-2E-3</v>
      </c>
      <c r="L30" s="141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1">
        <v>2011</v>
      </c>
      <c r="S30" s="1432">
        <v>2</v>
      </c>
      <c r="T30" s="1432">
        <v>-0.4</v>
      </c>
      <c r="U30" s="1432">
        <v>0.17</v>
      </c>
      <c r="V30" s="1432">
        <v>-0.57999999999999996</v>
      </c>
      <c r="W30" s="1433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5">
        <f t="shared" si="4"/>
        <v>7.9500000000000001E-2</v>
      </c>
      <c r="L31" s="141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8">
        <v>2011</v>
      </c>
      <c r="S31" s="1429">
        <v>1</v>
      </c>
      <c r="T31" s="1429">
        <v>2.65</v>
      </c>
      <c r="U31" s="1429">
        <v>3.76</v>
      </c>
      <c r="V31" s="1429">
        <v>1.89</v>
      </c>
      <c r="W31" s="1430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5">
        <f t="shared" si="4"/>
        <v>2.7200000000000002E-2</v>
      </c>
      <c r="L32" s="141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4">
        <v>2010</v>
      </c>
      <c r="S32" s="1435">
        <v>4</v>
      </c>
      <c r="T32" s="1435">
        <v>5.72</v>
      </c>
      <c r="U32" s="1435">
        <v>6.57</v>
      </c>
      <c r="V32" s="1435">
        <v>5.72</v>
      </c>
      <c r="W32" s="1436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5">
        <f t="shared" si="4"/>
        <v>4.2099999999999999E-2</v>
      </c>
      <c r="L33" s="141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7">
        <v>2010</v>
      </c>
      <c r="S33" s="1438">
        <v>3</v>
      </c>
      <c r="T33" s="1438">
        <v>4.7300000000000004</v>
      </c>
      <c r="U33" s="1438">
        <v>3.9</v>
      </c>
      <c r="V33" s="1438">
        <v>5.03</v>
      </c>
      <c r="W33" s="1439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5">
        <f t="shared" si="4"/>
        <v>4.2300000000000004E-2</v>
      </c>
      <c r="L34" s="141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1">
        <v>2010</v>
      </c>
      <c r="S34" s="1432">
        <v>2</v>
      </c>
      <c r="T34" s="1432">
        <v>4.6900000000000004</v>
      </c>
      <c r="U34" s="1432">
        <v>3.55</v>
      </c>
      <c r="V34" s="1432">
        <v>5.07</v>
      </c>
      <c r="W34" s="1433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5">
        <f t="shared" si="4"/>
        <v>4.5100000000000001E-2</v>
      </c>
      <c r="L35" s="141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8">
        <v>2010</v>
      </c>
      <c r="S35" s="1429">
        <v>1</v>
      </c>
      <c r="T35" s="1429">
        <v>5.4</v>
      </c>
      <c r="U35" s="1429">
        <v>3.2</v>
      </c>
      <c r="V35" s="1429">
        <v>6.16</v>
      </c>
      <c r="W35" s="1430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5">
        <f t="shared" si="4"/>
        <v>6.7000000000000002E-3</v>
      </c>
      <c r="L36" s="141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4">
        <v>2009</v>
      </c>
      <c r="S36" s="1435">
        <v>4</v>
      </c>
      <c r="T36" s="1435">
        <v>2.2999999999999998</v>
      </c>
      <c r="U36" s="1435">
        <v>1.04</v>
      </c>
      <c r="V36" s="1435">
        <v>2.84</v>
      </c>
      <c r="W36" s="1436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5">
        <f t="shared" si="4"/>
        <v>8.5000000000000006E-3</v>
      </c>
      <c r="L37" s="141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7">
        <v>2009</v>
      </c>
      <c r="S37" s="1438">
        <v>3</v>
      </c>
      <c r="T37" s="1438">
        <v>2.1</v>
      </c>
      <c r="U37" s="1438">
        <v>1.86</v>
      </c>
      <c r="V37" s="1438">
        <v>2.29</v>
      </c>
      <c r="W37" s="1439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5">
        <f t="shared" si="4"/>
        <v>-2.07E-2</v>
      </c>
      <c r="L38" s="141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1">
        <v>2009</v>
      </c>
      <c r="S38" s="1432">
        <v>2</v>
      </c>
      <c r="T38" s="1432">
        <v>0.86</v>
      </c>
      <c r="U38" s="1432">
        <v>-1.1299999999999999</v>
      </c>
      <c r="V38" s="1432">
        <v>1.79</v>
      </c>
      <c r="W38" s="1433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5">
        <f t="shared" si="4"/>
        <v>1.52E-2</v>
      </c>
      <c r="L39" s="141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8">
        <v>2009</v>
      </c>
      <c r="S39" s="1429">
        <v>1</v>
      </c>
      <c r="T39" s="1429">
        <v>-2.64</v>
      </c>
      <c r="U39" s="1429">
        <v>-2.5299999999999998</v>
      </c>
      <c r="V39" s="1429">
        <v>-3.02</v>
      </c>
      <c r="W39" s="1430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5">
        <f t="shared" si="4"/>
        <v>-1.66E-2</v>
      </c>
      <c r="L40" s="141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4">
        <v>2008</v>
      </c>
      <c r="S40" s="1435">
        <v>4</v>
      </c>
      <c r="T40" s="1435">
        <v>1.73</v>
      </c>
      <c r="U40" s="1435">
        <v>0.03</v>
      </c>
      <c r="V40" s="1435">
        <v>2.59</v>
      </c>
      <c r="W40" s="1436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5">
        <f t="shared" si="4"/>
        <v>2.2200000000000001E-2</v>
      </c>
      <c r="L41" s="141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7">
        <v>2008</v>
      </c>
      <c r="S41" s="1438">
        <v>3</v>
      </c>
      <c r="T41" s="1438">
        <v>1.96</v>
      </c>
      <c r="U41" s="1438">
        <v>2.36</v>
      </c>
      <c r="V41" s="1438">
        <v>1.82</v>
      </c>
      <c r="W41" s="1439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5">
        <f t="shared" si="4"/>
        <v>6.8600000000000008E-2</v>
      </c>
      <c r="L42" s="141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1">
        <v>2008</v>
      </c>
      <c r="S42" s="1432">
        <v>2</v>
      </c>
      <c r="T42" s="1432">
        <v>4.93</v>
      </c>
      <c r="U42" s="1432">
        <v>7.38</v>
      </c>
      <c r="V42" s="1432">
        <v>3.98</v>
      </c>
      <c r="W42" s="1433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5">
        <f t="shared" si="4"/>
        <v>4.82E-2</v>
      </c>
      <c r="L43" s="141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8">
        <v>2008</v>
      </c>
      <c r="S43" s="1429">
        <v>1</v>
      </c>
      <c r="T43" s="1429">
        <v>4.1399999999999997</v>
      </c>
      <c r="U43" s="1429">
        <v>3.45</v>
      </c>
      <c r="V43" s="1429">
        <v>4.95</v>
      </c>
      <c r="W43" s="1430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5">
        <f t="shared" si="4"/>
        <v>5.3600000000000002E-2</v>
      </c>
      <c r="L44" s="141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4">
        <v>2007</v>
      </c>
      <c r="S44" s="1435">
        <v>4</v>
      </c>
      <c r="T44" s="1435">
        <v>5.51</v>
      </c>
      <c r="U44" s="1435">
        <v>4.8899999999999997</v>
      </c>
      <c r="V44" s="1435">
        <v>6.43</v>
      </c>
      <c r="W44" s="1436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5">
        <f t="shared" si="4"/>
        <v>5.7999999999999996E-2</v>
      </c>
      <c r="L45" s="141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7">
        <v>2007</v>
      </c>
      <c r="S45" s="1438">
        <v>3</v>
      </c>
      <c r="T45" s="1438">
        <v>8.65</v>
      </c>
      <c r="U45" s="1438">
        <v>8.06</v>
      </c>
      <c r="V45" s="1438">
        <v>9.94</v>
      </c>
      <c r="W45" s="1439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5">
        <f t="shared" si="4"/>
        <v>6.7099999999999993E-2</v>
      </c>
      <c r="L46" s="141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1">
        <v>2007</v>
      </c>
      <c r="S46" s="1432">
        <v>2</v>
      </c>
      <c r="T46" s="1432">
        <v>3.67</v>
      </c>
      <c r="U46" s="1432">
        <v>2.3199999999999998</v>
      </c>
      <c r="V46" s="1432">
        <v>5.0199999999999996</v>
      </c>
      <c r="W46" s="1433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5">
        <f t="shared" si="4"/>
        <v>3.2099999999999997E-2</v>
      </c>
      <c r="L47" s="141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8">
        <v>2007</v>
      </c>
      <c r="S47" s="1429">
        <v>1</v>
      </c>
      <c r="T47" s="1429">
        <v>3.58</v>
      </c>
      <c r="U47" s="1429">
        <v>3.08</v>
      </c>
      <c r="V47" s="1429">
        <v>4.34</v>
      </c>
      <c r="W47" s="1430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5">
        <f t="shared" si="4"/>
        <v>5.4100000000000002E-2</v>
      </c>
      <c r="L48" s="141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4">
        <v>2006</v>
      </c>
      <c r="S48" s="1435">
        <v>4</v>
      </c>
      <c r="T48" s="1435">
        <v>3.79</v>
      </c>
      <c r="U48" s="1435">
        <v>2.21</v>
      </c>
      <c r="V48" s="1435">
        <v>5.65</v>
      </c>
      <c r="W48" s="1436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5">
        <f t="shared" si="4"/>
        <v>1.0800000000000001E-2</v>
      </c>
      <c r="L49" s="141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7">
        <v>2006</v>
      </c>
      <c r="S49" s="1438">
        <v>3</v>
      </c>
      <c r="T49" s="1438">
        <v>0.92</v>
      </c>
      <c r="U49" s="1438">
        <v>1.08</v>
      </c>
      <c r="V49" s="1438">
        <v>0.73</v>
      </c>
      <c r="W49" s="1439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5">
        <f t="shared" si="4"/>
        <v>9.4999999999999998E-3</v>
      </c>
      <c r="L50" s="141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1">
        <v>2006</v>
      </c>
      <c r="S50" s="1432">
        <v>2</v>
      </c>
      <c r="T50" s="1432">
        <v>0.96</v>
      </c>
      <c r="U50" s="1432">
        <v>0.25</v>
      </c>
      <c r="V50" s="1432">
        <v>1.9</v>
      </c>
      <c r="W50" s="1433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5">
        <f t="shared" si="4"/>
        <v>4.0000000000000002E-4</v>
      </c>
      <c r="L51" s="141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8">
        <v>2006</v>
      </c>
      <c r="S51" s="1429">
        <v>1</v>
      </c>
      <c r="T51" s="1429">
        <v>2.29</v>
      </c>
      <c r="U51" s="1429">
        <v>3.72</v>
      </c>
      <c r="V51" s="1429">
        <v>0.75</v>
      </c>
      <c r="W51" s="1430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5">
        <f t="shared" si="4"/>
        <v>7.7800000000000008E-2</v>
      </c>
      <c r="L52" s="141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4">
        <v>2005</v>
      </c>
      <c r="S52" s="1435">
        <v>4</v>
      </c>
      <c r="T52" s="1435">
        <v>3.29</v>
      </c>
      <c r="U52" s="1435">
        <v>1.44</v>
      </c>
      <c r="V52" s="1435">
        <v>0.66</v>
      </c>
      <c r="W52" s="1436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5">
        <f t="shared" si="4"/>
        <v>6.4000000000000003E-3</v>
      </c>
      <c r="L53" s="141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7">
        <v>2005</v>
      </c>
      <c r="S53" s="1438">
        <v>3</v>
      </c>
      <c r="T53" s="1438">
        <v>0.46</v>
      </c>
      <c r="U53" s="1438">
        <v>0.32</v>
      </c>
      <c r="V53" s="1438">
        <v>0.42</v>
      </c>
      <c r="W53" s="1439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5">
        <f t="shared" si="4"/>
        <v>7.9000000000000008E-3</v>
      </c>
      <c r="L54" s="141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1">
        <v>2005</v>
      </c>
      <c r="S54" s="1432">
        <v>2</v>
      </c>
      <c r="T54" s="1432">
        <v>0.47</v>
      </c>
      <c r="U54" s="1432">
        <v>0.1</v>
      </c>
      <c r="V54" s="1432">
        <v>0.52</v>
      </c>
      <c r="W54" s="1433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5">
        <f t="shared" si="4"/>
        <v>5.5000000000000005E-3</v>
      </c>
      <c r="L55" s="141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8">
        <v>2005</v>
      </c>
      <c r="S55" s="1429">
        <v>1</v>
      </c>
      <c r="T55" s="1429">
        <v>0.43</v>
      </c>
      <c r="U55" s="1429">
        <v>0.37</v>
      </c>
      <c r="V55" s="1429">
        <v>0.37</v>
      </c>
      <c r="W55" s="1430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5">
        <f t="shared" si="4"/>
        <v>0</v>
      </c>
      <c r="L56" s="141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4">
        <v>2004</v>
      </c>
      <c r="S56" s="1435">
        <v>4</v>
      </c>
      <c r="T56" s="1435">
        <v>0.33</v>
      </c>
      <c r="U56" s="1435">
        <v>0.5</v>
      </c>
      <c r="V56" s="1435">
        <v>0.5</v>
      </c>
      <c r="W56" s="1436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5">
        <f t="shared" si="4"/>
        <v>5.9999999999999995E-4</v>
      </c>
      <c r="L57" s="141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7">
        <v>2004</v>
      </c>
      <c r="S57" s="1438">
        <v>3</v>
      </c>
      <c r="T57" s="1438">
        <v>0.56000000000000005</v>
      </c>
      <c r="U57" s="1438">
        <v>0.8</v>
      </c>
      <c r="V57" s="1438">
        <v>0.83</v>
      </c>
      <c r="W57" s="1439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5">
        <f t="shared" si="4"/>
        <v>0</v>
      </c>
      <c r="L58" s="141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1">
        <v>2004</v>
      </c>
      <c r="S58" s="1432">
        <v>2</v>
      </c>
      <c r="T58" s="1432">
        <v>1</v>
      </c>
      <c r="U58" s="1432">
        <v>1.5</v>
      </c>
      <c r="V58" s="1432">
        <v>1.5</v>
      </c>
      <c r="W58" s="1433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5">
        <f t="shared" si="4"/>
        <v>0</v>
      </c>
      <c r="L59" s="141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3">
        <v>2004</v>
      </c>
      <c r="S59" s="1454">
        <v>1</v>
      </c>
      <c r="T59" s="1454">
        <v>0.33</v>
      </c>
      <c r="U59" s="1454">
        <v>0.5</v>
      </c>
      <c r="V59" s="1454">
        <v>0.5</v>
      </c>
      <c r="W59" s="1455">
        <v>0</v>
      </c>
      <c r="X59" s="1425">
        <v>2004</v>
      </c>
      <c r="Y59" s="1426">
        <v>121</v>
      </c>
      <c r="Z59" s="1426">
        <v>122</v>
      </c>
      <c r="AA59" s="1426">
        <v>124</v>
      </c>
      <c r="AB59" s="1427">
        <v>107</v>
      </c>
    </row>
    <row r="60" spans="1:28" ht="15" thickBot="1">
      <c r="A60" s="665" t="s">
        <v>1625</v>
      </c>
      <c r="B60" s="1456">
        <f t="shared" ref="B60:C67" si="6">T60</f>
        <v>1.14E-2</v>
      </c>
      <c r="C60" s="1456">
        <f t="shared" si="6"/>
        <v>1.5599999999999999E-2</v>
      </c>
      <c r="D60" s="492">
        <f t="shared" si="2"/>
        <v>1.5599999999999999E-2</v>
      </c>
      <c r="E60" s="1456">
        <f t="shared" ref="E60:F67" si="7">V60</f>
        <v>7.0000000000000001E-3</v>
      </c>
      <c r="F60" s="1457">
        <f t="shared" si="7"/>
        <v>4.7999999999999996E-3</v>
      </c>
      <c r="L60" s="141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5">
        <v>2003</v>
      </c>
      <c r="S60" s="1435">
        <v>4</v>
      </c>
      <c r="T60" s="1458">
        <f>ROUND(Y60/Y61-1,4)</f>
        <v>1.14E-2</v>
      </c>
      <c r="U60" s="1458">
        <f t="shared" ref="U60:W60" si="8">ROUND(Z60/Z61-1,4)</f>
        <v>1.5599999999999999E-2</v>
      </c>
      <c r="V60" s="1458">
        <f t="shared" si="8"/>
        <v>7.0000000000000001E-3</v>
      </c>
      <c r="W60" s="1458">
        <f t="shared" si="8"/>
        <v>4.7999999999999996E-3</v>
      </c>
      <c r="X60" s="1428">
        <v>2003</v>
      </c>
      <c r="Y60" s="1429">
        <v>111</v>
      </c>
      <c r="Z60" s="1429">
        <v>114</v>
      </c>
      <c r="AA60" s="1429">
        <v>108</v>
      </c>
      <c r="AB60" s="1430">
        <v>104</v>
      </c>
    </row>
    <row r="61" spans="1:28" ht="14.25">
      <c r="A61" s="665" t="s">
        <v>1626</v>
      </c>
      <c r="B61" s="1456">
        <f t="shared" si="6"/>
        <v>1.15E-2</v>
      </c>
      <c r="C61" s="1456">
        <f t="shared" si="6"/>
        <v>1.5800000000000002E-2</v>
      </c>
      <c r="D61" s="492">
        <f t="shared" si="2"/>
        <v>1.5800000000000002E-2</v>
      </c>
      <c r="E61" s="1456">
        <f t="shared" si="7"/>
        <v>7.0000000000000001E-3</v>
      </c>
      <c r="F61" s="1457">
        <f t="shared" si="7"/>
        <v>4.8999999999999998E-3</v>
      </c>
      <c r="L61" s="141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8">
        <v>3</v>
      </c>
      <c r="T61" s="1458">
        <f t="shared" ref="T61:T66" si="9">ROUND(Y61/Y62-1,4)</f>
        <v>1.15E-2</v>
      </c>
      <c r="U61" s="1458">
        <f t="shared" ref="U61:U66" si="10">ROUND(Z61/Z62-1,4)</f>
        <v>1.5800000000000002E-2</v>
      </c>
      <c r="V61" s="1458">
        <f t="shared" ref="V61:V66" si="11">ROUND(AA61/AA62-1,4)</f>
        <v>7.0000000000000001E-3</v>
      </c>
      <c r="W61" s="145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6">
        <f t="shared" si="6"/>
        <v>1.17E-2</v>
      </c>
      <c r="C62" s="1456">
        <f t="shared" si="6"/>
        <v>1.61E-2</v>
      </c>
      <c r="D62" s="492">
        <f t="shared" si="2"/>
        <v>1.61E-2</v>
      </c>
      <c r="E62" s="1456">
        <f t="shared" si="7"/>
        <v>7.1000000000000004E-3</v>
      </c>
      <c r="F62" s="1457">
        <f t="shared" si="7"/>
        <v>4.8999999999999998E-3</v>
      </c>
      <c r="L62" s="141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2">
        <v>2</v>
      </c>
      <c r="T62" s="1458">
        <f t="shared" si="9"/>
        <v>1.17E-2</v>
      </c>
      <c r="U62" s="1458">
        <f t="shared" si="10"/>
        <v>1.61E-2</v>
      </c>
      <c r="V62" s="1458">
        <f t="shared" si="11"/>
        <v>7.1000000000000004E-3</v>
      </c>
      <c r="W62" s="145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6">
        <f t="shared" si="6"/>
        <v>1.18E-2</v>
      </c>
      <c r="C63" s="1456">
        <f t="shared" si="6"/>
        <v>1.6400000000000001E-2</v>
      </c>
      <c r="D63" s="492">
        <f t="shared" si="2"/>
        <v>1.6400000000000001E-2</v>
      </c>
      <c r="E63" s="1456">
        <f t="shared" si="7"/>
        <v>7.1000000000000004E-3</v>
      </c>
      <c r="F63" s="1457">
        <f t="shared" si="7"/>
        <v>4.8999999999999998E-3</v>
      </c>
      <c r="L63" s="141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4">
        <v>1</v>
      </c>
      <c r="T63" s="1458">
        <f t="shared" si="9"/>
        <v>1.18E-2</v>
      </c>
      <c r="U63" s="1458">
        <f t="shared" si="10"/>
        <v>1.6400000000000001E-2</v>
      </c>
      <c r="V63" s="1458">
        <f t="shared" si="11"/>
        <v>7.1000000000000004E-3</v>
      </c>
      <c r="W63" s="145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6">
        <f t="shared" si="6"/>
        <v>9.4999999999999998E-3</v>
      </c>
      <c r="C64" s="1456">
        <f t="shared" si="6"/>
        <v>9.4000000000000004E-3</v>
      </c>
      <c r="D64" s="492">
        <f t="shared" si="2"/>
        <v>9.4000000000000004E-3</v>
      </c>
      <c r="E64" s="1456">
        <f t="shared" si="7"/>
        <v>4.7999999999999996E-3</v>
      </c>
      <c r="F64" s="1457">
        <f t="shared" si="7"/>
        <v>4.8999999999999998E-3</v>
      </c>
      <c r="L64" s="141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8">
        <v>2002</v>
      </c>
      <c r="S64" s="1435">
        <v>4</v>
      </c>
      <c r="T64" s="1458">
        <f t="shared" si="9"/>
        <v>9.4999999999999998E-3</v>
      </c>
      <c r="U64" s="1458">
        <f t="shared" si="10"/>
        <v>9.4000000000000004E-3</v>
      </c>
      <c r="V64" s="1458">
        <f t="shared" si="11"/>
        <v>4.7999999999999996E-3</v>
      </c>
      <c r="W64" s="1458">
        <f t="shared" si="12"/>
        <v>4.8999999999999998E-3</v>
      </c>
      <c r="X64" s="1431">
        <v>2002</v>
      </c>
      <c r="Y64" s="1432">
        <v>106</v>
      </c>
      <c r="Z64" s="1432">
        <v>107</v>
      </c>
      <c r="AA64" s="1432">
        <v>105</v>
      </c>
      <c r="AB64" s="1433">
        <v>102</v>
      </c>
    </row>
    <row r="65" spans="1:28" ht="14.25">
      <c r="A65" s="665" t="s">
        <v>1630</v>
      </c>
      <c r="B65" s="1456">
        <f t="shared" si="6"/>
        <v>9.5999999999999992E-3</v>
      </c>
      <c r="C65" s="1456">
        <f t="shared" si="6"/>
        <v>9.4999999999999998E-3</v>
      </c>
      <c r="D65" s="492">
        <f t="shared" si="2"/>
        <v>9.4999999999999998E-3</v>
      </c>
      <c r="E65" s="1456">
        <f t="shared" si="7"/>
        <v>4.7999999999999996E-3</v>
      </c>
      <c r="F65" s="1457">
        <f t="shared" si="7"/>
        <v>5.0000000000000001E-3</v>
      </c>
      <c r="L65" s="141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8">
        <v>3</v>
      </c>
      <c r="T65" s="1458">
        <f t="shared" si="9"/>
        <v>9.5999999999999992E-3</v>
      </c>
      <c r="U65" s="1458">
        <f t="shared" si="10"/>
        <v>9.4999999999999998E-3</v>
      </c>
      <c r="V65" s="1458">
        <f t="shared" si="11"/>
        <v>4.7999999999999996E-3</v>
      </c>
      <c r="W65" s="145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6">
        <f t="shared" si="6"/>
        <v>9.7000000000000003E-3</v>
      </c>
      <c r="C66" s="1456">
        <f t="shared" si="6"/>
        <v>9.5999999999999992E-3</v>
      </c>
      <c r="D66" s="492">
        <f t="shared" si="2"/>
        <v>9.5999999999999992E-3</v>
      </c>
      <c r="E66" s="1456">
        <f t="shared" si="7"/>
        <v>4.7999999999999996E-3</v>
      </c>
      <c r="F66" s="1457">
        <f t="shared" si="7"/>
        <v>5.0000000000000001E-3</v>
      </c>
      <c r="L66" s="141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2">
        <v>2</v>
      </c>
      <c r="T66" s="1458">
        <f t="shared" si="9"/>
        <v>9.7000000000000003E-3</v>
      </c>
      <c r="U66" s="1458">
        <f t="shared" si="10"/>
        <v>9.5999999999999992E-3</v>
      </c>
      <c r="V66" s="1458">
        <f t="shared" si="11"/>
        <v>4.7999999999999996E-3</v>
      </c>
      <c r="W66" s="145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6">
        <f t="shared" si="6"/>
        <v>9.7999999999999997E-3</v>
      </c>
      <c r="C67" s="1456">
        <f t="shared" si="6"/>
        <v>9.7000000000000003E-3</v>
      </c>
      <c r="D67" s="492">
        <f t="shared" si="2"/>
        <v>9.7000000000000003E-3</v>
      </c>
      <c r="E67" s="1456">
        <f t="shared" si="7"/>
        <v>4.8999999999999998E-3</v>
      </c>
      <c r="F67" s="1457">
        <f t="shared" si="7"/>
        <v>5.0000000000000001E-3</v>
      </c>
      <c r="L67" s="1418">
        <v>0</v>
      </c>
      <c r="M67" s="26">
        <v>0</v>
      </c>
      <c r="N67" s="26">
        <v>0</v>
      </c>
      <c r="O67" s="26">
        <v>0</v>
      </c>
      <c r="P67" s="26">
        <v>0</v>
      </c>
      <c r="S67" s="1454">
        <v>1</v>
      </c>
      <c r="T67" s="1458">
        <f>ROUND(Y67/Y68-1,4)</f>
        <v>9.7999999999999997E-3</v>
      </c>
      <c r="U67" s="1458">
        <f>ROUND(Z67/Z68-1,4)</f>
        <v>9.7000000000000003E-3</v>
      </c>
      <c r="V67" s="1458">
        <f>ROUND(AA67/AA68-1,4)</f>
        <v>4.8999999999999998E-3</v>
      </c>
      <c r="W67" s="145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8">
        <v>2001</v>
      </c>
      <c r="Y68" s="1429">
        <v>102</v>
      </c>
      <c r="Z68" s="1429">
        <v>103</v>
      </c>
      <c r="AA68" s="1429">
        <v>103</v>
      </c>
      <c r="AB68" s="1430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R10" sqref="R10"/>
    </sheetView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8.75"/>
  <cols>
    <col min="1" max="1" width="9.5" style="443" customWidth="1"/>
    <col min="2" max="2" width="30" style="1286" customWidth="1"/>
    <col min="3" max="3" width="45.5" style="1285" customWidth="1"/>
    <col min="4" max="4" width="2.625" style="1285" customWidth="1"/>
    <col min="5" max="5" width="5.875" style="1285" customWidth="1"/>
    <col min="6" max="6" width="30.25" style="1286" customWidth="1"/>
    <col min="7" max="7" width="41.875" style="1287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4"/>
      <c r="E1" s="496"/>
      <c r="F1" s="496"/>
      <c r="G1" s="496"/>
    </row>
    <row r="2" spans="1:18" ht="19.5" thickBot="1">
      <c r="A2" s="1255"/>
      <c r="B2" s="1256"/>
      <c r="C2" s="1257" t="s">
        <v>205</v>
      </c>
      <c r="D2" s="1258"/>
      <c r="E2" s="1259"/>
      <c r="F2" s="1259"/>
      <c r="G2" s="1260" t="s">
        <v>206</v>
      </c>
    </row>
    <row r="3" spans="1:18" ht="75">
      <c r="A3" s="1261" t="s">
        <v>207</v>
      </c>
      <c r="B3" s="1262" t="s">
        <v>4</v>
      </c>
      <c r="C3" s="1263" t="s">
        <v>216</v>
      </c>
      <c r="D3" s="1258"/>
      <c r="E3" s="1264" t="s">
        <v>208</v>
      </c>
      <c r="F3" s="1262" t="s">
        <v>209</v>
      </c>
      <c r="G3" s="1265" t="s">
        <v>1734</v>
      </c>
    </row>
    <row r="4" spans="1:18" ht="56.25">
      <c r="A4" s="1266"/>
      <c r="B4" s="1267" t="s">
        <v>210</v>
      </c>
      <c r="C4" s="1268" t="s">
        <v>217</v>
      </c>
      <c r="D4" s="1258"/>
      <c r="E4" s="1269"/>
      <c r="F4" s="1270" t="s">
        <v>211</v>
      </c>
      <c r="G4" s="1271" t="s">
        <v>218</v>
      </c>
    </row>
    <row r="5" spans="1:18" ht="37.5">
      <c r="A5" s="1266"/>
      <c r="B5" s="1267" t="s">
        <v>212</v>
      </c>
      <c r="C5" s="1268" t="s">
        <v>219</v>
      </c>
      <c r="D5" s="1272"/>
      <c r="E5" s="1269"/>
      <c r="F5" s="1270" t="s">
        <v>213</v>
      </c>
      <c r="G5" s="1273" t="s">
        <v>952</v>
      </c>
    </row>
    <row r="6" spans="1:18" ht="56.25">
      <c r="A6" s="1266"/>
      <c r="B6" s="1270" t="s">
        <v>7</v>
      </c>
      <c r="C6" s="1271" t="s">
        <v>200</v>
      </c>
      <c r="D6" s="1272"/>
      <c r="E6" s="1269"/>
      <c r="F6" s="1270" t="s">
        <v>201</v>
      </c>
      <c r="G6" s="1274" t="s">
        <v>202</v>
      </c>
    </row>
    <row r="7" spans="1:18" ht="37.5">
      <c r="A7" s="1266"/>
      <c r="B7" s="1270" t="s">
        <v>11</v>
      </c>
      <c r="C7" s="1273" t="s">
        <v>952</v>
      </c>
      <c r="D7" s="1258"/>
      <c r="E7" s="1269"/>
      <c r="F7" s="1275" t="s">
        <v>1189</v>
      </c>
      <c r="G7" s="1276" t="s">
        <v>1191</v>
      </c>
    </row>
    <row r="8" spans="1:18" ht="37.5">
      <c r="A8" s="1266"/>
      <c r="B8" s="1270" t="s">
        <v>10</v>
      </c>
      <c r="C8" s="1268" t="s">
        <v>203</v>
      </c>
      <c r="D8" s="1272"/>
      <c r="E8" s="1269"/>
      <c r="F8" s="1275" t="s">
        <v>1190</v>
      </c>
      <c r="G8" s="1271" t="s">
        <v>1192</v>
      </c>
    </row>
    <row r="9" spans="1:18" ht="37.5">
      <c r="A9" s="1266"/>
      <c r="B9" s="1275" t="s">
        <v>1189</v>
      </c>
      <c r="C9" s="1271" t="s">
        <v>1191</v>
      </c>
      <c r="D9" s="1258"/>
      <c r="E9" s="1269"/>
      <c r="F9" s="1270" t="s">
        <v>9</v>
      </c>
      <c r="G9" s="1277"/>
    </row>
    <row r="10" spans="1:18">
      <c r="A10" s="1266"/>
      <c r="B10" s="1275" t="s">
        <v>1190</v>
      </c>
      <c r="C10" s="1271" t="s">
        <v>1192</v>
      </c>
      <c r="D10" s="1258"/>
      <c r="E10" s="1269"/>
      <c r="F10" s="1270" t="s">
        <v>214</v>
      </c>
      <c r="G10" s="1273"/>
    </row>
    <row r="11" spans="1:18" s="442" customFormat="1" ht="19.5" thickBot="1">
      <c r="A11" s="1266"/>
      <c r="B11" s="1270" t="s">
        <v>9</v>
      </c>
      <c r="C11" s="1277"/>
      <c r="D11" s="444"/>
      <c r="E11" s="1278"/>
      <c r="F11" s="1279" t="s">
        <v>215</v>
      </c>
      <c r="G11" s="1280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1"/>
      <c r="B12" s="1279" t="s">
        <v>8</v>
      </c>
      <c r="C12" s="1282"/>
      <c r="D12" s="444"/>
      <c r="E12" s="1283"/>
      <c r="F12" s="1283"/>
      <c r="G12" s="1284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5" customWidth="1"/>
    <col min="2" max="9" width="15.75" style="1735" customWidth="1"/>
    <col min="10" max="16384" width="9" style="1735"/>
  </cols>
  <sheetData>
    <row r="1" spans="1:10" ht="16.5">
      <c r="A1" s="1731" t="s">
        <v>1702</v>
      </c>
      <c r="B1" s="1732">
        <f>SUM(B14:B23)</f>
        <v>52.09</v>
      </c>
      <c r="C1" s="1730"/>
      <c r="D1" s="1730"/>
      <c r="E1" s="1730"/>
      <c r="F1" s="1730"/>
      <c r="G1" s="1733"/>
      <c r="H1" s="1734"/>
      <c r="I1" s="1734"/>
    </row>
    <row r="2" spans="1:10" ht="16.5">
      <c r="A2" s="1731" t="s">
        <v>1703</v>
      </c>
      <c r="B2" s="1732">
        <f>SUM(C14:C23)</f>
        <v>0</v>
      </c>
      <c r="C2" s="1730"/>
      <c r="D2" s="1730"/>
      <c r="E2" s="1730"/>
      <c r="F2" s="1730"/>
      <c r="G2" s="1733"/>
      <c r="H2" s="1734"/>
      <c r="I2" s="1734"/>
    </row>
    <row r="3" spans="1:10" ht="16.5">
      <c r="A3" s="1732" t="s">
        <v>1704</v>
      </c>
      <c r="B3" s="1736">
        <f>主表!B3</f>
        <v>41232</v>
      </c>
      <c r="C3" s="1730"/>
      <c r="D3" s="1730"/>
      <c r="E3" s="1730"/>
      <c r="F3" s="1730"/>
      <c r="G3" s="1733"/>
      <c r="H3" s="1734"/>
      <c r="I3" s="1734"/>
    </row>
    <row r="4" spans="1:10" ht="33">
      <c r="A4" s="1732" t="s">
        <v>1705</v>
      </c>
      <c r="B4" s="1732" t="s">
        <v>1706</v>
      </c>
      <c r="C4" s="1732" t="s">
        <v>1707</v>
      </c>
      <c r="D4" s="1732" t="s">
        <v>1708</v>
      </c>
      <c r="E4" s="1730"/>
      <c r="F4" s="1733"/>
      <c r="G4" s="1733"/>
      <c r="H4" s="1734"/>
      <c r="I4" s="1734"/>
    </row>
    <row r="5" spans="1:10" ht="16.5">
      <c r="A5" s="1732" t="s">
        <v>1709</v>
      </c>
      <c r="B5" s="1732">
        <f>SUM(D14:D23)</f>
        <v>0</v>
      </c>
      <c r="C5" s="1732">
        <f>ROUND(B5*10000/$B$1,0)</f>
        <v>0</v>
      </c>
      <c r="D5" s="1732" t="e">
        <f>ROUND(B5*10000/$B$2,0)</f>
        <v>#DIV/0!</v>
      </c>
      <c r="E5" s="1730"/>
      <c r="F5" s="1733"/>
      <c r="G5" s="1733"/>
      <c r="H5" s="1734"/>
      <c r="I5" s="1734"/>
    </row>
    <row r="6" spans="1:10" ht="16.5">
      <c r="A6" s="1732" t="s">
        <v>1710</v>
      </c>
      <c r="B6" s="1732">
        <f>SUM(G14:G23)</f>
        <v>0</v>
      </c>
      <c r="C6" s="1732">
        <f>ROUND(B6*10000/$B$1,0)</f>
        <v>0</v>
      </c>
      <c r="D6" s="1732" t="e">
        <f>ROUND(B6*10000/$B$2,0)</f>
        <v>#DIV/0!</v>
      </c>
      <c r="E6" s="1730"/>
      <c r="F6" s="1733"/>
      <c r="G6" s="1733"/>
      <c r="H6" s="1734"/>
      <c r="I6" s="1734"/>
    </row>
    <row r="7" spans="1:10" ht="16.5">
      <c r="A7" s="1732" t="s">
        <v>1711</v>
      </c>
      <c r="B7" s="1732">
        <f>SUM(H14:H23)</f>
        <v>0</v>
      </c>
      <c r="C7" s="1732">
        <f>ROUND(B7*10000/$B$1,0)</f>
        <v>0</v>
      </c>
      <c r="D7" s="1732" t="e">
        <f>ROUND(B7*10000/$B$2,0)</f>
        <v>#DIV/0!</v>
      </c>
      <c r="E7" s="1730"/>
      <c r="F7" s="1733"/>
      <c r="G7" s="1733"/>
      <c r="H7" s="1734"/>
      <c r="I7" s="1734"/>
    </row>
    <row r="8" spans="1:10" ht="16.5">
      <c r="A8" s="1732" t="s">
        <v>1712</v>
      </c>
      <c r="B8" s="1732">
        <f>SUM(I14:I23)</f>
        <v>0</v>
      </c>
      <c r="C8" s="1732">
        <f>ROUND(B8*10000/$B$1,0)</f>
        <v>0</v>
      </c>
      <c r="D8" s="1732" t="e">
        <f>ROUND(B8*10000/$B$2,0)</f>
        <v>#DIV/0!</v>
      </c>
      <c r="E8" s="1730"/>
      <c r="F8" s="1733"/>
      <c r="G8" s="1733"/>
      <c r="H8" s="1734"/>
      <c r="I8" s="1734"/>
    </row>
    <row r="9" spans="1:10" ht="16.5">
      <c r="A9" s="1732" t="s">
        <v>1713</v>
      </c>
      <c r="B9" s="1584"/>
      <c r="C9" s="1730"/>
      <c r="D9" s="1730"/>
      <c r="E9" s="1730"/>
      <c r="F9" s="1733"/>
      <c r="G9" s="1733"/>
      <c r="H9" s="1734"/>
      <c r="I9" s="1734"/>
    </row>
    <row r="10" spans="1:10" ht="16.5">
      <c r="A10" s="1732" t="s">
        <v>1714</v>
      </c>
      <c r="B10" s="1584"/>
      <c r="C10" s="1730"/>
      <c r="D10" s="1730"/>
      <c r="E10" s="1730"/>
      <c r="F10" s="1733"/>
      <c r="G10" s="1733"/>
      <c r="H10" s="1734"/>
      <c r="I10" s="1734"/>
    </row>
    <row r="11" spans="1:10" ht="16.5">
      <c r="A11" s="1731" t="s">
        <v>1733</v>
      </c>
      <c r="B11" s="1731">
        <f ca="1">结果表!B19</f>
        <v>0</v>
      </c>
      <c r="C11" s="1731">
        <f ca="1">结果表!B18</f>
        <v>0</v>
      </c>
      <c r="D11" s="1730"/>
      <c r="E11" s="1730"/>
      <c r="F11" s="1733"/>
      <c r="G11" s="1733"/>
      <c r="H11" s="1734"/>
      <c r="I11" s="1734"/>
    </row>
    <row r="12" spans="1:10" ht="16.5">
      <c r="A12" s="1730"/>
      <c r="B12" s="1730"/>
      <c r="C12" s="1730"/>
      <c r="D12" s="1730"/>
      <c r="E12" s="1730"/>
      <c r="F12" s="1733"/>
      <c r="G12" s="1733"/>
      <c r="H12" s="1734"/>
      <c r="I12" s="1734"/>
    </row>
    <row r="13" spans="1:10" ht="33">
      <c r="A13" s="1737" t="s">
        <v>1715</v>
      </c>
      <c r="B13" s="1738" t="s">
        <v>1716</v>
      </c>
      <c r="C13" s="1738" t="s">
        <v>1717</v>
      </c>
      <c r="D13" s="1738" t="s">
        <v>1718</v>
      </c>
      <c r="E13" s="1732" t="s">
        <v>1707</v>
      </c>
      <c r="F13" s="1732" t="s">
        <v>1719</v>
      </c>
      <c r="G13" s="1738" t="s">
        <v>1720</v>
      </c>
      <c r="H13" s="1738" t="s">
        <v>1721</v>
      </c>
      <c r="I13" s="1738" t="s">
        <v>1722</v>
      </c>
      <c r="J13" s="1739"/>
    </row>
    <row r="14" spans="1:10" ht="16.5">
      <c r="A14" s="1740" t="s">
        <v>1723</v>
      </c>
      <c r="B14" s="1741">
        <f>主表!B7</f>
        <v>52.09</v>
      </c>
      <c r="C14" s="1741">
        <f>主表!B6</f>
        <v>0</v>
      </c>
      <c r="D14" s="1741"/>
      <c r="E14" s="1741">
        <f>ROUND(D14*10000/B14,0)</f>
        <v>0</v>
      </c>
      <c r="F14" s="1741" t="e">
        <f>ROUND(D14*10000/C14,0)</f>
        <v>#DIV/0!</v>
      </c>
      <c r="G14" s="1741"/>
      <c r="H14" s="1741"/>
      <c r="I14" s="1741"/>
      <c r="J14" s="1739"/>
    </row>
    <row r="15" spans="1:10" ht="16.5">
      <c r="A15" s="1740" t="s">
        <v>1724</v>
      </c>
      <c r="B15" s="1742"/>
      <c r="C15" s="1742"/>
      <c r="D15" s="1742"/>
      <c r="E15" s="1741" t="e">
        <f t="shared" ref="E15:E23" si="0">ROUND(D15*10000/B15,0)</f>
        <v>#DIV/0!</v>
      </c>
      <c r="F15" s="1741" t="e">
        <f t="shared" ref="F15:F23" si="1">ROUND(D15*10000/C15,0)</f>
        <v>#DIV/0!</v>
      </c>
      <c r="G15" s="1584"/>
      <c r="H15" s="1584"/>
      <c r="I15" s="1742"/>
      <c r="J15" s="1739"/>
    </row>
    <row r="16" spans="1:10" ht="16.5">
      <c r="A16" s="1740" t="s">
        <v>1725</v>
      </c>
      <c r="B16" s="1742"/>
      <c r="C16" s="1742"/>
      <c r="D16" s="1742"/>
      <c r="E16" s="1741" t="e">
        <f t="shared" si="0"/>
        <v>#DIV/0!</v>
      </c>
      <c r="F16" s="1741" t="e">
        <f t="shared" si="1"/>
        <v>#DIV/0!</v>
      </c>
      <c r="G16" s="1536"/>
      <c r="H16" s="1536"/>
      <c r="I16" s="1743"/>
    </row>
    <row r="17" spans="1:9" ht="16.5">
      <c r="A17" s="1740" t="s">
        <v>1726</v>
      </c>
      <c r="B17" s="1742"/>
      <c r="C17" s="1742"/>
      <c r="D17" s="1742"/>
      <c r="E17" s="1741" t="e">
        <f t="shared" si="0"/>
        <v>#DIV/0!</v>
      </c>
      <c r="F17" s="1741" t="e">
        <f t="shared" si="1"/>
        <v>#DIV/0!</v>
      </c>
      <c r="G17" s="1536"/>
      <c r="H17" s="1536"/>
      <c r="I17" s="1743"/>
    </row>
    <row r="18" spans="1:9" ht="16.5">
      <c r="A18" s="1740" t="s">
        <v>1727</v>
      </c>
      <c r="B18" s="1742"/>
      <c r="C18" s="1742"/>
      <c r="D18" s="1742"/>
      <c r="E18" s="1741" t="e">
        <f t="shared" si="0"/>
        <v>#DIV/0!</v>
      </c>
      <c r="F18" s="1741" t="e">
        <f t="shared" si="1"/>
        <v>#DIV/0!</v>
      </c>
      <c r="G18" s="1743"/>
      <c r="H18" s="1743"/>
      <c r="I18" s="1743"/>
    </row>
    <row r="19" spans="1:9" ht="16.5">
      <c r="A19" s="1740" t="s">
        <v>1728</v>
      </c>
      <c r="B19" s="1742"/>
      <c r="C19" s="1742"/>
      <c r="D19" s="1742"/>
      <c r="E19" s="1741" t="e">
        <f t="shared" si="0"/>
        <v>#DIV/0!</v>
      </c>
      <c r="F19" s="1741" t="e">
        <f t="shared" si="1"/>
        <v>#DIV/0!</v>
      </c>
      <c r="G19" s="1743"/>
      <c r="H19" s="1743"/>
      <c r="I19" s="1743"/>
    </row>
    <row r="20" spans="1:9" ht="16.5">
      <c r="A20" s="1740" t="s">
        <v>1729</v>
      </c>
      <c r="B20" s="1742"/>
      <c r="C20" s="1742"/>
      <c r="D20" s="1742"/>
      <c r="E20" s="1741" t="e">
        <f t="shared" si="0"/>
        <v>#DIV/0!</v>
      </c>
      <c r="F20" s="1741" t="e">
        <f t="shared" si="1"/>
        <v>#DIV/0!</v>
      </c>
      <c r="G20" s="1743"/>
      <c r="H20" s="1743"/>
      <c r="I20" s="1743"/>
    </row>
    <row r="21" spans="1:9" ht="16.5">
      <c r="A21" s="1740" t="s">
        <v>1730</v>
      </c>
      <c r="B21" s="1742"/>
      <c r="C21" s="1742"/>
      <c r="D21" s="1742"/>
      <c r="E21" s="1741" t="e">
        <f t="shared" si="0"/>
        <v>#DIV/0!</v>
      </c>
      <c r="F21" s="1741" t="e">
        <f t="shared" si="1"/>
        <v>#DIV/0!</v>
      </c>
      <c r="G21" s="1743"/>
      <c r="H21" s="1743"/>
      <c r="I21" s="1743"/>
    </row>
    <row r="22" spans="1:9" ht="16.5">
      <c r="A22" s="1740" t="s">
        <v>1731</v>
      </c>
      <c r="B22" s="1742"/>
      <c r="C22" s="1742"/>
      <c r="D22" s="1742"/>
      <c r="E22" s="1741" t="e">
        <f t="shared" si="0"/>
        <v>#DIV/0!</v>
      </c>
      <c r="F22" s="1741" t="e">
        <f t="shared" si="1"/>
        <v>#DIV/0!</v>
      </c>
      <c r="G22" s="1743"/>
      <c r="H22" s="1743"/>
      <c r="I22" s="1743"/>
    </row>
    <row r="23" spans="1:9" ht="16.5">
      <c r="A23" s="1740" t="s">
        <v>1732</v>
      </c>
      <c r="B23" s="1742"/>
      <c r="C23" s="1742"/>
      <c r="D23" s="1742"/>
      <c r="E23" s="1584" t="e">
        <f t="shared" si="0"/>
        <v>#DIV/0!</v>
      </c>
      <c r="F23" s="1584" t="e">
        <f t="shared" si="1"/>
        <v>#DIV/0!</v>
      </c>
      <c r="G23" s="1743"/>
      <c r="H23" s="1743"/>
      <c r="I23" s="1743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4"/>
      <c r="I1" s="1744"/>
      <c r="X1" s="221"/>
      <c r="AG1" s="189"/>
    </row>
    <row r="2" spans="1:33" ht="19.5" thickBot="1">
      <c r="A2" s="1768" t="s">
        <v>1353</v>
      </c>
      <c r="B2" s="1768"/>
      <c r="C2" s="1768"/>
      <c r="D2" s="1768"/>
      <c r="E2" s="1768"/>
      <c r="F2" s="1768"/>
      <c r="G2" s="1768"/>
      <c r="H2" s="1745"/>
      <c r="I2" s="1744"/>
      <c r="X2" s="221"/>
      <c r="AG2" s="189"/>
    </row>
    <row r="3" spans="1:33" ht="13.5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5"/>
      <c r="I3" s="1744"/>
      <c r="X3" s="221"/>
      <c r="AG3" s="189"/>
    </row>
    <row r="4" spans="1:33" ht="27">
      <c r="A4" s="1293" t="s">
        <v>1356</v>
      </c>
      <c r="B4" s="1294" t="s">
        <v>1357</v>
      </c>
      <c r="C4" s="1295" t="s">
        <v>1358</v>
      </c>
      <c r="D4" s="1774" t="s">
        <v>1356</v>
      </c>
      <c r="E4" s="1766"/>
      <c r="F4" s="1294" t="s">
        <v>1357</v>
      </c>
      <c r="G4" s="1296" t="s">
        <v>1359</v>
      </c>
      <c r="H4" s="1745"/>
      <c r="I4" s="1744"/>
      <c r="X4" s="221"/>
      <c r="AG4" s="189"/>
    </row>
    <row r="5" spans="1:33" ht="13.5">
      <c r="A5" s="1775" t="s">
        <v>1360</v>
      </c>
      <c r="B5" s="1760">
        <f>主表!F5</f>
        <v>9632</v>
      </c>
      <c r="C5" s="1776" t="s">
        <v>1361</v>
      </c>
      <c r="D5" s="1766" t="s">
        <v>1362</v>
      </c>
      <c r="E5" s="1767"/>
      <c r="F5" s="1297">
        <f>SUM(F6:F10)</f>
        <v>0</v>
      </c>
      <c r="G5" s="1298" t="s">
        <v>1635</v>
      </c>
      <c r="H5" s="1745"/>
      <c r="I5" s="1744"/>
      <c r="X5" s="221"/>
      <c r="AG5" s="189"/>
    </row>
    <row r="6" spans="1:33" ht="27">
      <c r="A6" s="1775"/>
      <c r="B6" s="1760"/>
      <c r="C6" s="1776"/>
      <c r="D6" s="1777" t="s">
        <v>1383</v>
      </c>
      <c r="E6" s="1297" t="s">
        <v>1363</v>
      </c>
      <c r="F6" s="1297">
        <f>主表!F14</f>
        <v>0</v>
      </c>
      <c r="G6" s="1298" t="s">
        <v>1364</v>
      </c>
      <c r="H6" s="1745"/>
      <c r="I6" s="1744"/>
      <c r="X6" s="221"/>
      <c r="AG6" s="189"/>
    </row>
    <row r="7" spans="1:33" ht="13.5">
      <c r="A7" s="1775"/>
      <c r="B7" s="1760"/>
      <c r="C7" s="1776"/>
      <c r="D7" s="1777"/>
      <c r="E7" s="1297" t="s">
        <v>1365</v>
      </c>
      <c r="F7" s="1297">
        <f>主表!F15</f>
        <v>0</v>
      </c>
      <c r="G7" s="1298"/>
      <c r="H7" s="1745"/>
      <c r="I7" s="1744"/>
      <c r="X7" s="221"/>
      <c r="AG7" s="189"/>
    </row>
    <row r="8" spans="1:33" ht="13.5">
      <c r="A8" s="1775"/>
      <c r="B8" s="1760"/>
      <c r="C8" s="1776"/>
      <c r="D8" s="1762" t="s">
        <v>1384</v>
      </c>
      <c r="E8" s="1763"/>
      <c r="F8" s="1297">
        <f>主表!F16</f>
        <v>0</v>
      </c>
      <c r="G8" s="1298" t="str">
        <f>"按建安工程费的"&amp;TEXT(主表!G16,"0.0%")&amp;"计取"</f>
        <v>按建安工程费的0.0%计取</v>
      </c>
      <c r="H8" s="1745"/>
      <c r="I8" s="1744"/>
      <c r="X8" s="221"/>
      <c r="AG8" s="189"/>
    </row>
    <row r="9" spans="1:33" ht="13.5">
      <c r="A9" s="1775"/>
      <c r="B9" s="1760"/>
      <c r="C9" s="1776"/>
      <c r="D9" s="1762" t="s">
        <v>1385</v>
      </c>
      <c r="E9" s="1763"/>
      <c r="F9" s="1297">
        <f>主表!F18</f>
        <v>0</v>
      </c>
      <c r="G9" s="1298" t="str">
        <f>"按建安工程费的"&amp;TEXT(主表!G18,"0.0%")&amp;"计取"</f>
        <v>按建安工程费的0.0%计取</v>
      </c>
      <c r="H9" s="1745"/>
      <c r="I9" s="1744"/>
      <c r="X9" s="221"/>
      <c r="AG9" s="189"/>
    </row>
    <row r="10" spans="1:33" ht="13.5">
      <c r="A10" s="1775"/>
      <c r="B10" s="1760"/>
      <c r="C10" s="1776"/>
      <c r="D10" s="1762" t="s">
        <v>1386</v>
      </c>
      <c r="E10" s="1763"/>
      <c r="F10" s="1297">
        <f>主表!F19</f>
        <v>0</v>
      </c>
      <c r="G10" s="1298" t="str">
        <f>"按建安工程费的"&amp;TEXT(主表!G19,"0.0%")&amp;"计取"</f>
        <v>按建安工程费的0.0%计取</v>
      </c>
      <c r="H10" s="1745"/>
      <c r="I10" s="1744"/>
      <c r="X10" s="221"/>
      <c r="AG10" s="189"/>
    </row>
    <row r="11" spans="1:33" ht="13.5">
      <c r="A11" s="1293" t="s">
        <v>1366</v>
      </c>
      <c r="B11" s="1297">
        <f>主表!F8</f>
        <v>0</v>
      </c>
      <c r="C11" s="1299" t="str">
        <f>"按前期开发成本的"&amp;TEXT(主表!G8,"0.0%")&amp;"计取"</f>
        <v>按前期开发成本的0.0%计取</v>
      </c>
      <c r="D11" s="1766" t="s">
        <v>1367</v>
      </c>
      <c r="E11" s="1767"/>
      <c r="F11" s="1297">
        <f>主表!F20</f>
        <v>0</v>
      </c>
      <c r="G11" s="1298" t="str">
        <f>"按房屋建设成本的"&amp;主表!G20&amp;"计取"</f>
        <v>按房屋建设成本的计取</v>
      </c>
      <c r="H11" s="1745"/>
      <c r="I11" s="1744"/>
      <c r="X11" s="221"/>
      <c r="AG11" s="189"/>
    </row>
    <row r="12" spans="1:33" ht="40.5">
      <c r="A12" s="1293" t="s">
        <v>1368</v>
      </c>
      <c r="B12" s="1297">
        <f ca="1">主表!F9</f>
        <v>0</v>
      </c>
      <c r="C12" s="1300" t="str">
        <f ca="1">"前期开发期为"&amp;主表!B24&amp;"年，贷款利率为"&amp;TEXT(主表!G9,"0.00%")&amp;"，"&amp;主表!H9</f>
        <v>前期开发期为0年，贷款利率为3.00%，计息期为0年，复利计息</v>
      </c>
      <c r="D12" s="1766" t="s">
        <v>1369</v>
      </c>
      <c r="E12" s="1767"/>
      <c r="F12" s="1297">
        <f ca="1">主表!F21</f>
        <v>0</v>
      </c>
      <c r="G12" s="1298" t="str">
        <f ca="1">"房屋建设期为"&amp;主表!B23&amp;"年，贷款利率为"&amp;TEXT(主表!G21,"0.00%")&amp;"，"&amp;主表!H21</f>
        <v>房屋建设期为1.5年，贷款利率为6.15%，计息期为1.5年，复利计息</v>
      </c>
      <c r="H12" s="1745"/>
      <c r="I12" s="1744"/>
      <c r="X12" s="221"/>
      <c r="AG12" s="189"/>
    </row>
    <row r="13" spans="1:33" ht="27">
      <c r="A13" s="1293" t="s">
        <v>1370</v>
      </c>
      <c r="B13" s="1297">
        <f>主表!F10</f>
        <v>0</v>
      </c>
      <c r="C13" s="1300" t="str">
        <f>"按前期开发成本及其管理费用的"&amp;TEXT(主表!G10,"0%")&amp;"计取"</f>
        <v>按前期开发成本及其管理费用的0%计取</v>
      </c>
      <c r="D13" s="1766" t="s">
        <v>1370</v>
      </c>
      <c r="E13" s="1767"/>
      <c r="F13" s="1297">
        <f>主表!F22</f>
        <v>0</v>
      </c>
      <c r="G13" s="1298" t="str">
        <f>"按房屋建设成本及其管理费用的"&amp;TEXT(主表!G22,"0%")&amp;"计取"</f>
        <v>按房屋建设成本及其管理费用的0%计取</v>
      </c>
      <c r="H13" s="1745"/>
      <c r="I13" s="1744"/>
      <c r="X13" s="221"/>
      <c r="AG13" s="189"/>
    </row>
    <row r="14" spans="1:33" ht="13.5">
      <c r="A14" s="1293" t="s">
        <v>1371</v>
      </c>
      <c r="B14" s="1297">
        <f ca="1">SUM(B5:B13)</f>
        <v>9632</v>
      </c>
      <c r="C14" s="1300" t="s">
        <v>1372</v>
      </c>
      <c r="D14" s="1766" t="s">
        <v>1371</v>
      </c>
      <c r="E14" s="1767"/>
      <c r="F14" s="1297">
        <f ca="1">F5+F11+F12+F13</f>
        <v>0</v>
      </c>
      <c r="G14" s="1298" t="s">
        <v>1372</v>
      </c>
      <c r="H14" s="1745"/>
      <c r="I14" s="1744"/>
      <c r="X14" s="221"/>
      <c r="AG14" s="189"/>
    </row>
    <row r="15" spans="1:33" ht="27.75" thickBot="1">
      <c r="A15" s="1293" t="s">
        <v>1373</v>
      </c>
      <c r="B15" s="1760">
        <f ca="1">主表!F24</f>
        <v>9632</v>
      </c>
      <c r="C15" s="1761"/>
      <c r="D15" s="1762" t="s">
        <v>1374</v>
      </c>
      <c r="E15" s="1763"/>
      <c r="F15" s="1763"/>
      <c r="G15" s="1764"/>
      <c r="H15" s="1745"/>
      <c r="I15" s="1744"/>
      <c r="X15" s="221"/>
      <c r="AG15" s="189"/>
    </row>
    <row r="16" spans="1:33" ht="27.75" thickBot="1">
      <c r="A16" s="1293" t="s">
        <v>1375</v>
      </c>
      <c r="B16" s="1760">
        <f ca="1">主表!F25</f>
        <v>50.173099999999998</v>
      </c>
      <c r="C16" s="1761"/>
      <c r="D16" s="1762" t="s">
        <v>1376</v>
      </c>
      <c r="E16" s="1763"/>
      <c r="F16" s="1763"/>
      <c r="G16" s="1764"/>
      <c r="H16" s="1302" t="str">
        <f ca="1">NUMBERSTRING(INT(B16*10000),2)&amp;"元整"</f>
        <v>伍拾万壹仟柒佰叁拾壹元整</v>
      </c>
      <c r="I16" s="1303"/>
      <c r="X16" s="221"/>
      <c r="AG16" s="189"/>
    </row>
    <row r="17" spans="1:33" ht="13.5">
      <c r="A17" s="1293" t="s">
        <v>1377</v>
      </c>
      <c r="B17" s="1765">
        <f>主表!F33</f>
        <v>0</v>
      </c>
      <c r="C17" s="1761"/>
      <c r="D17" s="1762" t="s">
        <v>1378</v>
      </c>
      <c r="E17" s="1763"/>
      <c r="F17" s="1763"/>
      <c r="G17" s="1764"/>
      <c r="H17" s="1745"/>
      <c r="I17" s="1744"/>
      <c r="X17" s="221"/>
      <c r="AG17" s="189"/>
    </row>
    <row r="18" spans="1:33" ht="27.75" thickBot="1">
      <c r="A18" s="1293" t="s">
        <v>1379</v>
      </c>
      <c r="B18" s="1760">
        <f ca="1">主表!F35</f>
        <v>0</v>
      </c>
      <c r="C18" s="1761"/>
      <c r="D18" s="1762" t="s">
        <v>1380</v>
      </c>
      <c r="E18" s="1763"/>
      <c r="F18" s="1763"/>
      <c r="G18" s="1764"/>
      <c r="H18" s="1745"/>
      <c r="I18" s="1744"/>
      <c r="X18" s="221"/>
      <c r="AG18" s="189"/>
    </row>
    <row r="19" spans="1:33" ht="27.75" thickBot="1">
      <c r="A19" s="1301" t="s">
        <v>1381</v>
      </c>
      <c r="B19" s="1755">
        <f ca="1">主表!F36</f>
        <v>0</v>
      </c>
      <c r="C19" s="1756"/>
      <c r="D19" s="1757" t="s">
        <v>1382</v>
      </c>
      <c r="E19" s="1758"/>
      <c r="F19" s="1758"/>
      <c r="G19" s="1759"/>
      <c r="H19" s="1302" t="str">
        <f ca="1">NUMBERSTRING(INT(B19*10000),2)&amp;"元整"</f>
        <v>零元整</v>
      </c>
      <c r="I19" s="1303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6"/>
      <c r="E20" s="1746"/>
      <c r="F20" s="1746"/>
      <c r="G20" s="1747"/>
      <c r="H20" s="1748"/>
      <c r="I20" s="1749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6"/>
      <c r="E23" s="1306"/>
      <c r="F23" s="1306"/>
      <c r="G23" s="130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8" t="s">
        <v>222</v>
      </c>
      <c r="H26" s="227"/>
      <c r="I26" s="227"/>
      <c r="W26" s="221"/>
      <c r="X26" s="221"/>
      <c r="AF26" s="189"/>
      <c r="AG26" s="189"/>
    </row>
    <row r="27" spans="1:33">
      <c r="A27" s="1304" t="s">
        <v>223</v>
      </c>
      <c r="B27" s="1305"/>
      <c r="C27" s="1305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8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8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4" sqref="B24"/>
    </sheetView>
  </sheetViews>
  <sheetFormatPr defaultColWidth="9" defaultRowHeight="15.75" customHeight="1"/>
  <cols>
    <col min="1" max="1" width="25.625" style="1239" customWidth="1"/>
    <col min="2" max="2" width="15.625" style="1163" customWidth="1"/>
    <col min="3" max="3" width="6" style="1163" customWidth="1"/>
    <col min="4" max="4" width="7.75" style="1163" customWidth="1"/>
    <col min="5" max="5" width="22.25" style="1163" customWidth="1"/>
    <col min="6" max="6" width="12.375" style="1163" customWidth="1"/>
    <col min="7" max="7" width="9" style="1163"/>
    <col min="8" max="8" width="29" style="1163" customWidth="1"/>
    <col min="9" max="9" width="27.875" style="1240" customWidth="1"/>
    <col min="10" max="10" width="14.375" style="1240" customWidth="1"/>
    <col min="11" max="12" width="9" style="1163"/>
    <col min="13" max="13" width="2.125" style="1163" customWidth="1"/>
    <col min="14" max="14" width="18.125" style="1163" customWidth="1"/>
    <col min="15" max="15" width="10.875" style="1163" customWidth="1"/>
    <col min="16" max="16" width="17.25" style="1163" customWidth="1"/>
    <col min="17" max="17" width="14" style="1163" customWidth="1"/>
    <col min="18" max="16384" width="9" style="1163"/>
  </cols>
  <sheetData>
    <row r="1" spans="1:18" ht="26.25" customHeight="1" thickBot="1">
      <c r="A1" s="1157" t="s">
        <v>1217</v>
      </c>
      <c r="B1" s="1158"/>
      <c r="C1" s="1159"/>
      <c r="D1" s="1159"/>
      <c r="E1" s="1160"/>
      <c r="F1" s="1159"/>
      <c r="G1" s="1159"/>
      <c r="H1" s="1161"/>
      <c r="I1" s="1162"/>
      <c r="J1" s="1162"/>
      <c r="K1" s="1213"/>
      <c r="L1" s="1213"/>
    </row>
    <row r="2" spans="1:18" ht="15.75" customHeight="1" thickTop="1" thickBot="1">
      <c r="A2" s="1583" t="s">
        <v>1284</v>
      </c>
      <c r="B2" s="1164"/>
      <c r="C2" s="1165"/>
      <c r="D2" s="1783" t="s">
        <v>1275</v>
      </c>
      <c r="E2" s="1784"/>
      <c r="F2" s="1784"/>
      <c r="G2" s="1784"/>
      <c r="H2" s="1785"/>
      <c r="I2" s="1166"/>
      <c r="J2" s="1166"/>
      <c r="K2" s="1213"/>
      <c r="L2" s="1213"/>
      <c r="N2" s="501" t="s">
        <v>1153</v>
      </c>
      <c r="O2" s="484">
        <f>SUMPRODUCT((N6:N12=B20)*(O5:Q5=B21)*(O6:Q12))</f>
        <v>60</v>
      </c>
    </row>
    <row r="3" spans="1:18" ht="15.75" customHeight="1">
      <c r="A3" s="1180" t="s">
        <v>1775</v>
      </c>
      <c r="B3" s="1566">
        <v>41232</v>
      </c>
      <c r="C3" s="1165"/>
      <c r="D3" s="1167" t="s">
        <v>1220</v>
      </c>
      <c r="E3" s="1168" t="s">
        <v>1221</v>
      </c>
      <c r="F3" s="1168" t="s">
        <v>1222</v>
      </c>
      <c r="G3" s="1168" t="s">
        <v>1289</v>
      </c>
      <c r="H3" s="1169" t="s">
        <v>1281</v>
      </c>
      <c r="I3" s="1170"/>
      <c r="J3" s="1171"/>
      <c r="K3" s="1213"/>
      <c r="L3" s="1213"/>
      <c r="N3" s="485" t="s">
        <v>1266</v>
      </c>
      <c r="O3" s="1395">
        <f>IF(B22="",O2,YEAR(B3)-B22)</f>
        <v>16</v>
      </c>
    </row>
    <row r="4" spans="1:18" ht="15.75" customHeight="1">
      <c r="A4" s="1192" t="s">
        <v>1776</v>
      </c>
      <c r="B4" s="1566">
        <f>B3</f>
        <v>41232</v>
      </c>
      <c r="C4" s="1165"/>
      <c r="D4" s="1172" t="s">
        <v>1276</v>
      </c>
      <c r="E4" s="1173" t="s">
        <v>1569</v>
      </c>
      <c r="F4" s="1174">
        <f ca="1">F5+F8+F9+F10</f>
        <v>9632</v>
      </c>
      <c r="G4" s="1175"/>
      <c r="H4" s="1176" t="s">
        <v>1223</v>
      </c>
      <c r="I4" s="1177"/>
      <c r="J4" s="1162"/>
      <c r="K4" s="1213"/>
      <c r="L4" s="1213"/>
      <c r="N4" s="485" t="s">
        <v>1265</v>
      </c>
      <c r="O4" s="502">
        <f>SUMIF(N6:N12,B20,R6:R12)</f>
        <v>0</v>
      </c>
      <c r="P4" s="1178"/>
      <c r="Q4" s="1178"/>
    </row>
    <row r="5" spans="1:18" ht="15.75" customHeight="1">
      <c r="A5" s="1567"/>
      <c r="B5" s="1164"/>
      <c r="C5" s="1165"/>
      <c r="D5" s="1179">
        <v>1</v>
      </c>
      <c r="E5" s="1180" t="s">
        <v>1570</v>
      </c>
      <c r="F5" s="1023">
        <f>IF(B4&lt;DATE(2002,12,10),F6,F6-F7)</f>
        <v>9632</v>
      </c>
      <c r="G5" s="1181"/>
      <c r="H5" s="1182" t="s">
        <v>1286</v>
      </c>
      <c r="I5" s="1177"/>
      <c r="J5" s="1162"/>
      <c r="K5" s="1213"/>
      <c r="L5" s="1213"/>
      <c r="N5" s="500" t="s">
        <v>1152</v>
      </c>
      <c r="O5" s="1183" t="s">
        <v>1147</v>
      </c>
      <c r="P5" s="1183" t="s">
        <v>1149</v>
      </c>
      <c r="Q5" s="1183" t="s">
        <v>1145</v>
      </c>
      <c r="R5" s="1183" t="s">
        <v>1260</v>
      </c>
    </row>
    <row r="6" spans="1:18" ht="15.75" customHeight="1">
      <c r="A6" s="1192" t="s">
        <v>1762</v>
      </c>
      <c r="B6" s="1568"/>
      <c r="C6" s="1165"/>
      <c r="D6" s="1184" t="s">
        <v>1268</v>
      </c>
      <c r="E6" s="1180" t="s">
        <v>1224</v>
      </c>
      <c r="F6" s="1023">
        <f>IF(B4&lt;DATE(2002,12,10),'1993基准地价'!B3,IF(B4&gt;=DATE(2014,8,28),'2014基准地价'!B3,'2002基准地价'!B3))</f>
        <v>14938</v>
      </c>
      <c r="G6" s="1181"/>
      <c r="H6" s="1185" t="str">
        <f>"采用"&amp;IF(B4&lt;DATE(2002,12,10),"1993版",IF(B4&gt;=DATE(2014,8,28),"2014版","2002版"))&amp;"基准地价系数修正法计算"</f>
        <v>采用2002版基准地价系数修正法计算</v>
      </c>
      <c r="I6" s="1535" t="s">
        <v>1564</v>
      </c>
      <c r="J6" s="1162"/>
      <c r="K6" s="1213"/>
      <c r="L6" s="1213"/>
      <c r="N6" s="500" t="s">
        <v>1154</v>
      </c>
      <c r="O6" s="1187">
        <v>70</v>
      </c>
      <c r="P6" s="1187">
        <v>50</v>
      </c>
      <c r="Q6" s="1187">
        <v>80</v>
      </c>
      <c r="R6" s="1188">
        <v>0</v>
      </c>
    </row>
    <row r="7" spans="1:18" ht="15.75" customHeight="1">
      <c r="A7" s="1192" t="s">
        <v>1763</v>
      </c>
      <c r="B7" s="1568">
        <v>52.09</v>
      </c>
      <c r="C7" s="1165"/>
      <c r="D7" s="1184" t="s">
        <v>1269</v>
      </c>
      <c r="E7" s="1180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5306</v>
      </c>
      <c r="G7" s="1189"/>
      <c r="H7" s="1346" t="s">
        <v>1794</v>
      </c>
      <c r="I7" s="1190" t="s">
        <v>1557</v>
      </c>
      <c r="J7" s="1162"/>
      <c r="K7" s="1213"/>
      <c r="L7" s="1213"/>
      <c r="N7" s="500" t="s">
        <v>1155</v>
      </c>
      <c r="O7" s="1187">
        <v>50</v>
      </c>
      <c r="P7" s="1187">
        <v>35</v>
      </c>
      <c r="Q7" s="1187">
        <v>60</v>
      </c>
      <c r="R7" s="1188">
        <v>0</v>
      </c>
    </row>
    <row r="8" spans="1:18" ht="15.75" customHeight="1">
      <c r="A8" s="1192" t="s">
        <v>1764</v>
      </c>
      <c r="B8" s="1569" t="e">
        <f>ROUND(B7/B6,2)</f>
        <v>#DIV/0!</v>
      </c>
      <c r="C8" s="1165"/>
      <c r="D8" s="1191">
        <v>2</v>
      </c>
      <c r="E8" s="1192" t="s">
        <v>1227</v>
      </c>
      <c r="F8" s="1193">
        <f>ROUND(F5*G8,0)</f>
        <v>0</v>
      </c>
      <c r="G8" s="646"/>
      <c r="H8" s="1194"/>
      <c r="I8" s="1177" t="s">
        <v>1285</v>
      </c>
      <c r="J8" s="1162"/>
      <c r="K8" s="1213"/>
      <c r="L8" s="1213"/>
      <c r="N8" s="500" t="s">
        <v>1156</v>
      </c>
      <c r="O8" s="1187">
        <v>40</v>
      </c>
      <c r="P8" s="1187">
        <v>30</v>
      </c>
      <c r="Q8" s="1187">
        <v>50</v>
      </c>
      <c r="R8" s="1188">
        <v>0.02</v>
      </c>
    </row>
    <row r="9" spans="1:18" ht="15.75" customHeight="1">
      <c r="A9" s="1192" t="s">
        <v>1765</v>
      </c>
      <c r="B9" s="1568">
        <v>2</v>
      </c>
      <c r="C9" s="1165"/>
      <c r="D9" s="1191">
        <v>3</v>
      </c>
      <c r="E9" s="1192" t="s">
        <v>1228</v>
      </c>
      <c r="F9" s="1193">
        <f ca="1">ROUND(F5*(POWER((1+G9),B24)-1)+F8*(POWER((1+G9),B24/2)-1),0)</f>
        <v>0</v>
      </c>
      <c r="G9" s="1195">
        <f ca="1">存贷款利率!G2</f>
        <v>0.03</v>
      </c>
      <c r="H9" s="1196" t="str">
        <f>"计息期为"&amp;B24&amp;"年，"&amp;"复利计息"</f>
        <v>计息期为0年，复利计息</v>
      </c>
      <c r="I9" s="1197"/>
      <c r="J9" s="1198"/>
      <c r="K9" s="1213"/>
      <c r="L9" s="1213"/>
      <c r="N9" s="500" t="s">
        <v>1261</v>
      </c>
      <c r="O9" s="1187">
        <v>30</v>
      </c>
      <c r="P9" s="1187">
        <v>20</v>
      </c>
      <c r="Q9" s="1187">
        <v>40</v>
      </c>
      <c r="R9" s="1188">
        <v>0.06</v>
      </c>
    </row>
    <row r="10" spans="1:18" ht="15.75" customHeight="1" thickBot="1">
      <c r="A10" s="1192" t="s">
        <v>1766</v>
      </c>
      <c r="B10" s="1570" t="s">
        <v>581</v>
      </c>
      <c r="C10" s="1165"/>
      <c r="D10" s="1199">
        <v>4</v>
      </c>
      <c r="E10" s="1200" t="s">
        <v>1229</v>
      </c>
      <c r="F10" s="1201">
        <f>ROUND((F5+F8)*G10,0)</f>
        <v>0</v>
      </c>
      <c r="G10" s="504"/>
      <c r="H10" s="1202" t="s">
        <v>1231</v>
      </c>
      <c r="I10" s="1203" t="s">
        <v>1230</v>
      </c>
      <c r="J10" s="1204"/>
      <c r="K10" s="1213"/>
      <c r="L10" s="1213"/>
      <c r="N10" s="500" t="s">
        <v>1262</v>
      </c>
      <c r="O10" s="1187">
        <v>30</v>
      </c>
      <c r="P10" s="1187">
        <v>20</v>
      </c>
      <c r="Q10" s="1187">
        <v>40</v>
      </c>
      <c r="R10" s="1188">
        <v>0.04</v>
      </c>
    </row>
    <row r="11" spans="1:18" ht="15.75" customHeight="1" thickTop="1">
      <c r="A11" s="1192" t="s">
        <v>1767</v>
      </c>
      <c r="B11" s="1571"/>
      <c r="C11" s="1165"/>
      <c r="D11" s="1205" t="s">
        <v>1282</v>
      </c>
      <c r="E11" s="1206" t="s">
        <v>1571</v>
      </c>
      <c r="F11" s="1174">
        <f ca="1">F12+F20+F21+F22</f>
        <v>0</v>
      </c>
      <c r="G11" s="1207"/>
      <c r="H11" s="1208" t="s">
        <v>1232</v>
      </c>
      <c r="I11" s="1177"/>
      <c r="J11" s="1162"/>
      <c r="K11" s="1213"/>
      <c r="L11" s="1213"/>
      <c r="N11" s="500" t="s">
        <v>1263</v>
      </c>
      <c r="O11" s="1187">
        <v>30</v>
      </c>
      <c r="P11" s="1187">
        <v>20</v>
      </c>
      <c r="Q11" s="1187">
        <v>40</v>
      </c>
      <c r="R11" s="1188">
        <v>0.03</v>
      </c>
    </row>
    <row r="12" spans="1:18" ht="15.75" customHeight="1">
      <c r="A12" s="1192" t="s">
        <v>1768</v>
      </c>
      <c r="B12" s="1572" t="s">
        <v>1786</v>
      </c>
      <c r="C12" s="1165"/>
      <c r="D12" s="1191">
        <v>1</v>
      </c>
      <c r="E12" s="1192" t="s">
        <v>1572</v>
      </c>
      <c r="F12" s="1193">
        <f>F13+F16+F17</f>
        <v>0</v>
      </c>
      <c r="G12" s="1209"/>
      <c r="H12" s="1210" t="s">
        <v>1287</v>
      </c>
      <c r="I12" s="1177"/>
      <c r="J12" s="1162"/>
      <c r="K12" s="1213"/>
      <c r="L12" s="1213"/>
      <c r="N12" s="500" t="s">
        <v>1264</v>
      </c>
      <c r="O12" s="1187">
        <v>10</v>
      </c>
      <c r="P12" s="1187">
        <v>10</v>
      </c>
      <c r="Q12" s="1187">
        <v>10</v>
      </c>
      <c r="R12" s="1188">
        <v>0</v>
      </c>
    </row>
    <row r="13" spans="1:18" ht="15.75" customHeight="1">
      <c r="A13" s="1192" t="s">
        <v>1769</v>
      </c>
      <c r="B13" s="1573">
        <v>70</v>
      </c>
      <c r="C13" s="1165"/>
      <c r="D13" s="1184" t="s">
        <v>1268</v>
      </c>
      <c r="E13" s="1192" t="s">
        <v>1233</v>
      </c>
      <c r="F13" s="1193">
        <f>F14+F15</f>
        <v>0</v>
      </c>
      <c r="G13" s="1209"/>
      <c r="H13" s="1210" t="s">
        <v>1288</v>
      </c>
      <c r="I13" s="1177"/>
      <c r="J13" s="1162"/>
      <c r="K13" s="1213"/>
      <c r="L13" s="1213"/>
    </row>
    <row r="14" spans="1:18" ht="15.75" customHeight="1">
      <c r="A14" s="1192" t="s">
        <v>1770</v>
      </c>
      <c r="B14" s="1574"/>
      <c r="C14" s="1165"/>
      <c r="D14" s="1191" t="s">
        <v>1271</v>
      </c>
      <c r="E14" s="1192" t="s">
        <v>1234</v>
      </c>
      <c r="F14" s="505"/>
      <c r="G14" s="1211"/>
      <c r="H14" s="1185"/>
      <c r="I14" s="1177"/>
      <c r="J14" s="1162"/>
      <c r="K14" s="1213"/>
      <c r="L14" s="1213"/>
    </row>
    <row r="15" spans="1:18" ht="15.75" customHeight="1">
      <c r="A15" s="1192" t="s">
        <v>1771</v>
      </c>
      <c r="B15" s="1575">
        <f>IF(B14="",B13-(YEAR($B$4)-B22+B23+B24),ROUNDDOWN(MIN((B14-$B$4)/365,B13),2))</f>
        <v>52.5</v>
      </c>
      <c r="C15" s="1165"/>
      <c r="D15" s="1191" t="s">
        <v>1272</v>
      </c>
      <c r="E15" s="1192" t="s">
        <v>1235</v>
      </c>
      <c r="F15" s="505"/>
      <c r="G15" s="1211"/>
      <c r="H15" s="1185"/>
      <c r="I15" s="1177"/>
      <c r="J15" s="1162"/>
      <c r="K15" s="1213"/>
      <c r="L15" s="1213"/>
    </row>
    <row r="16" spans="1:18" ht="15.75" customHeight="1">
      <c r="A16" s="1192" t="s">
        <v>1772</v>
      </c>
      <c r="B16" s="1568">
        <v>70</v>
      </c>
      <c r="C16" s="1165"/>
      <c r="D16" s="1184" t="s">
        <v>1269</v>
      </c>
      <c r="E16" s="1192" t="s">
        <v>1236</v>
      </c>
      <c r="F16" s="1023">
        <f>ROUND(F13*G16,0)</f>
        <v>0</v>
      </c>
      <c r="G16" s="503"/>
      <c r="H16" s="1214" t="s">
        <v>1238</v>
      </c>
      <c r="I16" s="1197" t="s">
        <v>1237</v>
      </c>
      <c r="J16" s="1162"/>
      <c r="K16" s="1213"/>
      <c r="L16" s="1213"/>
    </row>
    <row r="17" spans="1:18" ht="15.75" customHeight="1">
      <c r="A17" s="1192" t="s">
        <v>1773</v>
      </c>
      <c r="B17" s="1576">
        <f>IF(B4&lt;DATE(2002,12,10),'1993基准地价'!C23,IF(B4&gt;=DATE(2014,8,28),'2014基准地价'!G20,'2002基准地价'!E10))</f>
        <v>0.04</v>
      </c>
      <c r="C17" s="1165"/>
      <c r="D17" s="1184" t="s">
        <v>1270</v>
      </c>
      <c r="E17" s="1192" t="s">
        <v>1239</v>
      </c>
      <c r="F17" s="1193">
        <f>F18+F19</f>
        <v>0</v>
      </c>
      <c r="G17" s="1209"/>
      <c r="H17" s="1210" t="s">
        <v>1288</v>
      </c>
      <c r="I17" s="1213"/>
      <c r="J17" s="1162"/>
      <c r="K17" s="1213"/>
      <c r="L17" s="1213"/>
    </row>
    <row r="18" spans="1:18" ht="15.75" customHeight="1">
      <c r="A18" s="1192" t="s">
        <v>1774</v>
      </c>
      <c r="B18" s="1577">
        <f>IF(ISERROR(ROUND(POWER(1+B17,B13-B15)*(POWER(1+B17,B15)-1)/(POWER(1+B17,B13)-1),3)),0,ROUND(POWER(1+B17,B13-B15)*(POWER(1+B17,B15)-1)/(POWER(1+B17,B13)-1),3))</f>
        <v>0.93200000000000005</v>
      </c>
      <c r="C18" s="1165"/>
      <c r="D18" s="1191" t="s">
        <v>1273</v>
      </c>
      <c r="E18" s="1192" t="s">
        <v>1283</v>
      </c>
      <c r="F18" s="1023">
        <f>ROUND(IF(B12="住宅/居住",F13*G18,0),0)</f>
        <v>0</v>
      </c>
      <c r="G18" s="503"/>
      <c r="H18" s="1214" t="s">
        <v>1238</v>
      </c>
      <c r="I18" s="1197" t="s">
        <v>1240</v>
      </c>
      <c r="J18" s="1162" t="s">
        <v>1267</v>
      </c>
      <c r="K18" s="1213"/>
      <c r="L18" s="1213"/>
    </row>
    <row r="19" spans="1:18" ht="15.75" customHeight="1">
      <c r="A19" s="1578"/>
      <c r="B19" s="1213"/>
      <c r="C19" s="1165"/>
      <c r="D19" s="1191" t="s">
        <v>1274</v>
      </c>
      <c r="E19" s="1192" t="s">
        <v>1241</v>
      </c>
      <c r="F19" s="1023">
        <f>ROUND(F13*G19,0)</f>
        <v>0</v>
      </c>
      <c r="G19" s="503"/>
      <c r="H19" s="1214" t="s">
        <v>1238</v>
      </c>
      <c r="I19" s="1197" t="s">
        <v>1242</v>
      </c>
      <c r="J19" s="1162"/>
      <c r="K19" s="1213"/>
      <c r="L19" s="1213"/>
    </row>
    <row r="20" spans="1:18" ht="15.75" customHeight="1">
      <c r="A20" s="1192" t="s">
        <v>1777</v>
      </c>
      <c r="B20" s="1579" t="s">
        <v>1787</v>
      </c>
      <c r="C20" s="1165"/>
      <c r="D20" s="1191">
        <v>2</v>
      </c>
      <c r="E20" s="1192" t="s">
        <v>1227</v>
      </c>
      <c r="F20" s="1193">
        <f>ROUND(F12*G20,0)</f>
        <v>0</v>
      </c>
      <c r="G20" s="646"/>
      <c r="H20" s="1185"/>
      <c r="I20" s="1197" t="s">
        <v>1243</v>
      </c>
      <c r="J20" s="1162"/>
      <c r="K20" s="1213"/>
      <c r="L20" s="1213"/>
    </row>
    <row r="21" spans="1:18" ht="15.75" customHeight="1">
      <c r="A21" s="1192" t="s">
        <v>1778</v>
      </c>
      <c r="B21" s="1580" t="s">
        <v>1145</v>
      </c>
      <c r="C21" s="1165"/>
      <c r="D21" s="1381">
        <v>3</v>
      </c>
      <c r="E21" s="1382" t="s">
        <v>1573</v>
      </c>
      <c r="F21" s="1383">
        <f ca="1">ROUND((F12+F20)*(POWER((1+G21),B23/2)-1),0)</f>
        <v>0</v>
      </c>
      <c r="G21" s="1384">
        <f ca="1">存贷款利率!G1</f>
        <v>6.1500000000000006E-2</v>
      </c>
      <c r="H21" s="1196" t="str">
        <f>"计息期为"&amp;B23&amp;"年，"&amp;"复利计息"</f>
        <v>计息期为1.5年，复利计息</v>
      </c>
      <c r="I21" s="1186"/>
      <c r="J21" s="1170"/>
      <c r="K21" s="1213"/>
      <c r="L21" s="1213"/>
    </row>
    <row r="22" spans="1:18" ht="15.75" customHeight="1" thickBot="1">
      <c r="A22" s="1192" t="s">
        <v>1779</v>
      </c>
      <c r="B22" s="1581">
        <v>1996</v>
      </c>
      <c r="C22" s="1165"/>
      <c r="D22" s="1199">
        <v>4</v>
      </c>
      <c r="E22" s="1200" t="s">
        <v>1574</v>
      </c>
      <c r="F22" s="1201">
        <f>ROUND((F12+F20)*G22,0)</f>
        <v>0</v>
      </c>
      <c r="G22" s="504"/>
      <c r="H22" s="1202" t="s">
        <v>1231</v>
      </c>
      <c r="I22" s="1253" t="str">
        <f>IF(B12="商业","商业用途35%-50%",IF(B12="工业","工业用途18%-28%",IF(B12="办公/综合","办公用途25%-40%","居住用途30%-50%")))</f>
        <v>居住用途30%-50%</v>
      </c>
      <c r="J22" s="1162"/>
      <c r="K22" s="1213"/>
      <c r="L22" s="1213"/>
    </row>
    <row r="23" spans="1:18" ht="15.75" customHeight="1" thickTop="1">
      <c r="A23" s="1192" t="s">
        <v>1780</v>
      </c>
      <c r="B23" s="1582">
        <v>1.5</v>
      </c>
      <c r="C23" s="1213"/>
      <c r="D23" s="1205" t="s">
        <v>1575</v>
      </c>
      <c r="E23" s="1206" t="s">
        <v>1244</v>
      </c>
      <c r="F23" s="1174"/>
      <c r="G23" s="1215"/>
      <c r="H23" s="1216"/>
      <c r="I23" s="1217"/>
      <c r="J23" s="1162"/>
      <c r="K23" s="1213"/>
      <c r="L23" s="1213"/>
    </row>
    <row r="24" spans="1:18" ht="15.75" customHeight="1">
      <c r="A24" s="1192" t="s">
        <v>1781</v>
      </c>
      <c r="B24" s="1582">
        <v>0</v>
      </c>
      <c r="C24" s="1213"/>
      <c r="D24" s="1179">
        <v>1</v>
      </c>
      <c r="E24" s="1180" t="s">
        <v>1245</v>
      </c>
      <c r="F24" s="1023">
        <f ca="1">F4+F11</f>
        <v>9632</v>
      </c>
      <c r="G24" s="1218"/>
      <c r="H24" s="1194"/>
      <c r="I24" s="1217"/>
      <c r="J24" s="1162"/>
      <c r="K24" s="1213"/>
      <c r="L24" s="1213"/>
    </row>
    <row r="25" spans="1:18" ht="15.75" customHeight="1" thickBot="1">
      <c r="A25" s="1212"/>
      <c r="B25" s="1213"/>
      <c r="C25" s="1213"/>
      <c r="D25" s="1219">
        <v>2</v>
      </c>
      <c r="E25" s="1220" t="s">
        <v>1246</v>
      </c>
      <c r="F25" s="1221">
        <f ca="1">ROUND(F24*B7/10000,4)</f>
        <v>50.173099999999998</v>
      </c>
      <c r="G25" s="1222"/>
      <c r="H25" s="1223"/>
      <c r="I25" s="1217"/>
      <c r="J25" s="1162"/>
      <c r="K25" s="1213"/>
      <c r="L25" s="1213"/>
    </row>
    <row r="26" spans="1:18" ht="15.75" customHeight="1" thickBot="1">
      <c r="A26" s="1212"/>
      <c r="B26" s="1213"/>
      <c r="C26" s="1213"/>
      <c r="D26" s="1786" t="s">
        <v>1277</v>
      </c>
      <c r="E26" s="1787"/>
      <c r="F26" s="1787"/>
      <c r="G26" s="1787"/>
      <c r="H26" s="1788"/>
      <c r="I26" s="1177"/>
      <c r="J26" s="1166"/>
      <c r="K26" s="1213"/>
      <c r="L26" s="1213"/>
    </row>
    <row r="27" spans="1:18" ht="15.75" customHeight="1">
      <c r="A27" s="1212"/>
      <c r="B27" s="1213"/>
      <c r="C27" s="1213"/>
      <c r="D27" s="1224" t="s">
        <v>1220</v>
      </c>
      <c r="E27" s="1225" t="s">
        <v>1226</v>
      </c>
      <c r="F27" s="1168" t="s">
        <v>1247</v>
      </c>
      <c r="G27" s="1168" t="s">
        <v>1248</v>
      </c>
      <c r="H27" s="1226"/>
      <c r="I27" s="1251"/>
      <c r="J27" s="1170"/>
      <c r="K27" s="1213"/>
      <c r="L27" s="1213"/>
    </row>
    <row r="28" spans="1:18" ht="15.75" customHeight="1" thickBot="1">
      <c r="A28" s="1212"/>
      <c r="B28" s="1213"/>
      <c r="C28" s="1213"/>
      <c r="D28" s="1227" t="s">
        <v>1276</v>
      </c>
      <c r="E28" s="1228" t="s">
        <v>1249</v>
      </c>
      <c r="F28" s="1229">
        <f>ROUND(IF(AND(B12&lt;&gt;"住宅/居住",B13&lt;O2),1-(1-O4)*O3/B13,1-(1-O4)*O3/O2),2)</f>
        <v>0.73</v>
      </c>
      <c r="G28" s="506"/>
      <c r="H28" s="1230"/>
      <c r="I28" s="1177" t="s">
        <v>1250</v>
      </c>
      <c r="J28" s="1162"/>
      <c r="K28" s="1213"/>
      <c r="L28" s="1213"/>
    </row>
    <row r="29" spans="1:18" ht="15.75" customHeight="1">
      <c r="A29" s="1212"/>
      <c r="B29" s="1213"/>
      <c r="C29" s="1213"/>
      <c r="D29" s="1227" t="s">
        <v>1278</v>
      </c>
      <c r="E29" s="1228" t="s">
        <v>1251</v>
      </c>
      <c r="F29" s="1229">
        <f>ROUND((F30*G30+F31*G31+F32*G32)/100,2)</f>
        <v>0</v>
      </c>
      <c r="G29" s="1229">
        <f>1-G28</f>
        <v>1</v>
      </c>
      <c r="H29" s="1185"/>
      <c r="I29" s="1177"/>
      <c r="J29" s="1162"/>
      <c r="K29" s="1213"/>
      <c r="L29" s="1213"/>
      <c r="N29" s="1401"/>
      <c r="O29" s="1402" t="s">
        <v>1579</v>
      </c>
      <c r="P29" s="1402" t="s">
        <v>1580</v>
      </c>
      <c r="Q29" s="1402" t="s">
        <v>1581</v>
      </c>
      <c r="R29" s="1403" t="s">
        <v>1582</v>
      </c>
    </row>
    <row r="30" spans="1:18" ht="15.75" customHeight="1">
      <c r="A30" s="1212"/>
      <c r="B30" s="1213"/>
      <c r="C30" s="1213"/>
      <c r="D30" s="1227">
        <v>1</v>
      </c>
      <c r="E30" s="1231" t="s">
        <v>1252</v>
      </c>
      <c r="F30" s="507"/>
      <c r="G30" s="1229">
        <f>IF(ISNUMBER(FIND("砖木",B20)),O30,SUMPRODUCT((N30:N32=E30)*(O29:R29=B20)*(O30:R32)))</f>
        <v>0.2</v>
      </c>
      <c r="H30" s="1230"/>
      <c r="I30" s="1778" t="s">
        <v>1583</v>
      </c>
      <c r="J30" s="1396"/>
      <c r="K30" s="1213"/>
      <c r="L30" s="1213"/>
      <c r="N30" s="1404" t="s">
        <v>1576</v>
      </c>
      <c r="O30" s="1405">
        <v>0.2</v>
      </c>
      <c r="P30" s="1405">
        <v>0.2</v>
      </c>
      <c r="Q30" s="1405">
        <v>0.2</v>
      </c>
      <c r="R30" s="1406">
        <v>0.25</v>
      </c>
    </row>
    <row r="31" spans="1:18" ht="15.75" customHeight="1">
      <c r="A31" s="1212"/>
      <c r="B31" s="1213"/>
      <c r="C31" s="1213"/>
      <c r="D31" s="1227">
        <v>2</v>
      </c>
      <c r="E31" s="1231" t="s">
        <v>1253</v>
      </c>
      <c r="F31" s="1232">
        <f>F30</f>
        <v>0</v>
      </c>
      <c r="G31" s="1229">
        <f>IF(ISNUMBER(FIND("砖木",B20)),O31,SUMPRODUCT((N30:N32=E31)*(O29:R29=B20)*(O30:R32)))</f>
        <v>0.5</v>
      </c>
      <c r="H31" s="1230"/>
      <c r="I31" s="1778"/>
      <c r="J31" s="1396"/>
      <c r="K31" s="1213"/>
      <c r="L31" s="1213"/>
      <c r="N31" s="1404" t="s">
        <v>1577</v>
      </c>
      <c r="O31" s="1405">
        <v>0.55000000000000004</v>
      </c>
      <c r="P31" s="1405">
        <v>0.45</v>
      </c>
      <c r="Q31" s="1405">
        <v>0.5</v>
      </c>
      <c r="R31" s="1406">
        <v>0.55000000000000004</v>
      </c>
    </row>
    <row r="32" spans="1:18" ht="15.75" customHeight="1">
      <c r="A32" s="1212"/>
      <c r="B32" s="1213"/>
      <c r="C32" s="1213"/>
      <c r="D32" s="1227">
        <v>3</v>
      </c>
      <c r="E32" s="1231" t="s">
        <v>1254</v>
      </c>
      <c r="F32" s="1232">
        <f>F31</f>
        <v>0</v>
      </c>
      <c r="G32" s="1229">
        <f>IF(ISNUMBER(FIND("砖木",B20)),O32,SUMPRODUCT((N30:N32=E32)*(O29:R29=B20)*(O30:R32)))</f>
        <v>0.3</v>
      </c>
      <c r="H32" s="1230"/>
      <c r="I32" s="1778"/>
      <c r="J32" s="1396"/>
      <c r="K32" s="1213"/>
      <c r="L32" s="1213"/>
      <c r="N32" s="1404" t="s">
        <v>1578</v>
      </c>
      <c r="O32" s="1405">
        <v>0.25</v>
      </c>
      <c r="P32" s="1405">
        <v>0.35</v>
      </c>
      <c r="Q32" s="1405">
        <v>0.3</v>
      </c>
      <c r="R32" s="1406">
        <v>0.2</v>
      </c>
    </row>
    <row r="33" spans="1:18" ht="15.75" customHeight="1" thickBot="1">
      <c r="A33" s="1212"/>
      <c r="B33" s="1213"/>
      <c r="C33" s="1213"/>
      <c r="D33" s="1233" t="s">
        <v>1279</v>
      </c>
      <c r="E33" s="1234" t="s">
        <v>1255</v>
      </c>
      <c r="F33" s="1235">
        <f>ROUND(F28*G28+F29*G29,2)</f>
        <v>0</v>
      </c>
      <c r="G33" s="1222"/>
      <c r="H33" s="1223"/>
      <c r="I33" s="1252"/>
      <c r="J33" s="1162"/>
      <c r="K33" s="1213"/>
      <c r="L33" s="1213"/>
      <c r="N33" s="1407"/>
      <c r="O33" s="1485">
        <f>SUM(O30:O32)</f>
        <v>1</v>
      </c>
      <c r="P33" s="1485">
        <f t="shared" ref="P33:R33" si="0">SUM(P30:P32)</f>
        <v>1</v>
      </c>
      <c r="Q33" s="1485">
        <f t="shared" si="0"/>
        <v>1</v>
      </c>
      <c r="R33" s="1486">
        <f t="shared" si="0"/>
        <v>1</v>
      </c>
    </row>
    <row r="34" spans="1:18" ht="15.75" customHeight="1" thickBot="1">
      <c r="A34" s="1212"/>
      <c r="B34" s="1213"/>
      <c r="C34" s="1213"/>
      <c r="D34" s="1786" t="s">
        <v>1280</v>
      </c>
      <c r="E34" s="1787"/>
      <c r="F34" s="1787"/>
      <c r="G34" s="1787"/>
      <c r="H34" s="1788"/>
      <c r="I34" s="1166"/>
      <c r="J34" s="1166"/>
      <c r="K34" s="1213"/>
      <c r="L34" s="1213"/>
    </row>
    <row r="35" spans="1:18" ht="15.75" customHeight="1">
      <c r="A35" s="1212"/>
      <c r="B35" s="1213"/>
      <c r="C35" s="1213"/>
      <c r="D35" s="1179" t="s">
        <v>1276</v>
      </c>
      <c r="E35" s="1236" t="s">
        <v>1256</v>
      </c>
      <c r="F35" s="1237">
        <f ca="1">ROUND(F24*F33,0)</f>
        <v>0</v>
      </c>
      <c r="G35" s="1779" t="s">
        <v>1257</v>
      </c>
      <c r="H35" s="1780"/>
      <c r="I35" s="1171"/>
      <c r="J35" s="1171"/>
      <c r="K35" s="1213"/>
      <c r="L35" s="1213"/>
    </row>
    <row r="36" spans="1:18" ht="15.75" customHeight="1" thickBot="1">
      <c r="A36" s="1212"/>
      <c r="B36" s="1213"/>
      <c r="C36" s="1213"/>
      <c r="D36" s="1219" t="s">
        <v>1278</v>
      </c>
      <c r="E36" s="1220" t="s">
        <v>1258</v>
      </c>
      <c r="F36" s="1238">
        <f ca="1">ROUND(F25*F33,4)</f>
        <v>0</v>
      </c>
      <c r="G36" s="1781" t="s">
        <v>1259</v>
      </c>
      <c r="H36" s="1782"/>
      <c r="I36" s="1171"/>
      <c r="J36" s="1171"/>
      <c r="K36" s="1213"/>
      <c r="L36" s="1213"/>
    </row>
    <row r="37" spans="1:18" ht="15.75" customHeight="1">
      <c r="A37" s="1212"/>
      <c r="B37" s="1213"/>
    </row>
    <row r="38" spans="1:18" ht="15.75" customHeight="1">
      <c r="A38" s="1212"/>
      <c r="B38" s="1213"/>
    </row>
    <row r="39" spans="1:18" ht="15.75" customHeight="1">
      <c r="A39" s="1212"/>
      <c r="B39" s="1213"/>
    </row>
    <row r="43" spans="1:18" ht="15.75" customHeight="1">
      <c r="N43" s="1241"/>
      <c r="O43" s="1241"/>
    </row>
    <row r="44" spans="1:18" ht="15.75" customHeight="1">
      <c r="N44" s="1241"/>
      <c r="O44" s="1241"/>
    </row>
    <row r="45" spans="1:18" ht="15.75" customHeight="1">
      <c r="N45" s="1241"/>
      <c r="O45" s="1241"/>
    </row>
    <row r="46" spans="1:18" ht="15.75" customHeight="1">
      <c r="N46" s="1241"/>
      <c r="O46" s="1241"/>
    </row>
    <row r="51" spans="1:13" ht="15.75" customHeight="1">
      <c r="G51" s="1246" t="s">
        <v>1204</v>
      </c>
    </row>
    <row r="52" spans="1:13" ht="15.75" customHeight="1">
      <c r="C52" s="1243" t="s">
        <v>1203</v>
      </c>
      <c r="D52" s="1243"/>
      <c r="E52" s="1243"/>
      <c r="F52" s="1243"/>
      <c r="G52" s="1247" t="s">
        <v>1208</v>
      </c>
      <c r="I52" s="1248"/>
      <c r="J52" s="1248"/>
      <c r="K52" s="1241"/>
      <c r="L52" s="1241"/>
      <c r="M52" s="1241"/>
    </row>
    <row r="53" spans="1:13" ht="15.75" customHeight="1">
      <c r="A53" s="1242" t="s">
        <v>1201</v>
      </c>
      <c r="B53" s="1243" t="s">
        <v>1202</v>
      </c>
      <c r="C53" s="1245" t="s">
        <v>1207</v>
      </c>
      <c r="D53" s="1245"/>
      <c r="E53" s="1245"/>
      <c r="F53" s="1245"/>
      <c r="G53" s="1247" t="s">
        <v>1212</v>
      </c>
      <c r="I53" s="1248"/>
      <c r="J53" s="1248"/>
      <c r="K53" s="1241"/>
      <c r="L53" s="1241"/>
      <c r="M53" s="1241"/>
    </row>
    <row r="54" spans="1:13" ht="15.75" customHeight="1">
      <c r="A54" s="1244" t="s">
        <v>1205</v>
      </c>
      <c r="B54" s="1245" t="s">
        <v>1206</v>
      </c>
      <c r="C54" s="1245" t="s">
        <v>1211</v>
      </c>
      <c r="D54" s="1245"/>
      <c r="E54" s="1245"/>
      <c r="F54" s="1245"/>
      <c r="G54" s="1247" t="s">
        <v>1216</v>
      </c>
      <c r="I54" s="1248"/>
      <c r="J54" s="1248"/>
      <c r="K54" s="1241"/>
      <c r="L54" s="1241"/>
      <c r="M54" s="1241"/>
    </row>
    <row r="55" spans="1:13" ht="15.75" customHeight="1">
      <c r="A55" s="1244" t="s">
        <v>1209</v>
      </c>
      <c r="B55" s="1245" t="s">
        <v>1210</v>
      </c>
      <c r="C55" s="1245" t="s">
        <v>1215</v>
      </c>
      <c r="D55" s="1245"/>
      <c r="E55" s="1245"/>
      <c r="F55" s="1245"/>
      <c r="G55" s="1247" t="s">
        <v>1218</v>
      </c>
      <c r="I55" s="1248"/>
      <c r="J55" s="1248"/>
      <c r="K55" s="1241"/>
      <c r="L55" s="1241"/>
      <c r="M55" s="1241"/>
    </row>
    <row r="56" spans="1:13" ht="15.75" customHeight="1">
      <c r="A56" s="1244" t="s">
        <v>1213</v>
      </c>
      <c r="B56" s="1245" t="s">
        <v>1214</v>
      </c>
    </row>
    <row r="57" spans="1:13" ht="15.75" customHeight="1">
      <c r="A57" s="1249"/>
      <c r="B57" s="1250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52.09</v>
      </c>
      <c r="E1" s="706" t="s">
        <v>1555</v>
      </c>
      <c r="F1" s="1312"/>
      <c r="G1" s="1487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0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7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1">
        <f>ROUND(C6+C16,0)</f>
        <v>-120</v>
      </c>
      <c r="E5" s="1541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6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7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7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7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7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6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8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8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9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26" t="s">
        <v>925</v>
      </c>
      <c r="C16" s="1472">
        <f>ROUND(IF(F17="与级别开发程度一致",0,(G17-E17)/C17),0)</f>
        <v>-120</v>
      </c>
      <c r="D16" s="1805" t="s">
        <v>928</v>
      </c>
      <c r="E16" s="1806"/>
      <c r="F16" s="1805" t="s">
        <v>926</v>
      </c>
      <c r="G16" s="180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0"/>
      <c r="B17" s="1557" t="s">
        <v>927</v>
      </c>
      <c r="C17" s="1558">
        <f>SUMPRODUCT(('2014修正'!A2:A5=E2)*('2014修正'!B1:M1=G2)*('2014修正'!B2:M5))</f>
        <v>2.5</v>
      </c>
      <c r="D17" s="1559" t="str">
        <f>IF(OR(G2="八级",G2="九级",G2="十级",G2="十一级",G2="十二级"),"五通一平","七通一平")</f>
        <v>七通一平</v>
      </c>
      <c r="E17" s="1562">
        <f>SUMPRODUCT(('2014修正'!B1:M1=G2)*('2014修正'!B15:M15))</f>
        <v>300</v>
      </c>
      <c r="F17" s="1563"/>
      <c r="G17" s="1564">
        <f>SUM(H17:O17)</f>
        <v>0</v>
      </c>
      <c r="H17" s="1560">
        <f>SUMPRODUCT((七通一平=H16)*('2014修正'!B1:M1=G2)*('2014修正'!B6:M14))</f>
        <v>0</v>
      </c>
      <c r="I17" s="1560">
        <f>SUMPRODUCT((七通一平=I16)*('2014修正'!B1:M1=G2)*('2014修正'!B6:M14))</f>
        <v>0</v>
      </c>
      <c r="J17" s="1561">
        <f>SUMPRODUCT((七通一平=J16)*('2014修正'!B1:M1=G2)*('2014修正'!B6:M14))</f>
        <v>0</v>
      </c>
      <c r="K17" s="1560">
        <f>SUMPRODUCT((七通一平=K16)*('2014修正'!B1:M1=G2)*('2014修正'!B6:M14))</f>
        <v>0</v>
      </c>
      <c r="L17" s="1560">
        <f>SUMPRODUCT((七通一平=L16)*('2014修正'!B1:M1=G2)*('2014修正'!B6:M14))</f>
        <v>0</v>
      </c>
      <c r="M17" s="1560">
        <f>SUMPRODUCT((七通一平=M16)*('2014修正'!B1:M1=G2)*('2014修正'!B6:M14))</f>
        <v>0</v>
      </c>
      <c r="N17" s="1560">
        <f>SUMPRODUCT((七通一平=N16)*('2014修正'!B1:M1=G2)*('2014修正'!B6:M14))</f>
        <v>0</v>
      </c>
      <c r="O17" s="1561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8" t="s">
        <v>929</v>
      </c>
      <c r="B18" s="1549" t="s">
        <v>930</v>
      </c>
      <c r="C18" s="1550">
        <f>SUMIF('2014修正'!C18:C39,E3,'2014修正'!E18:E39)</f>
        <v>0</v>
      </c>
      <c r="D18" s="1551"/>
      <c r="E18" s="1552"/>
      <c r="F18" s="1552"/>
      <c r="G18" s="1552"/>
      <c r="H18" s="1552"/>
      <c r="I18" s="1553"/>
      <c r="J18" s="1554"/>
      <c r="K18" s="765"/>
      <c r="L18" s="1555" t="s">
        <v>969</v>
      </c>
      <c r="M18" s="1556">
        <f>ROUNDDOWN(IF(H19&gt;=E19,DATEDIF(E19,H19,"M")/3,DATEDIF(H19,E19,"M")/3),0)</f>
        <v>4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4">
        <f>IF(H19&lt;DATE(2014,8,28),0,ROUND(I19/F19,4))</f>
        <v>0</v>
      </c>
      <c r="D19" s="1467" t="s">
        <v>262</v>
      </c>
      <c r="E19" s="1506">
        <v>41640</v>
      </c>
      <c r="F19" s="1507">
        <f>ROUND(SUMIF(地价!B3:F3,E2,地价!B33:F33),0)</f>
        <v>423</v>
      </c>
      <c r="G19" s="1467" t="s">
        <v>263</v>
      </c>
      <c r="H19" s="1309">
        <f>主表!B4</f>
        <v>41232</v>
      </c>
      <c r="I19" s="1508">
        <f>ROUND(SUMPRODUCT((地价!A10:A33=YEAR(H19)&amp;"-"&amp;ROUNDUP(MONTH(H19)/3,0))*(地价!B3:F3=E2)*(地价!B10:F33)),0)</f>
        <v>0</v>
      </c>
      <c r="J19" s="1509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5">
        <f ca="1">ROUND(POWER(1+G20,J20-I20)*(POWER(1+G20,I20)-1)/(POWER(1+G20,J20)-1),4)</f>
        <v>0.97909999999999997</v>
      </c>
      <c r="D20" s="1468" t="s">
        <v>935</v>
      </c>
      <c r="E20" s="1469">
        <f ca="1">INDIRECT("'存贷款利率'!e"&amp;存贷款利率!$K$4)/100</f>
        <v>0.06</v>
      </c>
      <c r="F20" s="1466" t="s">
        <v>936</v>
      </c>
      <c r="G20" s="1470">
        <f ca="1">SUMIF(P18:S18,E2,P20:S20)</f>
        <v>6.9000000000000006E-2</v>
      </c>
      <c r="H20" s="1471" t="s">
        <v>1634</v>
      </c>
      <c r="I20" s="1024">
        <f>IF(H20="剩余土地使用年限",主表!B15,主表!B16)</f>
        <v>52.5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7.4999999999999997E-2</v>
      </c>
      <c r="Q20" s="608">
        <f ca="1">ROUND($E$20*(1+Q19),3)</f>
        <v>7.1999999999999995E-2</v>
      </c>
      <c r="R20" s="608">
        <f ca="1">ROUND($E$20*(1+R19),3)</f>
        <v>6.9000000000000006E-2</v>
      </c>
      <c r="S20" s="935">
        <f ca="1">ROUND($E$20*(1+S19),3)</f>
        <v>6.6000000000000003E-2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1" t="s">
        <v>1481</v>
      </c>
      <c r="D22" s="1461" t="e">
        <f>IF(E22=G22,F22,IF(G3&lt;=10,ROUND(F22+(H22-F22)*(G3-E22)/(G22-E22),4),"——"))</f>
        <v>#DIV/0!</v>
      </c>
      <c r="E22" s="1475" t="e">
        <f>ROUNDDOWN(G3,1)</f>
        <v>#DIV/0!</v>
      </c>
      <c r="F22" s="1476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4" t="e">
        <f>ROUNDUP(G3,1)</f>
        <v>#DIV/0!</v>
      </c>
      <c r="H22" s="1461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3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6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2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3" t="s">
        <v>1752</v>
      </c>
      <c r="C41" s="1544">
        <f ca="1">ROUND(POWER(1+E41,H41-G41)*(POWER(1+E41,G41)-1)/(POWER(1+E41,H41)-1),4)</f>
        <v>0</v>
      </c>
      <c r="D41" s="26" t="s">
        <v>1749</v>
      </c>
      <c r="E41" s="1542">
        <f ca="1">G20</f>
        <v>6.9000000000000006E-2</v>
      </c>
      <c r="F41" s="26" t="s">
        <v>1750</v>
      </c>
      <c r="G41" s="1545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7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8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7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8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8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8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1" t="s">
        <v>1159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53"/>
      <c r="L91" s="653"/>
      <c r="M91" s="653"/>
      <c r="N91" s="653"/>
    </row>
    <row r="92" spans="1:37">
      <c r="A92" s="1790" t="s">
        <v>1160</v>
      </c>
      <c r="B92" s="1790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1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2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1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2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2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2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2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2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2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2"/>
      <c r="B109" s="1794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3"/>
      <c r="B110" s="1795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9" t="s">
        <v>1175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土地等级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2021-05-07T07:15:29Z</dcterms:modified>
</cp:coreProperties>
</file>