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1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元)" sheetId="67" state="hidden" r:id="rId22"/>
    <sheet name="收益法-酒店模型" sheetId="77" state="hidden" r:id="rId23"/>
    <sheet name="收益法（汇总）" sheetId="70" state="hidden" r:id="rId24"/>
    <sheet name="基准地价修正" sheetId="43" r:id="rId25"/>
    <sheet name="土地比较法-住宅、综合" sheetId="39" r:id="rId26"/>
    <sheet name="土地案例" sheetId="82"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收益法" sheetId="15" r:id="rId35"/>
    <sheet name="典型户型修正" sheetId="31"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清单" sheetId="80" r:id="rId47"/>
    <sheet name="世园村中指成交" sheetId="81" r:id="rId48"/>
    <sheet name="二手房" sheetId="83" r:id="rId49"/>
    <sheet name="整租" sheetId="84" r:id="rId50"/>
  </sheets>
  <externalReferences>
    <externalReference r:id="rId51"/>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5"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4">基准地价修正!$A$1:$J$44,基准地价修正!$A$47:$H$101,基准地价修正!$R$1:$V$16</definedName>
    <definedName name="_xlnm.Print_Area" localSheetId="20">假设开发法!$A$1:$K$32</definedName>
    <definedName name="_xlnm.Print_Area" localSheetId="17">结果表!$A$1:$I$127</definedName>
    <definedName name="_xlnm.Print_Area" localSheetId="34">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3">'土地比较法-工业'!$A$1:$K$61,'土地比较法-工业'!$A$64:$M$121</definedName>
    <definedName name="_xlnm.Print_Area" localSheetId="2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J49" i="15" l="1"/>
  <c r="Y6" i="1"/>
  <c r="D33" i="43"/>
  <c r="B14" i="74" l="1"/>
  <c r="I46" i="39"/>
  <c r="I7" i="39"/>
  <c r="I5" i="39"/>
  <c r="G46" i="39"/>
  <c r="G7" i="39"/>
  <c r="G5" i="39"/>
  <c r="E46" i="39"/>
  <c r="E7" i="39"/>
  <c r="E5" i="39"/>
  <c r="D4" i="31" l="1"/>
  <c r="E4" i="31"/>
  <c r="F4" i="31"/>
  <c r="C4" i="31"/>
  <c r="D3" i="31"/>
  <c r="E3" i="31"/>
  <c r="F3" i="31"/>
  <c r="C3" i="31"/>
  <c r="D18" i="31"/>
  <c r="E18" i="31"/>
  <c r="F18" i="31"/>
  <c r="G18" i="31"/>
  <c r="H18" i="31"/>
  <c r="I18" i="31"/>
  <c r="J18" i="31"/>
  <c r="C18" i="31"/>
  <c r="D17" i="31"/>
  <c r="E17" i="31"/>
  <c r="F17" i="31"/>
  <c r="G17" i="31"/>
  <c r="H17" i="31"/>
  <c r="I17" i="31"/>
  <c r="J17" i="31"/>
  <c r="C17" i="31"/>
  <c r="I37" i="21"/>
  <c r="G37" i="21"/>
  <c r="E37" i="21"/>
  <c r="C37" i="21"/>
  <c r="C33" i="21"/>
  <c r="G73" i="43" l="1"/>
  <c r="G74" i="43"/>
  <c r="G75" i="43"/>
  <c r="G76" i="43"/>
  <c r="G77" i="43"/>
  <c r="G78" i="43"/>
  <c r="G79" i="43"/>
  <c r="G80" i="43"/>
  <c r="G72" i="43"/>
  <c r="G44" i="43"/>
  <c r="F20" i="6"/>
  <c r="I14" i="3"/>
  <c r="N6" i="1" l="1"/>
  <c r="F19" i="6"/>
  <c r="I13" i="3"/>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B24" i="31"/>
  <c r="A24" i="31"/>
  <c r="E45" i="80"/>
  <c r="D3" i="4"/>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4" i="73" l="1"/>
  <c r="F14" i="73"/>
  <c r="E14" i="73"/>
  <c r="G15" i="73"/>
  <c r="F15" i="73"/>
  <c r="E15"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N28" i="79" s="1"/>
  <c r="M39" i="79"/>
  <c r="T34" i="79" s="1"/>
  <c r="W34" i="79" s="1"/>
  <c r="L39" i="79"/>
  <c r="I39" i="79"/>
  <c r="AB33" i="79"/>
  <c r="AA33" i="79"/>
  <c r="AA28" i="79" s="1"/>
  <c r="AD28" i="79" s="1"/>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s="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c r="B82" i="71" s="1"/>
  <c r="D81" i="71"/>
  <c r="Q80" i="71"/>
  <c r="P80" i="71"/>
  <c r="O80" i="71"/>
  <c r="N80" i="71"/>
  <c r="F80" i="71"/>
  <c r="V80" i="71"/>
  <c r="E80" i="71"/>
  <c r="U80" i="71" s="1"/>
  <c r="C80" i="71"/>
  <c r="B80" i="71"/>
  <c r="S80" i="71" s="1"/>
  <c r="Q79" i="71"/>
  <c r="P79" i="71"/>
  <c r="O79" i="71"/>
  <c r="N79" i="71"/>
  <c r="F79" i="71"/>
  <c r="F78" i="71"/>
  <c r="Q78" i="71"/>
  <c r="P78" i="71"/>
  <c r="O78" i="71"/>
  <c r="N78" i="71"/>
  <c r="Q77" i="71"/>
  <c r="P77" i="71"/>
  <c r="O77" i="71"/>
  <c r="N77" i="71"/>
  <c r="D77" i="71"/>
  <c r="Q76" i="71"/>
  <c r="P76" i="71"/>
  <c r="O76" i="71"/>
  <c r="N76" i="71"/>
  <c r="F76" i="71"/>
  <c r="V76" i="71" s="1"/>
  <c r="E76" i="7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C55" i="71" s="1"/>
  <c r="C56" i="71" s="1"/>
  <c r="N53" i="71"/>
  <c r="B54" i="71" s="1"/>
  <c r="B55" i="71" s="1"/>
  <c r="B56" i="71"/>
  <c r="S56" i="71" s="1"/>
  <c r="D53" i="71"/>
  <c r="Q52" i="71"/>
  <c r="P52" i="71"/>
  <c r="O52" i="71"/>
  <c r="N52" i="71"/>
  <c r="Q51" i="71"/>
  <c r="P51" i="71"/>
  <c r="O51" i="71"/>
  <c r="N51" i="71"/>
  <c r="Q50" i="71"/>
  <c r="P50" i="71"/>
  <c r="O50" i="71"/>
  <c r="C51" i="71" s="1"/>
  <c r="C52" i="71" s="1"/>
  <c r="T52"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O39" i="71"/>
  <c r="N39" i="71"/>
  <c r="X39" i="71"/>
  <c r="Q38" i="71"/>
  <c r="P38" i="71"/>
  <c r="O38" i="71"/>
  <c r="Y38" i="71" s="1"/>
  <c r="Z38" i="71" s="1"/>
  <c r="N38" i="71"/>
  <c r="F38" i="71"/>
  <c r="F39" i="71" s="1"/>
  <c r="Q37" i="71"/>
  <c r="P37" i="71"/>
  <c r="O37" i="71"/>
  <c r="N37" i="71"/>
  <c r="B38" i="71" s="1"/>
  <c r="D37" i="71"/>
  <c r="Q36" i="71"/>
  <c r="AB36" i="71" s="1"/>
  <c r="P36" i="71"/>
  <c r="O36" i="71"/>
  <c r="N36" i="71"/>
  <c r="Q35" i="71"/>
  <c r="AB35" i="71"/>
  <c r="P35" i="71"/>
  <c r="O35" i="71"/>
  <c r="N35" i="71"/>
  <c r="Q34" i="71"/>
  <c r="AB34" i="71"/>
  <c r="P34" i="71"/>
  <c r="O34" i="71"/>
  <c r="N34" i="71"/>
  <c r="Q33" i="71"/>
  <c r="P33" i="71"/>
  <c r="O33" i="71"/>
  <c r="N33" i="71"/>
  <c r="X25" i="71" s="1"/>
  <c r="D33" i="71"/>
  <c r="Q32" i="71"/>
  <c r="P32" i="71"/>
  <c r="O32" i="71"/>
  <c r="N32" i="71"/>
  <c r="Q31" i="71"/>
  <c r="P31" i="71"/>
  <c r="O31" i="71"/>
  <c r="N31" i="71"/>
  <c r="Q30" i="71"/>
  <c r="P30" i="71"/>
  <c r="O30" i="71"/>
  <c r="N30" i="71"/>
  <c r="Q29" i="71"/>
  <c r="F30" i="71" s="1"/>
  <c r="F31" i="71" s="1"/>
  <c r="F32" i="71" s="1"/>
  <c r="V32" i="71" s="1"/>
  <c r="P29" i="71"/>
  <c r="O29" i="71"/>
  <c r="N29" i="71"/>
  <c r="D29" i="71"/>
  <c r="O28" i="71"/>
  <c r="N28" i="71"/>
  <c r="B30" i="71"/>
  <c r="B31" i="71"/>
  <c r="B32" i="71" s="1"/>
  <c r="S32" i="71" s="1"/>
  <c r="E30" i="71"/>
  <c r="E31" i="71" s="1"/>
  <c r="E32" i="71" s="1"/>
  <c r="U32" i="71" s="1"/>
  <c r="B39" i="71"/>
  <c r="B40" i="71" s="1"/>
  <c r="S40" i="71" s="1"/>
  <c r="E34" i="71"/>
  <c r="C30" i="71"/>
  <c r="X31" i="71"/>
  <c r="C34" i="71"/>
  <c r="D34" i="71" s="1"/>
  <c r="C35" i="71"/>
  <c r="C36" i="71" s="1"/>
  <c r="X34" i="71"/>
  <c r="C38" i="71"/>
  <c r="F51" i="71"/>
  <c r="F52" i="71" s="1"/>
  <c r="V52" i="71" s="1"/>
  <c r="B28" i="71"/>
  <c r="B27" i="71" s="1"/>
  <c r="B26" i="71"/>
  <c r="D30" i="71"/>
  <c r="D50" i="71"/>
  <c r="P28" i="71"/>
  <c r="E60" i="71"/>
  <c r="U60" i="71" s="1"/>
  <c r="U68" i="71"/>
  <c r="E67" i="71"/>
  <c r="Q28" i="71"/>
  <c r="D54" i="71"/>
  <c r="C59" i="71"/>
  <c r="D58" i="71"/>
  <c r="C63" i="71"/>
  <c r="C64" i="71" s="1"/>
  <c r="D62" i="71"/>
  <c r="T68" i="71"/>
  <c r="O68" i="71"/>
  <c r="D68" i="71"/>
  <c r="C67" i="71"/>
  <c r="D67" i="71" s="1"/>
  <c r="Q68" i="71"/>
  <c r="E71" i="71"/>
  <c r="E70" i="71"/>
  <c r="C75" i="71"/>
  <c r="D76" i="71"/>
  <c r="E79" i="71"/>
  <c r="E78" i="71"/>
  <c r="D80" i="71"/>
  <c r="C87" i="71"/>
  <c r="C86" i="71" s="1"/>
  <c r="D86" i="71" s="1"/>
  <c r="F28" i="71"/>
  <c r="F27" i="71"/>
  <c r="F26" i="71"/>
  <c r="C66" i="71"/>
  <c r="O65" i="71" s="1"/>
  <c r="D63" i="71"/>
  <c r="D75" i="71"/>
  <c r="C74" i="71"/>
  <c r="D74" i="71" s="1"/>
  <c r="D87" i="71"/>
  <c r="C60" i="71"/>
  <c r="D60" i="71" s="1"/>
  <c r="D59" i="71"/>
  <c r="D55" i="71"/>
  <c r="P67" i="71"/>
  <c r="E66" i="71"/>
  <c r="P65" i="71" s="1"/>
  <c r="D51" i="71"/>
  <c r="D35" i="71"/>
  <c r="P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S18" i="35" s="1"/>
  <c r="C18" i="35"/>
  <c r="Z21" i="37"/>
  <c r="Q21" i="37"/>
  <c r="D77" i="37"/>
  <c r="E77" i="37" s="1"/>
  <c r="F77" i="37" s="1"/>
  <c r="G77" i="37" s="1"/>
  <c r="C21" i="37"/>
  <c r="Q21" i="34"/>
  <c r="Z21" i="34" s="1"/>
  <c r="D84" i="34"/>
  <c r="E84" i="34" s="1"/>
  <c r="F84" i="34" s="1"/>
  <c r="G84" i="34" s="1"/>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57" i="43"/>
  <c r="B68" i="43"/>
  <c r="C29" i="39"/>
  <c r="S25" i="40"/>
  <c r="S21" i="34"/>
  <c r="H25" i="40"/>
  <c r="AB25" i="40" s="1"/>
  <c r="J25" i="40"/>
  <c r="H29" i="39"/>
  <c r="AB29" i="39" s="1"/>
  <c r="J29" i="39"/>
  <c r="J18" i="36"/>
  <c r="AC18" i="36" s="1"/>
  <c r="H18" i="35"/>
  <c r="AB18" i="35" s="1"/>
  <c r="J18" i="35"/>
  <c r="H21" i="37"/>
  <c r="F21" i="37"/>
  <c r="AA21" i="37" s="1"/>
  <c r="H21" i="34"/>
  <c r="AB21" i="34" s="1"/>
  <c r="H21" i="33"/>
  <c r="U21" i="33" s="1"/>
  <c r="F21" i="33"/>
  <c r="AA21" i="33" s="1"/>
  <c r="E83" i="21"/>
  <c r="F83" i="21" s="1"/>
  <c r="G83" i="21" s="1"/>
  <c r="H1" i="69"/>
  <c r="AC25" i="40"/>
  <c r="W25" i="40"/>
  <c r="U25" i="40"/>
  <c r="U29" i="39"/>
  <c r="W18" i="36"/>
  <c r="AB21" i="37"/>
  <c r="U21" i="37"/>
  <c r="U21" i="34"/>
  <c r="AB21" i="33"/>
  <c r="AC18" i="35"/>
  <c r="W18" i="35"/>
  <c r="J21" i="37"/>
  <c r="W21" i="37" s="1"/>
  <c r="J21" i="34"/>
  <c r="W21" i="34" s="1"/>
  <c r="J21" i="33"/>
  <c r="W21" i="33" s="1"/>
  <c r="H21" i="21"/>
  <c r="U21" i="21" s="1"/>
  <c r="F38" i="69"/>
  <c r="E37" i="69"/>
  <c r="F36" i="69"/>
  <c r="F35" i="69"/>
  <c r="F21" i="69"/>
  <c r="F40" i="69" s="1"/>
  <c r="F20" i="69"/>
  <c r="F39" i="69" s="1"/>
  <c r="E10" i="69"/>
  <c r="E9" i="69"/>
  <c r="AC21" i="37"/>
  <c r="AC21" i="33"/>
  <c r="J21" i="21"/>
  <c r="C40" i="69"/>
  <c r="F38" i="68"/>
  <c r="E37" i="68"/>
  <c r="F36" i="68"/>
  <c r="F35" i="68"/>
  <c r="F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K88" i="3"/>
  <c r="BJ88" i="3"/>
  <c r="BI88" i="3"/>
  <c r="BH88" i="3"/>
  <c r="BG88" i="3"/>
  <c r="BF88" i="3"/>
  <c r="BE88" i="3"/>
  <c r="BD88" i="3"/>
  <c r="BC88" i="3"/>
  <c r="BA88" i="3" s="1"/>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L86" i="3" s="1"/>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L79" i="3" s="1"/>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L69" i="3" s="1"/>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L64" i="3" s="1"/>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A50" i="3" s="1"/>
  <c r="BB50" i="3"/>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L45" i="3" s="1"/>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A43" i="3" s="1"/>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A40" i="3" s="1"/>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A33" i="3" s="1"/>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A30" i="3" s="1"/>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A22" i="3" s="1"/>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A194" i="3" s="1"/>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L175" i="3" s="1"/>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A134" i="3" s="1"/>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G128" i="3" s="1"/>
  <c r="H128" i="3"/>
  <c r="BT127" i="3"/>
  <c r="BS127" i="3"/>
  <c r="BR127" i="3"/>
  <c r="BQ127" i="3"/>
  <c r="BP127" i="3"/>
  <c r="BO127" i="3"/>
  <c r="BL127" i="3" s="1"/>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S101" i="31" s="1"/>
  <c r="R102" i="31"/>
  <c r="R103" i="31"/>
  <c r="R104" i="31"/>
  <c r="R105" i="31"/>
  <c r="S105" i="31" s="1"/>
  <c r="R106" i="31"/>
  <c r="R107" i="31"/>
  <c r="R108" i="31"/>
  <c r="R109" i="31"/>
  <c r="S109" i="31" s="1"/>
  <c r="R110" i="31"/>
  <c r="R111" i="31"/>
  <c r="R112" i="31"/>
  <c r="R113" i="31"/>
  <c r="R114" i="31"/>
  <c r="R115" i="31"/>
  <c r="R116" i="31"/>
  <c r="R117" i="31"/>
  <c r="R118" i="31"/>
  <c r="R119" i="31"/>
  <c r="R120" i="31"/>
  <c r="R121" i="31"/>
  <c r="R122" i="31"/>
  <c r="R123" i="31"/>
  <c r="R124" i="31"/>
  <c r="R125" i="31"/>
  <c r="S125" i="31" s="1"/>
  <c r="R126" i="31"/>
  <c r="R127" i="31"/>
  <c r="R128" i="31"/>
  <c r="R129" i="31"/>
  <c r="S129" i="31" s="1"/>
  <c r="R130" i="31"/>
  <c r="R131" i="31"/>
  <c r="R132" i="31"/>
  <c r="R133" i="31"/>
  <c r="S133" i="31" s="1"/>
  <c r="R134" i="31"/>
  <c r="R135" i="31"/>
  <c r="R136" i="31"/>
  <c r="R137" i="31"/>
  <c r="S137" i="31" s="1"/>
  <c r="R138" i="31"/>
  <c r="R139" i="31"/>
  <c r="R140" i="31"/>
  <c r="R141" i="31"/>
  <c r="S141" i="31" s="1"/>
  <c r="R142" i="31"/>
  <c r="R143" i="31"/>
  <c r="R144" i="31"/>
  <c r="R145" i="31"/>
  <c r="S145" i="31" s="1"/>
  <c r="R146" i="31"/>
  <c r="R147" i="31"/>
  <c r="R148" i="31"/>
  <c r="R149" i="31"/>
  <c r="S149" i="31" s="1"/>
  <c r="R150" i="31"/>
  <c r="R151" i="31"/>
  <c r="R152" i="31"/>
  <c r="R153" i="31"/>
  <c r="S153" i="31" s="1"/>
  <c r="R154" i="31"/>
  <c r="R155" i="31"/>
  <c r="R156" i="31"/>
  <c r="R157" i="31"/>
  <c r="S157" i="31" s="1"/>
  <c r="R158" i="31"/>
  <c r="R159" i="31"/>
  <c r="R160" i="31"/>
  <c r="R161" i="31"/>
  <c r="S161" i="31" s="1"/>
  <c r="R162" i="31"/>
  <c r="R163" i="31"/>
  <c r="R164" i="31"/>
  <c r="R165" i="31"/>
  <c r="S165" i="31" s="1"/>
  <c r="R166" i="31"/>
  <c r="R167" i="31"/>
  <c r="R168" i="31"/>
  <c r="R169" i="31"/>
  <c r="S169" i="31" s="1"/>
  <c r="R170" i="31"/>
  <c r="R171" i="31"/>
  <c r="R172" i="31"/>
  <c r="R173" i="31"/>
  <c r="S173" i="31" s="1"/>
  <c r="R174" i="31"/>
  <c r="R175" i="31"/>
  <c r="R176" i="31"/>
  <c r="R177" i="31"/>
  <c r="S177" i="31" s="1"/>
  <c r="R178" i="31"/>
  <c r="R179" i="31"/>
  <c r="R180" i="31"/>
  <c r="R181" i="31"/>
  <c r="S181" i="31" s="1"/>
  <c r="R182" i="31"/>
  <c r="R183" i="31"/>
  <c r="R184" i="31"/>
  <c r="R185" i="31"/>
  <c r="S185" i="31" s="1"/>
  <c r="R186" i="31"/>
  <c r="R187" i="31"/>
  <c r="R188" i="31"/>
  <c r="R189" i="31"/>
  <c r="S189" i="31" s="1"/>
  <c r="R190" i="31"/>
  <c r="R191" i="31"/>
  <c r="R192" i="31"/>
  <c r="R193" i="31"/>
  <c r="S193" i="31" s="1"/>
  <c r="R194" i="31"/>
  <c r="R195" i="31"/>
  <c r="R196" i="31"/>
  <c r="R197" i="31"/>
  <c r="S197" i="31" s="1"/>
  <c r="R198" i="31"/>
  <c r="R199" i="31"/>
  <c r="R200" i="31"/>
  <c r="R201" i="31"/>
  <c r="S201" i="31" s="1"/>
  <c r="R202" i="31"/>
  <c r="R203" i="31"/>
  <c r="R204" i="31"/>
  <c r="R205" i="31"/>
  <c r="S205" i="31" s="1"/>
  <c r="R206" i="31"/>
  <c r="R207" i="31"/>
  <c r="R208" i="31"/>
  <c r="R209" i="31"/>
  <c r="S209" i="31" s="1"/>
  <c r="R210" i="31"/>
  <c r="R211" i="31"/>
  <c r="R212" i="31"/>
  <c r="R213" i="31"/>
  <c r="S213" i="31" s="1"/>
  <c r="R214" i="31"/>
  <c r="R215" i="31"/>
  <c r="R216" i="31"/>
  <c r="R217" i="31"/>
  <c r="S217" i="31" s="1"/>
  <c r="R218" i="31"/>
  <c r="R219" i="31"/>
  <c r="R220" i="31"/>
  <c r="R221" i="31"/>
  <c r="S221" i="31" s="1"/>
  <c r="R222" i="31"/>
  <c r="R223" i="31"/>
  <c r="R224" i="31"/>
  <c r="R225" i="31"/>
  <c r="S225" i="31" s="1"/>
  <c r="R226" i="31"/>
  <c r="R227" i="31"/>
  <c r="R228" i="31"/>
  <c r="R229" i="31"/>
  <c r="S229" i="31" s="1"/>
  <c r="R230" i="31"/>
  <c r="R231" i="31"/>
  <c r="R232" i="31"/>
  <c r="R233" i="31"/>
  <c r="S233" i="31" s="1"/>
  <c r="R234" i="31"/>
  <c r="R235" i="31"/>
  <c r="R236" i="31"/>
  <c r="R237" i="31"/>
  <c r="S237" i="31" s="1"/>
  <c r="R238" i="31"/>
  <c r="R239" i="31"/>
  <c r="R240" i="31"/>
  <c r="R241" i="31"/>
  <c r="S241" i="31" s="1"/>
  <c r="R242" i="31"/>
  <c r="R243" i="31"/>
  <c r="R244" i="31"/>
  <c r="R245" i="31"/>
  <c r="S245" i="31" s="1"/>
  <c r="R246" i="31"/>
  <c r="R247" i="31"/>
  <c r="R248" i="31"/>
  <c r="R249" i="31"/>
  <c r="S249" i="31" s="1"/>
  <c r="R250" i="31"/>
  <c r="R251" i="3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S292" i="31" s="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R451" i="31"/>
  <c r="S451" i="31" s="1"/>
  <c r="R452" i="31"/>
  <c r="R453" i="31"/>
  <c r="R454" i="31"/>
  <c r="R455" i="31"/>
  <c r="S455" i="31" s="1"/>
  <c r="R456" i="31"/>
  <c r="R457" i="31"/>
  <c r="R458" i="31"/>
  <c r="R459" i="31"/>
  <c r="S459" i="31" s="1"/>
  <c r="R460" i="31"/>
  <c r="R461" i="31"/>
  <c r="R462" i="31"/>
  <c r="R463" i="31"/>
  <c r="S463" i="31" s="1"/>
  <c r="R464" i="3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S499" i="31" s="1"/>
  <c r="R500" i="31"/>
  <c r="R501" i="31"/>
  <c r="R502" i="31"/>
  <c r="R503" i="31"/>
  <c r="R504" i="31"/>
  <c r="R505" i="31"/>
  <c r="R506" i="31"/>
  <c r="R507" i="31"/>
  <c r="S507" i="31" s="1"/>
  <c r="R508" i="31"/>
  <c r="R509" i="31"/>
  <c r="R510" i="31"/>
  <c r="R511" i="31"/>
  <c r="S511" i="31" s="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58" i="31"/>
  <c r="S354" i="31"/>
  <c r="S350" i="31"/>
  <c r="S346" i="31"/>
  <c r="S342" i="31"/>
  <c r="S338" i="31"/>
  <c r="S334" i="31"/>
  <c r="S330" i="31"/>
  <c r="S326" i="31"/>
  <c r="S322" i="31"/>
  <c r="S424" i="31"/>
  <c r="S320" i="31"/>
  <c r="S318" i="31"/>
  <c r="S314" i="31"/>
  <c r="S312" i="31"/>
  <c r="S310" i="31"/>
  <c r="S306" i="31"/>
  <c r="S304" i="31"/>
  <c r="S302" i="31"/>
  <c r="S298" i="31"/>
  <c r="S296" i="31"/>
  <c r="S294" i="31"/>
  <c r="S290" i="31"/>
  <c r="S288" i="31"/>
  <c r="S286" i="31"/>
  <c r="S284" i="31"/>
  <c r="S282" i="31"/>
  <c r="S280" i="31"/>
  <c r="S278" i="31"/>
  <c r="S276" i="31"/>
  <c r="S274" i="31"/>
  <c r="S272" i="31"/>
  <c r="S270" i="31"/>
  <c r="S268" i="31"/>
  <c r="S266" i="31"/>
  <c r="S264" i="31"/>
  <c r="S262" i="31"/>
  <c r="S260" i="31"/>
  <c r="S258" i="31"/>
  <c r="S256" i="31"/>
  <c r="S254" i="31"/>
  <c r="S252" i="31"/>
  <c r="S251" i="31"/>
  <c r="S250" i="31"/>
  <c r="S248" i="31"/>
  <c r="S247" i="31"/>
  <c r="S246" i="31"/>
  <c r="S244" i="31"/>
  <c r="S243" i="31"/>
  <c r="S242" i="31"/>
  <c r="S240" i="31"/>
  <c r="S239" i="31"/>
  <c r="S238" i="31"/>
  <c r="S236" i="31"/>
  <c r="S235" i="31"/>
  <c r="S234" i="31"/>
  <c r="S232" i="31"/>
  <c r="S231" i="31"/>
  <c r="S230" i="31"/>
  <c r="S228" i="31"/>
  <c r="S227" i="31"/>
  <c r="S226" i="31"/>
  <c r="S224" i="31"/>
  <c r="S223" i="31"/>
  <c r="S429" i="31"/>
  <c r="S428" i="31"/>
  <c r="S426" i="31"/>
  <c r="S425" i="31"/>
  <c r="S222" i="31"/>
  <c r="S220" i="31"/>
  <c r="S219" i="31"/>
  <c r="S218" i="31"/>
  <c r="S216" i="31"/>
  <c r="S215" i="31"/>
  <c r="S214" i="31"/>
  <c r="S212" i="31"/>
  <c r="S211" i="31"/>
  <c r="S210" i="31"/>
  <c r="S208" i="31"/>
  <c r="S207" i="31"/>
  <c r="S206" i="31"/>
  <c r="S204" i="31"/>
  <c r="S203" i="31"/>
  <c r="S202" i="31"/>
  <c r="S200" i="31"/>
  <c r="S199" i="31"/>
  <c r="S198" i="31"/>
  <c r="S196" i="31"/>
  <c r="S195" i="31"/>
  <c r="S194" i="31"/>
  <c r="S192" i="31"/>
  <c r="S191" i="31"/>
  <c r="S190" i="31"/>
  <c r="S188" i="31"/>
  <c r="S187" i="31"/>
  <c r="S186" i="31"/>
  <c r="S184" i="31"/>
  <c r="S183" i="31"/>
  <c r="S182" i="31"/>
  <c r="S180" i="31"/>
  <c r="S179" i="31"/>
  <c r="S178" i="31"/>
  <c r="S176" i="31"/>
  <c r="S175" i="31"/>
  <c r="S174" i="31"/>
  <c r="S172" i="31"/>
  <c r="S171" i="31"/>
  <c r="S170" i="31"/>
  <c r="S168" i="31"/>
  <c r="S167" i="31"/>
  <c r="S166" i="31"/>
  <c r="S164" i="31"/>
  <c r="S163" i="31"/>
  <c r="S162" i="31"/>
  <c r="S160" i="31"/>
  <c r="S159" i="31"/>
  <c r="S158" i="31"/>
  <c r="S156" i="31"/>
  <c r="S155" i="31"/>
  <c r="S154" i="31"/>
  <c r="S152" i="31"/>
  <c r="S151" i="31"/>
  <c r="S150" i="31"/>
  <c r="S148" i="31"/>
  <c r="S147" i="31"/>
  <c r="S146" i="31"/>
  <c r="S144" i="31"/>
  <c r="S143" i="31"/>
  <c r="S142" i="31"/>
  <c r="S140" i="31"/>
  <c r="S139" i="31"/>
  <c r="S138" i="31"/>
  <c r="S136" i="31"/>
  <c r="S135" i="31"/>
  <c r="S134" i="31"/>
  <c r="S132" i="31"/>
  <c r="S131" i="31"/>
  <c r="S130" i="31"/>
  <c r="S128" i="31"/>
  <c r="S127" i="31"/>
  <c r="S126"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1" i="31"/>
  <c r="S440" i="31"/>
  <c r="S438" i="31"/>
  <c r="S437" i="31"/>
  <c r="S436" i="31"/>
  <c r="S434" i="31"/>
  <c r="S433" i="31"/>
  <c r="S432" i="31"/>
  <c r="S430" i="31"/>
  <c r="S122" i="31"/>
  <c r="S121" i="31"/>
  <c r="S120" i="31"/>
  <c r="S119" i="31"/>
  <c r="S118" i="31"/>
  <c r="S117" i="31"/>
  <c r="S116" i="31"/>
  <c r="S115" i="31"/>
  <c r="S114" i="31"/>
  <c r="S113" i="31"/>
  <c r="S112" i="31"/>
  <c r="S506" i="31"/>
  <c r="S504" i="31"/>
  <c r="S502" i="31"/>
  <c r="S500" i="31"/>
  <c r="S498" i="31"/>
  <c r="S466" i="31"/>
  <c r="S465" i="31"/>
  <c r="S464" i="31"/>
  <c r="S462" i="31"/>
  <c r="S461" i="31"/>
  <c r="S460" i="31"/>
  <c r="S458" i="31"/>
  <c r="S457" i="31"/>
  <c r="S456" i="31"/>
  <c r="S454" i="31"/>
  <c r="S453" i="31"/>
  <c r="S452" i="31"/>
  <c r="S450" i="31"/>
  <c r="S77" i="31"/>
  <c r="S76" i="31"/>
  <c r="S75" i="31"/>
  <c r="S74" i="31"/>
  <c r="S73" i="31"/>
  <c r="S72" i="31"/>
  <c r="S71" i="31"/>
  <c r="S70" i="31"/>
  <c r="S69" i="31"/>
  <c r="S68" i="31"/>
  <c r="S67" i="31"/>
  <c r="S66" i="31"/>
  <c r="S65" i="31"/>
  <c r="S97" i="31"/>
  <c r="S96" i="31"/>
  <c r="S95" i="31"/>
  <c r="S94" i="31"/>
  <c r="S93" i="31"/>
  <c r="S92" i="31"/>
  <c r="S91" i="31"/>
  <c r="S90" i="31"/>
  <c r="S89" i="31"/>
  <c r="S88" i="31"/>
  <c r="S87" i="31"/>
  <c r="S86" i="31"/>
  <c r="S85" i="31"/>
  <c r="S84" i="31"/>
  <c r="S83" i="31"/>
  <c r="S82" i="31"/>
  <c r="S81" i="31"/>
  <c r="S80" i="31"/>
  <c r="S79" i="31"/>
  <c r="S78" i="31"/>
  <c r="S98" i="31"/>
  <c r="S99" i="31"/>
  <c r="S100" i="31"/>
  <c r="S102" i="31"/>
  <c r="S103" i="31"/>
  <c r="S104" i="31"/>
  <c r="S106" i="31"/>
  <c r="S107" i="31"/>
  <c r="S108" i="31"/>
  <c r="S110" i="31"/>
  <c r="S111" i="31"/>
  <c r="S445" i="31"/>
  <c r="S446"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c r="D115" i="40"/>
  <c r="E115" i="40" s="1"/>
  <c r="F115" i="40" s="1"/>
  <c r="G115" i="40" s="1"/>
  <c r="H115" i="40" s="1"/>
  <c r="I115" i="40" s="1"/>
  <c r="J115" i="40"/>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AC30" i="36"/>
  <c r="Q29" i="36"/>
  <c r="Z29" i="36" s="1"/>
  <c r="Q28" i="36"/>
  <c r="Z28" i="36" s="1"/>
  <c r="J28" i="36"/>
  <c r="AC28" i="36" s="1"/>
  <c r="Q27" i="36"/>
  <c r="Z27" i="36" s="1"/>
  <c r="Q26" i="36"/>
  <c r="Z26" i="36" s="1"/>
  <c r="H26" i="36"/>
  <c r="AB26" i="36"/>
  <c r="Q25" i="36"/>
  <c r="Z25" i="36" s="1"/>
  <c r="Q24" i="36"/>
  <c r="Z24" i="36" s="1"/>
  <c r="H24" i="36"/>
  <c r="AB24" i="36" s="1"/>
  <c r="Q23" i="36"/>
  <c r="Z23" i="36" s="1"/>
  <c r="AB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J23" i="35" s="1"/>
  <c r="AC23" i="35" s="1"/>
  <c r="B57" i="35"/>
  <c r="B61" i="35"/>
  <c r="B59" i="35"/>
  <c r="F12" i="35" s="1"/>
  <c r="B131" i="34"/>
  <c r="B129" i="34"/>
  <c r="B127" i="34"/>
  <c r="B99" i="34"/>
  <c r="B97" i="34"/>
  <c r="B95" i="34"/>
  <c r="B93" i="34"/>
  <c r="B75" i="34"/>
  <c r="B73" i="34"/>
  <c r="B71" i="34"/>
  <c r="B130" i="33"/>
  <c r="B128" i="33"/>
  <c r="B126" i="33"/>
  <c r="B98" i="33"/>
  <c r="B96" i="33"/>
  <c r="B94" i="33"/>
  <c r="B74" i="33"/>
  <c r="B72" i="33"/>
  <c r="B70" i="33"/>
  <c r="J12" i="33" s="1"/>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c r="Q34" i="35"/>
  <c r="Z34" i="35" s="1"/>
  <c r="H34" i="35"/>
  <c r="AB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H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H54" i="33"/>
  <c r="F54" i="33"/>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s="1"/>
  <c r="Q17" i="33"/>
  <c r="Z17" i="33" s="1"/>
  <c r="Q15" i="33"/>
  <c r="Z15" i="33"/>
  <c r="F15" i="33"/>
  <c r="AA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s="1"/>
  <c r="E81" i="21"/>
  <c r="F81" i="21" s="1"/>
  <c r="G81" i="21" s="1"/>
  <c r="D77" i="21"/>
  <c r="E77" i="21" s="1"/>
  <c r="B130" i="21"/>
  <c r="B128" i="21"/>
  <c r="J45" i="21"/>
  <c r="W45" i="21" s="1"/>
  <c r="B126" i="21"/>
  <c r="B98" i="21"/>
  <c r="H31" i="21" s="1"/>
  <c r="AB31" i="21" s="1"/>
  <c r="B96" i="21"/>
  <c r="B94" i="21"/>
  <c r="J29" i="21"/>
  <c r="AC29" i="21" s="1"/>
  <c r="B92" i="21"/>
  <c r="B90" i="21"/>
  <c r="J27" i="21"/>
  <c r="W27" i="21" s="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S35" i="21" s="1"/>
  <c r="J10" i="21"/>
  <c r="AC10" i="21" s="1"/>
  <c r="H26" i="21"/>
  <c r="AB26" i="21" s="1"/>
  <c r="AB19" i="21"/>
  <c r="J19" i="21"/>
  <c r="W19" i="21"/>
  <c r="J26" i="21"/>
  <c r="W26" i="21" s="1"/>
  <c r="F26" i="21"/>
  <c r="S26" i="21"/>
  <c r="AB41" i="21"/>
  <c r="S41" i="21"/>
  <c r="AA41" i="21"/>
  <c r="F45" i="39"/>
  <c r="S45" i="39" s="1"/>
  <c r="J45" i="39"/>
  <c r="W45" i="39" s="1"/>
  <c r="J44" i="39"/>
  <c r="AC44" i="39"/>
  <c r="F36" i="39"/>
  <c r="S36" i="39" s="1"/>
  <c r="H36" i="39"/>
  <c r="AB36" i="39"/>
  <c r="J35" i="39"/>
  <c r="AC35" i="39" s="1"/>
  <c r="F35" i="39"/>
  <c r="AA35" i="39" s="1"/>
  <c r="J36" i="39"/>
  <c r="AC36" i="39" s="1"/>
  <c r="W40" i="39"/>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U34" i="35"/>
  <c r="F36" i="34"/>
  <c r="J35" i="34"/>
  <c r="U34" i="34"/>
  <c r="H39" i="33"/>
  <c r="AB39" i="33" s="1"/>
  <c r="F26" i="33"/>
  <c r="AA26" i="33"/>
  <c r="U33" i="33"/>
  <c r="U35" i="33"/>
  <c r="S40" i="33"/>
  <c r="W33" i="33"/>
  <c r="W39" i="33"/>
  <c r="H39" i="37"/>
  <c r="AB39" i="37"/>
  <c r="S27" i="35"/>
  <c r="F11" i="40"/>
  <c r="AA11" i="40" s="1"/>
  <c r="H11" i="40"/>
  <c r="AB11" i="40"/>
  <c r="W8"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W17" i="39" s="1"/>
  <c r="J27" i="39"/>
  <c r="AC27" i="39" s="1"/>
  <c r="F27" i="39"/>
  <c r="AA27" i="39" s="1"/>
  <c r="F11" i="21"/>
  <c r="S11" i="21" s="1"/>
  <c r="C25" i="39"/>
  <c r="H11" i="39"/>
  <c r="S40" i="39"/>
  <c r="C15" i="39"/>
  <c r="H32" i="33"/>
  <c r="AB32" i="33" s="1"/>
  <c r="H11" i="21"/>
  <c r="U11" i="21" s="1"/>
  <c r="J11" i="21"/>
  <c r="W11" i="21" s="1"/>
  <c r="H37" i="40"/>
  <c r="U37" i="40" s="1"/>
  <c r="H36" i="40"/>
  <c r="AB36" i="40" s="1"/>
  <c r="F35" i="40"/>
  <c r="AA35" i="40"/>
  <c r="H23" i="40"/>
  <c r="AB23" i="40" s="1"/>
  <c r="H17" i="40"/>
  <c r="U17" i="40" s="1"/>
  <c r="J15" i="40"/>
  <c r="W15" i="40" s="1"/>
  <c r="J11" i="40"/>
  <c r="W11" i="40" s="1"/>
  <c r="AB8" i="39"/>
  <c r="AB12" i="35"/>
  <c r="AB12" i="36"/>
  <c r="W32" i="40"/>
  <c r="S44" i="39"/>
  <c r="F37" i="39"/>
  <c r="AA37" i="39" s="1"/>
  <c r="J34" i="36"/>
  <c r="W34" i="36"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AA15" i="34" s="1"/>
  <c r="J15" i="34"/>
  <c r="H15" i="34"/>
  <c r="AB15" i="34" s="1"/>
  <c r="W8" i="34"/>
  <c r="J28" i="34"/>
  <c r="W28" i="34" s="1"/>
  <c r="F41" i="33"/>
  <c r="S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c r="F15" i="40"/>
  <c r="S15" i="40" s="1"/>
  <c r="H15" i="40"/>
  <c r="AB15" i="40" s="1"/>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AB23" i="34"/>
  <c r="F23" i="34"/>
  <c r="AA23" i="34"/>
  <c r="J19" i="34"/>
  <c r="AC19" i="34" s="1"/>
  <c r="F17" i="34"/>
  <c r="AA17" i="34" s="1"/>
  <c r="J17" i="34"/>
  <c r="W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c r="J42" i="21"/>
  <c r="AC42" i="21"/>
  <c r="H42" i="21"/>
  <c r="U42" i="21"/>
  <c r="J44" i="34"/>
  <c r="F44" i="34"/>
  <c r="S44" i="34" s="1"/>
  <c r="J10" i="35"/>
  <c r="AC10" i="35" s="1"/>
  <c r="J14" i="21"/>
  <c r="W14" i="21"/>
  <c r="F14" i="21"/>
  <c r="S14" i="21" s="1"/>
  <c r="H14" i="21"/>
  <c r="U14" i="21" s="1"/>
  <c r="H28" i="21"/>
  <c r="AB28" i="21" s="1"/>
  <c r="F28" i="21"/>
  <c r="AA28" i="21"/>
  <c r="J28" i="21"/>
  <c r="W28" i="21" s="1"/>
  <c r="H30" i="21"/>
  <c r="AB30" i="21" s="1"/>
  <c r="F30" i="21"/>
  <c r="S30" i="21" s="1"/>
  <c r="J30" i="21"/>
  <c r="AC30" i="21"/>
  <c r="J44" i="21"/>
  <c r="AC44" i="21" s="1"/>
  <c r="H44" i="21"/>
  <c r="U44" i="21" s="1"/>
  <c r="F44" i="21"/>
  <c r="AA44"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c r="F45" i="21"/>
  <c r="AA45" i="21" s="1"/>
  <c r="F27" i="33"/>
  <c r="AA27" i="33" s="1"/>
  <c r="J13" i="33"/>
  <c r="H13" i="33"/>
  <c r="U13" i="33" s="1"/>
  <c r="F13" i="33"/>
  <c r="S13" i="33" s="1"/>
  <c r="J29" i="33"/>
  <c r="H29" i="33"/>
  <c r="U29" i="33"/>
  <c r="F29" i="33"/>
  <c r="S29" i="33" s="1"/>
  <c r="J31" i="33"/>
  <c r="W31" i="33" s="1"/>
  <c r="H31" i="33"/>
  <c r="F31" i="33"/>
  <c r="H45" i="33"/>
  <c r="U45" i="33" s="1"/>
  <c r="J45" i="33"/>
  <c r="W45" i="33" s="1"/>
  <c r="F45" i="33"/>
  <c r="AA45" i="33"/>
  <c r="J14" i="34"/>
  <c r="W14" i="34" s="1"/>
  <c r="F14" i="34"/>
  <c r="S14" i="34" s="1"/>
  <c r="H14" i="34"/>
  <c r="H30" i="34"/>
  <c r="F30" i="34"/>
  <c r="S30" i="34" s="1"/>
  <c r="J30" i="34"/>
  <c r="H32" i="34"/>
  <c r="F32" i="34"/>
  <c r="J32" i="34"/>
  <c r="W32" i="34" s="1"/>
  <c r="H46" i="34"/>
  <c r="AB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AC40" i="37"/>
  <c r="F40" i="37"/>
  <c r="AA40" i="37" s="1"/>
  <c r="AC12" i="40"/>
  <c r="W12" i="40"/>
  <c r="H14" i="33"/>
  <c r="U14" i="33" s="1"/>
  <c r="F14" i="33"/>
  <c r="S14" i="33"/>
  <c r="J14" i="33"/>
  <c r="H30" i="33"/>
  <c r="AB30" i="33" s="1"/>
  <c r="F30" i="33"/>
  <c r="J30" i="33"/>
  <c r="H44" i="33"/>
  <c r="J44" i="33"/>
  <c r="AC44" i="33"/>
  <c r="F44" i="33"/>
  <c r="S44" i="33" s="1"/>
  <c r="J46" i="33"/>
  <c r="AC46" i="33" s="1"/>
  <c r="F46" i="33"/>
  <c r="AA46" i="33" s="1"/>
  <c r="H46" i="33"/>
  <c r="AB46" i="33"/>
  <c r="H13" i="34"/>
  <c r="U13" i="34" s="1"/>
  <c r="J13" i="34"/>
  <c r="W13" i="34" s="1"/>
  <c r="F13" i="34"/>
  <c r="AA13" i="34" s="1"/>
  <c r="J29" i="34"/>
  <c r="F29" i="34"/>
  <c r="S29" i="34" s="1"/>
  <c r="H29" i="34"/>
  <c r="AB29" i="34" s="1"/>
  <c r="J31" i="34"/>
  <c r="AC31" i="34"/>
  <c r="H31" i="34"/>
  <c r="F31" i="34"/>
  <c r="S31" i="34" s="1"/>
  <c r="H45" i="34"/>
  <c r="U45" i="34" s="1"/>
  <c r="J45" i="34"/>
  <c r="W45" i="34"/>
  <c r="F45" i="34"/>
  <c r="S45" i="34" s="1"/>
  <c r="H47" i="34"/>
  <c r="U47" i="34" s="1"/>
  <c r="F47" i="34"/>
  <c r="S47" i="34" s="1"/>
  <c r="J47" i="34"/>
  <c r="AC47" i="34"/>
  <c r="F13" i="35"/>
  <c r="J13" i="35"/>
  <c r="AC13" i="35" s="1"/>
  <c r="H13" i="35"/>
  <c r="U13" i="35" s="1"/>
  <c r="J25" i="35"/>
  <c r="W25" i="35"/>
  <c r="F25" i="35"/>
  <c r="S25" i="35" s="1"/>
  <c r="H25" i="35"/>
  <c r="AB25" i="35" s="1"/>
  <c r="J35" i="35"/>
  <c r="AC35" i="35" s="1"/>
  <c r="F35" i="35"/>
  <c r="AA35" i="35"/>
  <c r="H35" i="35"/>
  <c r="J25" i="36"/>
  <c r="W25" i="36" s="1"/>
  <c r="F25" i="36"/>
  <c r="S25" i="36" s="1"/>
  <c r="H25" i="36"/>
  <c r="AB25" i="36"/>
  <c r="H13" i="37"/>
  <c r="AB13" i="37" s="1"/>
  <c r="F13" i="37"/>
  <c r="S13" i="37" s="1"/>
  <c r="J13" i="37"/>
  <c r="W13" i="37" s="1"/>
  <c r="F28" i="37"/>
  <c r="AA28" i="37" s="1"/>
  <c r="J28" i="37"/>
  <c r="AC28" i="37" s="1"/>
  <c r="H28" i="37"/>
  <c r="H38" i="37"/>
  <c r="AB38" i="37"/>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AA14" i="37" s="1"/>
  <c r="F27" i="37"/>
  <c r="AA27" i="37" s="1"/>
  <c r="F13" i="39"/>
  <c r="J13" i="39"/>
  <c r="W13" i="39" s="1"/>
  <c r="H13" i="39"/>
  <c r="H14" i="40"/>
  <c r="AB14" i="40"/>
  <c r="J14" i="40"/>
  <c r="W14" i="40" s="1"/>
  <c r="F14" i="40"/>
  <c r="AA14" i="40" s="1"/>
  <c r="J14" i="37"/>
  <c r="J27" i="37"/>
  <c r="AC27" i="37"/>
  <c r="AA44" i="33"/>
  <c r="U46" i="33"/>
  <c r="AA14" i="33"/>
  <c r="J36" i="37"/>
  <c r="AC36" i="37" s="1"/>
  <c r="J10" i="36"/>
  <c r="AC10" i="36" s="1"/>
  <c r="AB26" i="33"/>
  <c r="W31" i="34"/>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AZ522" i="3" s="1"/>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AZ500" i="3" s="1"/>
  <c r="BL496" i="3"/>
  <c r="G493" i="3"/>
  <c r="BA584" i="3"/>
  <c r="AZ584" i="3" s="1"/>
  <c r="BA582" i="3"/>
  <c r="AZ582" i="3" s="1"/>
  <c r="BA580" i="3"/>
  <c r="BA578" i="3"/>
  <c r="BA576" i="3"/>
  <c r="BA574" i="3"/>
  <c r="AZ574" i="3" s="1"/>
  <c r="BA572" i="3"/>
  <c r="AZ572" i="3" s="1"/>
  <c r="BA570" i="3"/>
  <c r="AZ570" i="3" s="1"/>
  <c r="BA568" i="3"/>
  <c r="BA566" i="3"/>
  <c r="AZ566" i="3" s="1"/>
  <c r="BA564" i="3"/>
  <c r="BA562" i="3"/>
  <c r="BA560" i="3"/>
  <c r="BA558" i="3"/>
  <c r="AZ558" i="3" s="1"/>
  <c r="BA556" i="3"/>
  <c r="AZ556" i="3" s="1"/>
  <c r="BA554" i="3"/>
  <c r="AZ554" i="3" s="1"/>
  <c r="BA552" i="3"/>
  <c r="AZ552" i="3" s="1"/>
  <c r="BA548" i="3"/>
  <c r="BA546" i="3"/>
  <c r="BA544" i="3"/>
  <c r="AZ544" i="3" s="1"/>
  <c r="BA542" i="3"/>
  <c r="AZ542" i="3" s="1"/>
  <c r="BA540" i="3"/>
  <c r="BA538" i="3"/>
  <c r="AZ538" i="3"/>
  <c r="BA536" i="3"/>
  <c r="AZ536" i="3"/>
  <c r="BA534" i="3"/>
  <c r="AZ534" i="3"/>
  <c r="BA532" i="3"/>
  <c r="AZ532" i="3"/>
  <c r="BA530" i="3"/>
  <c r="BA528" i="3"/>
  <c r="AZ528" i="3" s="1"/>
  <c r="BA526" i="3"/>
  <c r="BA524" i="3"/>
  <c r="AZ524" i="3" s="1"/>
  <c r="BA522" i="3"/>
  <c r="BA520" i="3"/>
  <c r="AZ520" i="3" s="1"/>
  <c r="BA518" i="3"/>
  <c r="BA516" i="3"/>
  <c r="AZ516" i="3" s="1"/>
  <c r="BA514" i="3"/>
  <c r="BA512" i="3"/>
  <c r="AZ512" i="3" s="1"/>
  <c r="BA510" i="3"/>
  <c r="AZ510" i="3" s="1"/>
  <c r="BA508" i="3"/>
  <c r="AZ508" i="3" s="1"/>
  <c r="BA506" i="3"/>
  <c r="BA504" i="3"/>
  <c r="AZ504" i="3" s="1"/>
  <c r="BA502" i="3"/>
  <c r="BA500" i="3"/>
  <c r="BA498" i="3"/>
  <c r="AZ498" i="3" s="1"/>
  <c r="BA496" i="3"/>
  <c r="AZ496" i="3" s="1"/>
  <c r="BA494" i="3"/>
  <c r="BA587" i="3"/>
  <c r="BA583" i="3"/>
  <c r="BA581" i="3"/>
  <c r="BA579" i="3"/>
  <c r="BA577" i="3"/>
  <c r="BA575" i="3"/>
  <c r="AZ575" i="3" s="1"/>
  <c r="BA573" i="3"/>
  <c r="BA571" i="3"/>
  <c r="BA569" i="3"/>
  <c r="BA567" i="3"/>
  <c r="BA565" i="3"/>
  <c r="BA563" i="3"/>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c r="BQ563" i="3"/>
  <c r="BL563" i="3"/>
  <c r="AZ563" i="3" s="1"/>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BQ545" i="3"/>
  <c r="BL545" i="3"/>
  <c r="BQ543" i="3"/>
  <c r="BL543" i="3" s="1"/>
  <c r="AZ543" i="3"/>
  <c r="BQ541" i="3"/>
  <c r="BL541" i="3"/>
  <c r="AZ541" i="3" s="1"/>
  <c r="BQ539" i="3"/>
  <c r="BL539" i="3" s="1"/>
  <c r="BQ537" i="3"/>
  <c r="BL537" i="3" s="1"/>
  <c r="BQ535" i="3"/>
  <c r="BL535" i="3" s="1"/>
  <c r="AZ535" i="3" s="1"/>
  <c r="BQ533" i="3"/>
  <c r="BL533" i="3"/>
  <c r="AZ533" i="3" s="1"/>
  <c r="BQ531" i="3"/>
  <c r="BL531" i="3" s="1"/>
  <c r="BQ529" i="3"/>
  <c r="BL529" i="3" s="1"/>
  <c r="BQ527" i="3"/>
  <c r="BL527" i="3" s="1"/>
  <c r="BQ525" i="3"/>
  <c r="BL525" i="3" s="1"/>
  <c r="AZ525" i="3" s="1"/>
  <c r="BQ523" i="3"/>
  <c r="BL523" i="3" s="1"/>
  <c r="BA521" i="3"/>
  <c r="AC521" i="3"/>
  <c r="AC5"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BQ499" i="3"/>
  <c r="BL499" i="3" s="1"/>
  <c r="AZ499" i="3" s="1"/>
  <c r="BQ497" i="3"/>
  <c r="BL497" i="3" s="1"/>
  <c r="AZ497" i="3" s="1"/>
  <c r="BQ495" i="3"/>
  <c r="BL495" i="3" s="1"/>
  <c r="BQ493" i="3"/>
  <c r="S505" i="31"/>
  <c r="S503" i="31"/>
  <c r="S501"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U14" i="40"/>
  <c r="W23" i="35"/>
  <c r="U39" i="37"/>
  <c r="W47" i="34"/>
  <c r="AA13" i="33"/>
  <c r="AC45" i="33"/>
  <c r="W44" i="33"/>
  <c r="U11" i="33"/>
  <c r="U19" i="21"/>
  <c r="W44"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AB34"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S11" i="39" s="1"/>
  <c r="G4" i="4"/>
  <c r="I4" i="4"/>
  <c r="A2" i="9"/>
  <c r="F61" i="43"/>
  <c r="H64" i="43" s="1"/>
  <c r="BL549" i="3"/>
  <c r="AZ549" i="3" s="1"/>
  <c r="AZ494" i="3"/>
  <c r="AZ514"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BL394" i="3"/>
  <c r="G113" i="3"/>
  <c r="BA115" i="3"/>
  <c r="BL116" i="3"/>
  <c r="G117" i="3"/>
  <c r="BA119" i="3"/>
  <c r="BL120" i="3"/>
  <c r="G121" i="3"/>
  <c r="BA123" i="3"/>
  <c r="AZ123" i="3" s="1"/>
  <c r="BL124" i="3"/>
  <c r="G125" i="3"/>
  <c r="BA127" i="3"/>
  <c r="AZ127" i="3"/>
  <c r="BL128" i="3"/>
  <c r="AZ128" i="3" s="1"/>
  <c r="G129" i="3"/>
  <c r="BA131" i="3"/>
  <c r="BL132" i="3"/>
  <c r="AZ132" i="3" s="1"/>
  <c r="G133" i="3"/>
  <c r="BA135" i="3"/>
  <c r="AZ135" i="3" s="1"/>
  <c r="BL136" i="3"/>
  <c r="G137" i="3"/>
  <c r="BA139" i="3"/>
  <c r="BL140" i="3"/>
  <c r="G141" i="3"/>
  <c r="BA143" i="3"/>
  <c r="BL144" i="3"/>
  <c r="G145" i="3"/>
  <c r="BA147" i="3"/>
  <c r="BL148" i="3"/>
  <c r="AZ148" i="3"/>
  <c r="G149" i="3"/>
  <c r="BA151" i="3"/>
  <c r="BL152" i="3"/>
  <c r="G153" i="3"/>
  <c r="BA155" i="3"/>
  <c r="BL156" i="3"/>
  <c r="AZ156" i="3" s="1"/>
  <c r="G157" i="3"/>
  <c r="BA159" i="3"/>
  <c r="BL160" i="3"/>
  <c r="AZ160" i="3" s="1"/>
  <c r="G161" i="3"/>
  <c r="BA163" i="3"/>
  <c r="AZ163" i="3"/>
  <c r="BL164" i="3"/>
  <c r="G165" i="3"/>
  <c r="BA167" i="3"/>
  <c r="BL168" i="3"/>
  <c r="G169" i="3"/>
  <c r="BA171" i="3"/>
  <c r="BL172" i="3"/>
  <c r="G173" i="3"/>
  <c r="BA175" i="3"/>
  <c r="AZ175" i="3"/>
  <c r="BL176" i="3"/>
  <c r="G177" i="3"/>
  <c r="BA179" i="3"/>
  <c r="AZ179" i="3"/>
  <c r="BL180" i="3"/>
  <c r="G181" i="3"/>
  <c r="BA183" i="3"/>
  <c r="BL184" i="3"/>
  <c r="G185" i="3"/>
  <c r="BA187" i="3"/>
  <c r="BL188" i="3"/>
  <c r="AZ188" i="3" s="1"/>
  <c r="G189" i="3"/>
  <c r="BA191" i="3"/>
  <c r="BL192" i="3"/>
  <c r="G193" i="3"/>
  <c r="BA195" i="3"/>
  <c r="AZ195" i="3" s="1"/>
  <c r="BL196" i="3"/>
  <c r="G197" i="3"/>
  <c r="BA199" i="3"/>
  <c r="BL200" i="3"/>
  <c r="G201" i="3"/>
  <c r="BA203" i="3"/>
  <c r="BL204" i="3"/>
  <c r="AZ168" i="3"/>
  <c r="AZ120"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BL321" i="3"/>
  <c r="G322" i="3"/>
  <c r="G325" i="3"/>
  <c r="BL326" i="3"/>
  <c r="BA328" i="3"/>
  <c r="AZ328" i="3" s="1"/>
  <c r="BA329" i="3"/>
  <c r="AZ329" i="3" s="1"/>
  <c r="BL329" i="3"/>
  <c r="G330" i="3"/>
  <c r="G333" i="3"/>
  <c r="BL334" i="3"/>
  <c r="BA336" i="3"/>
  <c r="BA337" i="3"/>
  <c r="AZ337" i="3" s="1"/>
  <c r="BL337" i="3"/>
  <c r="G338" i="3"/>
  <c r="G341" i="3"/>
  <c r="BA342" i="3"/>
  <c r="BL342" i="3"/>
  <c r="AZ342" i="3"/>
  <c r="BA344" i="3"/>
  <c r="BL344" i="3"/>
  <c r="AZ344" i="3" s="1"/>
  <c r="BA346" i="3"/>
  <c r="BA347" i="3"/>
  <c r="BL347" i="3"/>
  <c r="AZ347" i="3" s="1"/>
  <c r="G350" i="3"/>
  <c r="BA351" i="3"/>
  <c r="BL351" i="3"/>
  <c r="G352" i="3"/>
  <c r="G354" i="3"/>
  <c r="BA355" i="3"/>
  <c r="AZ355" i="3" s="1"/>
  <c r="BA356" i="3"/>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46" i="3"/>
  <c r="AZ194" i="3"/>
  <c r="AZ198" i="3"/>
  <c r="BA16" i="3"/>
  <c r="AZ16" i="3" s="1"/>
  <c r="BL303" i="3"/>
  <c r="G304" i="3"/>
  <c r="BA306" i="3"/>
  <c r="BL307" i="3"/>
  <c r="G308" i="3"/>
  <c r="BA310" i="3"/>
  <c r="AZ310" i="3"/>
  <c r="BL311" i="3"/>
  <c r="AZ311" i="3" s="1"/>
  <c r="G312" i="3"/>
  <c r="BA314" i="3"/>
  <c r="BL315" i="3"/>
  <c r="G316" i="3"/>
  <c r="BA318" i="3"/>
  <c r="AZ318" i="3" s="1"/>
  <c r="BL319" i="3"/>
  <c r="AZ319" i="3" s="1"/>
  <c r="G320" i="3"/>
  <c r="BA322" i="3"/>
  <c r="AZ322" i="3" s="1"/>
  <c r="BL323" i="3"/>
  <c r="G324" i="3"/>
  <c r="BA326" i="3"/>
  <c r="AZ326" i="3" s="1"/>
  <c r="BL327" i="3"/>
  <c r="G328" i="3"/>
  <c r="BA330" i="3"/>
  <c r="BL331" i="3"/>
  <c r="AZ331" i="3" s="1"/>
  <c r="G332" i="3"/>
  <c r="BA334" i="3"/>
  <c r="BL335" i="3"/>
  <c r="G336" i="3"/>
  <c r="BA338" i="3"/>
  <c r="BL339" i="3"/>
  <c r="AZ339" i="3" s="1"/>
  <c r="G340" i="3"/>
  <c r="BL343" i="3"/>
  <c r="G344" i="3"/>
  <c r="G348" i="3"/>
  <c r="G355" i="3"/>
  <c r="AZ214" i="3"/>
  <c r="AZ335" i="3"/>
  <c r="G342" i="3"/>
  <c r="BL345" i="3"/>
  <c r="AZ345" i="3" s="1"/>
  <c r="G346" i="3"/>
  <c r="BL349" i="3"/>
  <c r="BL352" i="3"/>
  <c r="G353" i="3"/>
  <c r="BA357" i="3"/>
  <c r="BL358" i="3"/>
  <c r="G359" i="3"/>
  <c r="BA361" i="3"/>
  <c r="AZ361" i="3"/>
  <c r="BL362" i="3"/>
  <c r="G363" i="3"/>
  <c r="BA365" i="3"/>
  <c r="BL366" i="3"/>
  <c r="AZ366" i="3" s="1"/>
  <c r="G367" i="3"/>
  <c r="BA369" i="3"/>
  <c r="AZ369" i="3"/>
  <c r="BL370" i="3"/>
  <c r="G371" i="3"/>
  <c r="BA373" i="3"/>
  <c r="AZ373" i="3"/>
  <c r="BL374" i="3"/>
  <c r="G375" i="3"/>
  <c r="BA377" i="3"/>
  <c r="AZ377" i="3"/>
  <c r="AZ229" i="3"/>
  <c r="AZ233" i="3"/>
  <c r="AZ249" i="3"/>
  <c r="BA379" i="3"/>
  <c r="AZ379" i="3" s="1"/>
  <c r="BL380" i="3"/>
  <c r="AZ380" i="3" s="1"/>
  <c r="G381" i="3"/>
  <c r="BA383" i="3"/>
  <c r="AZ383" i="3" s="1"/>
  <c r="BL384" i="3"/>
  <c r="G385" i="3"/>
  <c r="BA387" i="3"/>
  <c r="BL388" i="3"/>
  <c r="G389" i="3"/>
  <c r="BA391" i="3"/>
  <c r="AZ391" i="3" s="1"/>
  <c r="BL392" i="3"/>
  <c r="G393" i="3"/>
  <c r="AZ291" i="3"/>
  <c r="BO5" i="3"/>
  <c r="BM5" i="3"/>
  <c r="F29" i="6" s="1"/>
  <c r="BJ5" i="3"/>
  <c r="BH5" i="3"/>
  <c r="BF5" i="3"/>
  <c r="BD5" i="3"/>
  <c r="AZ506" i="3"/>
  <c r="G548" i="3"/>
  <c r="G538" i="3"/>
  <c r="G520" i="3"/>
  <c r="G502" i="3"/>
  <c r="BS5" i="3"/>
  <c r="BP5" i="3"/>
  <c r="BN5" i="3"/>
  <c r="G29" i="6" s="1"/>
  <c r="BK5" i="3"/>
  <c r="BI5" i="3"/>
  <c r="BG5" i="3"/>
  <c r="BE5" i="3"/>
  <c r="BC5" i="3"/>
  <c r="G17" i="3"/>
  <c r="BA17" i="3"/>
  <c r="BT5" i="3"/>
  <c r="AZ350" i="3"/>
  <c r="AZ356" i="3"/>
  <c r="BA15" i="3"/>
  <c r="BB5" i="3"/>
  <c r="E5" i="6" s="1"/>
  <c r="BR5" i="3"/>
  <c r="AZ392" i="3"/>
  <c r="G509" i="3"/>
  <c r="BL493" i="3"/>
  <c r="AZ493" i="3" s="1"/>
  <c r="U36" i="40"/>
  <c r="F83" i="43"/>
  <c r="H85" i="43" s="1"/>
  <c r="F50" i="43"/>
  <c r="H54" i="43" s="1"/>
  <c r="F72" i="43"/>
  <c r="H75" i="43" s="1"/>
  <c r="S14" i="35"/>
  <c r="U43" i="21"/>
  <c r="G8" i="1"/>
  <c r="G10" i="1"/>
  <c r="AZ501" i="3"/>
  <c r="W37" i="37"/>
  <c r="W44" i="34"/>
  <c r="AC44" i="34"/>
  <c r="S15" i="37"/>
  <c r="U13" i="37"/>
  <c r="U12" i="40"/>
  <c r="AA12" i="40"/>
  <c r="J37" i="33"/>
  <c r="W37" i="33" s="1"/>
  <c r="AC17" i="34"/>
  <c r="F106" i="33"/>
  <c r="G106" i="33" s="1"/>
  <c r="H106" i="33" s="1"/>
  <c r="I106" i="33" s="1"/>
  <c r="J106" i="33" s="1"/>
  <c r="K106" i="33" s="1"/>
  <c r="L106" i="33" s="1"/>
  <c r="M106" i="33" s="1"/>
  <c r="J34" i="33"/>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H34" i="33"/>
  <c r="U34" i="33" s="1"/>
  <c r="F35" i="33"/>
  <c r="S35" i="33" s="1"/>
  <c r="F39" i="34"/>
  <c r="AA39" i="34" s="1"/>
  <c r="J39" i="34"/>
  <c r="F40" i="34"/>
  <c r="S40" i="34" s="1"/>
  <c r="F43" i="34"/>
  <c r="AA43" i="34" s="1"/>
  <c r="H44" i="34"/>
  <c r="U44" i="34" s="1"/>
  <c r="AC38" i="39"/>
  <c r="F39" i="39"/>
  <c r="S39" i="39" s="1"/>
  <c r="J39" i="39"/>
  <c r="AC39" i="39" s="1"/>
  <c r="E96" i="39"/>
  <c r="F96" i="39" s="1"/>
  <c r="G96" i="39" s="1"/>
  <c r="C40" i="11"/>
  <c r="AZ227" i="3"/>
  <c r="AZ235" i="3"/>
  <c r="AZ251" i="3"/>
  <c r="AZ256" i="3"/>
  <c r="F23" i="39"/>
  <c r="AA23" i="39" s="1"/>
  <c r="H27" i="36"/>
  <c r="U27" i="36" s="1"/>
  <c r="F27" i="36"/>
  <c r="AA27" i="36" s="1"/>
  <c r="H33" i="34"/>
  <c r="U33" i="34" s="1"/>
  <c r="F32" i="37"/>
  <c r="F20" i="36"/>
  <c r="J33" i="34"/>
  <c r="AC33" i="34" s="1"/>
  <c r="H23" i="39"/>
  <c r="U23" i="39" s="1"/>
  <c r="D48" i="9"/>
  <c r="M52" i="9" s="1"/>
  <c r="K9" i="1"/>
  <c r="M9" i="1" s="1"/>
  <c r="D93" i="9"/>
  <c r="K6" i="1"/>
  <c r="AP6" i="1" s="1"/>
  <c r="AC26" i="33"/>
  <c r="W26" i="33"/>
  <c r="W27" i="34"/>
  <c r="AC27" i="34"/>
  <c r="AB34" i="36"/>
  <c r="U34" i="36"/>
  <c r="AB33" i="36"/>
  <c r="U33" i="36"/>
  <c r="AC12" i="39"/>
  <c r="W12" i="39"/>
  <c r="AC39" i="40"/>
  <c r="W39" i="40"/>
  <c r="AZ586" i="3"/>
  <c r="W12" i="33"/>
  <c r="AC12" i="33"/>
  <c r="AA32" i="36"/>
  <c r="S32" i="36"/>
  <c r="BL14" i="3"/>
  <c r="U30" i="33"/>
  <c r="AC13" i="34"/>
  <c r="AA47" i="34"/>
  <c r="W28" i="37"/>
  <c r="F12" i="33"/>
  <c r="AA12" i="33" s="1"/>
  <c r="H12" i="39"/>
  <c r="AB12" i="39"/>
  <c r="F39" i="40"/>
  <c r="BA14" i="3"/>
  <c r="AZ14" i="3" s="1"/>
  <c r="AZ254" i="3"/>
  <c r="AZ286" i="3"/>
  <c r="AZ297" i="3"/>
  <c r="B12" i="1"/>
  <c r="E12" i="1" s="1"/>
  <c r="B10" i="1"/>
  <c r="E10" i="1" s="1"/>
  <c r="K12" i="1"/>
  <c r="M12" i="1" s="1"/>
  <c r="S13" i="1"/>
  <c r="AR13" i="1" s="1"/>
  <c r="R13" i="1"/>
  <c r="J51" i="67"/>
  <c r="C42" i="1"/>
  <c r="C24" i="12" s="1"/>
  <c r="B41" i="1"/>
  <c r="AB37" i="40"/>
  <c r="S35" i="40"/>
  <c r="U35" i="40"/>
  <c r="AC36" i="40"/>
  <c r="W38" i="40"/>
  <c r="AA32" i="40"/>
  <c r="S17" i="40"/>
  <c r="S23" i="40"/>
  <c r="AC17" i="40"/>
  <c r="AC15" i="40"/>
  <c r="AB27" i="40"/>
  <c r="S30" i="40"/>
  <c r="AA19" i="40"/>
  <c r="S28" i="40"/>
  <c r="AA27" i="40"/>
  <c r="U21" i="40"/>
  <c r="U37" i="39"/>
  <c r="S43" i="39"/>
  <c r="S37" i="39"/>
  <c r="U35" i="39"/>
  <c r="F32" i="39"/>
  <c r="F106" i="39"/>
  <c r="G106" i="39" s="1"/>
  <c r="H106" i="39" s="1"/>
  <c r="I106" i="39" s="1"/>
  <c r="J106" i="39" s="1"/>
  <c r="K106" i="39" s="1"/>
  <c r="L106" i="39" s="1"/>
  <c r="M106" i="39" s="1"/>
  <c r="U31" i="39"/>
  <c r="J21" i="39"/>
  <c r="W21" i="39" s="1"/>
  <c r="F21" i="39"/>
  <c r="AA21" i="39" s="1"/>
  <c r="H21" i="39"/>
  <c r="U21" i="39" s="1"/>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AC29" i="37"/>
  <c r="U29"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W42"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W32" i="33" s="1"/>
  <c r="S46" i="33"/>
  <c r="W43" i="33"/>
  <c r="F91" i="33"/>
  <c r="H27" i="33"/>
  <c r="F87" i="33"/>
  <c r="H25" i="33"/>
  <c r="F25" i="33"/>
  <c r="J23" i="33"/>
  <c r="AC23" i="33" s="1"/>
  <c r="F85" i="33"/>
  <c r="H23" i="33"/>
  <c r="F81" i="33"/>
  <c r="F19" i="33"/>
  <c r="S19" i="33" s="1"/>
  <c r="W19" i="33"/>
  <c r="J17" i="33"/>
  <c r="F79" i="33"/>
  <c r="G79" i="33" s="1"/>
  <c r="S15" i="33"/>
  <c r="W15" i="33"/>
  <c r="J10" i="33"/>
  <c r="W10" i="33" s="1"/>
  <c r="H10" i="33"/>
  <c r="U10" i="33" s="1"/>
  <c r="AC11" i="33"/>
  <c r="AB14" i="33"/>
  <c r="W43" i="21"/>
  <c r="W36" i="21"/>
  <c r="W41" i="21"/>
  <c r="AB39" i="21"/>
  <c r="AA43" i="21"/>
  <c r="AA38" i="21"/>
  <c r="AA36" i="21"/>
  <c r="AC40" i="21"/>
  <c r="J15" i="21"/>
  <c r="W15" i="21"/>
  <c r="F77" i="21"/>
  <c r="G77" i="21"/>
  <c r="F23" i="21"/>
  <c r="S23" i="21"/>
  <c r="E85" i="21"/>
  <c r="AA14" i="21"/>
  <c r="D120" i="9"/>
  <c r="D121" i="9" s="1"/>
  <c r="D7" i="52" s="1"/>
  <c r="C18" i="9"/>
  <c r="D18" i="9" s="1"/>
  <c r="F34" i="67"/>
  <c r="F62" i="67" s="1"/>
  <c r="M20" i="67"/>
  <c r="F34" i="15"/>
  <c r="F62" i="15" s="1"/>
  <c r="BA13" i="3"/>
  <c r="BL17" i="3"/>
  <c r="AZ17" i="3" s="1"/>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13" i="39"/>
  <c r="AB13" i="39"/>
  <c r="AA13" i="39"/>
  <c r="S13" i="39"/>
  <c r="S14" i="39"/>
  <c r="AA14" i="39"/>
  <c r="U43" i="39"/>
  <c r="AB43" i="39"/>
  <c r="AB11" i="39"/>
  <c r="U11" i="39"/>
  <c r="W31" i="39"/>
  <c r="AC31" i="39"/>
  <c r="AA45" i="39"/>
  <c r="AB39" i="39"/>
  <c r="W34" i="39"/>
  <c r="U38" i="39"/>
  <c r="S8" i="39"/>
  <c r="AC25" i="36"/>
  <c r="U32" i="36"/>
  <c r="W29" i="36"/>
  <c r="AC20" i="36"/>
  <c r="U25" i="36"/>
  <c r="AB28" i="36"/>
  <c r="AA13" i="36"/>
  <c r="W9" i="36"/>
  <c r="W22"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U31" i="21"/>
  <c r="AC15" i="21"/>
  <c r="U13" i="21"/>
  <c r="AB13" i="21"/>
  <c r="J37" i="21"/>
  <c r="W37" i="21" s="1"/>
  <c r="H15" i="21"/>
  <c r="U15" i="21" s="1"/>
  <c r="J17" i="21"/>
  <c r="W17" i="21" s="1"/>
  <c r="AC17" i="21"/>
  <c r="AC19" i="21"/>
  <c r="W39" i="21"/>
  <c r="AC14" i="21"/>
  <c r="W30" i="21"/>
  <c r="S46" i="21"/>
  <c r="H45" i="21"/>
  <c r="U45" i="21" s="1"/>
  <c r="F29" i="21"/>
  <c r="AA29" i="21" s="1"/>
  <c r="F13" i="21"/>
  <c r="AA13" i="21" s="1"/>
  <c r="AC38" i="21"/>
  <c r="H32" i="21"/>
  <c r="AB32" i="21" s="1"/>
  <c r="H9" i="21"/>
  <c r="U9" i="21" s="1"/>
  <c r="J9" i="21"/>
  <c r="AC9" i="21" s="1"/>
  <c r="J32" i="21"/>
  <c r="W32" i="21" s="1"/>
  <c r="F32" i="21"/>
  <c r="S32" i="21" s="1"/>
  <c r="AA31" i="21"/>
  <c r="U17" i="21"/>
  <c r="W29" i="21"/>
  <c r="S19" i="21"/>
  <c r="S9" i="21"/>
  <c r="AA9" i="21"/>
  <c r="K141" i="21"/>
  <c r="K144" i="21"/>
  <c r="K143" i="21"/>
  <c r="U27" i="21"/>
  <c r="AB25" i="21"/>
  <c r="AB44" i="21"/>
  <c r="AA30" i="21"/>
  <c r="W13" i="21"/>
  <c r="W42" i="21"/>
  <c r="AC45" i="21"/>
  <c r="F10" i="21"/>
  <c r="AA10" i="21" s="1"/>
  <c r="K145" i="21"/>
  <c r="W25" i="21"/>
  <c r="W31" i="21"/>
  <c r="S17" i="21"/>
  <c r="AA15" i="21"/>
  <c r="AC26" i="21"/>
  <c r="AB29" i="21"/>
  <c r="S28" i="21"/>
  <c r="AC34"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31" i="12"/>
  <c r="F52" i="9"/>
  <c r="M18" i="67"/>
  <c r="F30" i="69"/>
  <c r="F48" i="69" s="1"/>
  <c r="F32" i="15"/>
  <c r="F60" i="15" s="1"/>
  <c r="M18" i="15"/>
  <c r="AA39" i="40"/>
  <c r="S39" i="40"/>
  <c r="S12" i="33"/>
  <c r="D68" i="9"/>
  <c r="F54" i="9"/>
  <c r="J32" i="39"/>
  <c r="H32" i="39"/>
  <c r="AB32" i="39" s="1"/>
  <c r="AA32" i="39"/>
  <c r="S32" i="39"/>
  <c r="S21" i="39"/>
  <c r="AC17" i="37"/>
  <c r="S17" i="37"/>
  <c r="J19" i="37"/>
  <c r="W19" i="37" s="1"/>
  <c r="G75" i="37"/>
  <c r="AA19" i="37"/>
  <c r="AA23" i="37"/>
  <c r="J23" i="37"/>
  <c r="AC23" i="37" s="1"/>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U27" i="33"/>
  <c r="AB27" i="33"/>
  <c r="G91" i="33"/>
  <c r="H91" i="33"/>
  <c r="I91" i="33"/>
  <c r="J91" i="33" s="1"/>
  <c r="K91" i="33" s="1"/>
  <c r="L91" i="33" s="1"/>
  <c r="M91" i="33" s="1"/>
  <c r="J27" i="33"/>
  <c r="AC27" i="33" s="1"/>
  <c r="U25" i="33"/>
  <c r="AB25" i="33"/>
  <c r="S25" i="33"/>
  <c r="AA25" i="33"/>
  <c r="G87" i="33"/>
  <c r="H87" i="33"/>
  <c r="I87" i="33" s="1"/>
  <c r="J87" i="33" s="1"/>
  <c r="K87" i="33" s="1"/>
  <c r="L87" i="33" s="1"/>
  <c r="M87" i="33" s="1"/>
  <c r="J25" i="33"/>
  <c r="AB23" i="33"/>
  <c r="U23" i="33"/>
  <c r="F23" i="33"/>
  <c r="G85" i="33"/>
  <c r="AA19" i="33"/>
  <c r="H19" i="33"/>
  <c r="AB19" i="33" s="1"/>
  <c r="G81" i="33"/>
  <c r="H17" i="33"/>
  <c r="U17" i="33" s="1"/>
  <c r="F17" i="33"/>
  <c r="S17" i="33" s="1"/>
  <c r="W17" i="33"/>
  <c r="AC17" i="33"/>
  <c r="S37" i="21"/>
  <c r="AA23" i="21"/>
  <c r="AB15" i="21"/>
  <c r="J23" i="21"/>
  <c r="F85" i="21"/>
  <c r="G85" i="21" s="1"/>
  <c r="H23" i="21"/>
  <c r="AB23" i="21" s="1"/>
  <c r="S13" i="21"/>
  <c r="D6" i="52"/>
  <c r="AP7" i="1"/>
  <c r="AB45" i="21"/>
  <c r="U32" i="39"/>
  <c r="AC32" i="39"/>
  <c r="W32" i="39"/>
  <c r="W23" i="37"/>
  <c r="J63" i="37"/>
  <c r="K63" i="37" s="1"/>
  <c r="L63" i="37" s="1"/>
  <c r="M63" i="37" s="1"/>
  <c r="J11" i="37"/>
  <c r="AC11" i="37" s="1"/>
  <c r="H70" i="34"/>
  <c r="I70" i="34" s="1"/>
  <c r="J70" i="34" s="1"/>
  <c r="K70" i="34" s="1"/>
  <c r="L70" i="34" s="1"/>
  <c r="M70" i="34" s="1"/>
  <c r="J11" i="34"/>
  <c r="W11" i="34" s="1"/>
  <c r="W27" i="33"/>
  <c r="W25" i="33"/>
  <c r="AC25" i="33"/>
  <c r="AC23" i="21"/>
  <c r="W23" i="21"/>
  <c r="H109" i="9"/>
  <c r="H112" i="9"/>
  <c r="D21" i="53" s="1"/>
  <c r="B39" i="72" s="1"/>
  <c r="H111" i="9"/>
  <c r="D126" i="9" s="1"/>
  <c r="AD3" i="71"/>
  <c r="H69" i="43"/>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36" i="15"/>
  <c r="C76" i="67"/>
  <c r="F36" i="67"/>
  <c r="M6" i="15"/>
  <c r="M23" i="15"/>
  <c r="M8" i="15"/>
  <c r="F3" i="73"/>
  <c r="E2" i="69"/>
  <c r="F9" i="67"/>
  <c r="E11" i="76"/>
  <c r="F7" i="73"/>
  <c r="F5" i="73"/>
  <c r="L47" i="67"/>
  <c r="B7" i="76"/>
  <c r="AO13" i="1"/>
  <c r="F6" i="67"/>
  <c r="B11" i="76"/>
  <c r="F13" i="67"/>
  <c r="F26" i="15"/>
  <c r="J15" i="67"/>
  <c r="F4" i="73"/>
  <c r="F42" i="67"/>
  <c r="M22" i="67"/>
  <c r="M26" i="67"/>
  <c r="D35" i="9"/>
  <c r="M29" i="67"/>
  <c r="F40" i="15"/>
  <c r="F8" i="15"/>
  <c r="E13" i="76"/>
  <c r="B10" i="76"/>
  <c r="F37" i="15"/>
  <c r="M8" i="67"/>
  <c r="F8" i="67"/>
  <c r="E8" i="76"/>
  <c r="F16" i="67"/>
  <c r="F37" i="67"/>
  <c r="B8" i="76"/>
  <c r="M28" i="67"/>
  <c r="D34" i="9"/>
  <c r="B12" i="76"/>
  <c r="M24" i="67"/>
  <c r="E10" i="76"/>
  <c r="F20" i="31"/>
  <c r="B13" i="76"/>
  <c r="F38" i="15"/>
  <c r="F40" i="67"/>
  <c r="M9" i="67"/>
  <c r="J15" i="15"/>
  <c r="F7" i="67"/>
  <c r="B9" i="76"/>
  <c r="F43" i="67"/>
  <c r="F38" i="67"/>
  <c r="E2" i="68"/>
  <c r="E9" i="76"/>
  <c r="E12" i="76"/>
  <c r="L47" i="15"/>
  <c r="F7" i="15"/>
  <c r="M23" i="67"/>
  <c r="L48" i="67"/>
  <c r="M6" i="67"/>
  <c r="E7" i="76"/>
  <c r="F26" i="67"/>
  <c r="F6" i="73"/>
  <c r="AC11" i="39" l="1"/>
  <c r="W27" i="39"/>
  <c r="AB27" i="39"/>
  <c r="U40" i="39"/>
  <c r="U42" i="39"/>
  <c r="U41" i="39"/>
  <c r="AA39" i="39"/>
  <c r="S27" i="39"/>
  <c r="AC25" i="39"/>
  <c r="U25" i="39"/>
  <c r="S23" i="39"/>
  <c r="W23" i="39"/>
  <c r="AB21" i="39"/>
  <c r="W19" i="39"/>
  <c r="S19" i="39"/>
  <c r="U19" i="39"/>
  <c r="AC17" i="39"/>
  <c r="S17" i="39"/>
  <c r="U17" i="39"/>
  <c r="S15" i="39"/>
  <c r="U9" i="39"/>
  <c r="AA11" i="39"/>
  <c r="S27" i="21"/>
  <c r="AC27" i="21"/>
  <c r="AC35" i="21"/>
  <c r="U35" i="21"/>
  <c r="AA35" i="21"/>
  <c r="S40" i="21"/>
  <c r="S39" i="21"/>
  <c r="AB38" i="21"/>
  <c r="U34" i="21"/>
  <c r="AA32" i="21"/>
  <c r="U32" i="21"/>
  <c r="AB9" i="21"/>
  <c r="W9" i="21"/>
  <c r="D23" i="15"/>
  <c r="J1" i="73"/>
  <c r="AA17" i="33"/>
  <c r="AC32" i="33"/>
  <c r="AB20" i="35"/>
  <c r="W39" i="34"/>
  <c r="AC39" i="34"/>
  <c r="S34" i="33"/>
  <c r="AA34" i="33"/>
  <c r="U23" i="21"/>
  <c r="AB36" i="33"/>
  <c r="U19" i="33"/>
  <c r="F48" i="9"/>
  <c r="O52" i="9" s="1"/>
  <c r="F28" i="67"/>
  <c r="F32" i="67"/>
  <c r="F60" i="67" s="1"/>
  <c r="F28" i="15"/>
  <c r="AC9" i="34"/>
  <c r="W9" i="34"/>
  <c r="AA20" i="36"/>
  <c r="S20" i="36"/>
  <c r="W34" i="33"/>
  <c r="AC34" i="33"/>
  <c r="AB9" i="33"/>
  <c r="U9" i="33"/>
  <c r="S32" i="37"/>
  <c r="AA32" i="37"/>
  <c r="AB26" i="37"/>
  <c r="U26" i="37"/>
  <c r="AC25" i="37"/>
  <c r="W25" i="37"/>
  <c r="AB33" i="34"/>
  <c r="S43" i="33"/>
  <c r="AB19" i="40"/>
  <c r="AZ387" i="3"/>
  <c r="AZ362" i="3"/>
  <c r="AZ338" i="3"/>
  <c r="AZ390" i="3"/>
  <c r="AZ371" i="3"/>
  <c r="AZ351" i="3"/>
  <c r="AZ336" i="3"/>
  <c r="AZ305" i="3"/>
  <c r="AZ360" i="3"/>
  <c r="AB33" i="40"/>
  <c r="AC31" i="33"/>
  <c r="G521" i="3"/>
  <c r="AZ539" i="3"/>
  <c r="AZ529" i="3"/>
  <c r="AZ537" i="3"/>
  <c r="AZ518" i="3"/>
  <c r="AZ526" i="3"/>
  <c r="AZ546" i="3"/>
  <c r="AZ564" i="3"/>
  <c r="AZ580" i="3"/>
  <c r="AB45" i="33"/>
  <c r="S11" i="36"/>
  <c r="S14" i="37"/>
  <c r="U46" i="34"/>
  <c r="U30" i="21"/>
  <c r="AA44" i="34"/>
  <c r="AA29" i="35"/>
  <c r="AB17" i="34"/>
  <c r="W36" i="34"/>
  <c r="AA41" i="33"/>
  <c r="J9" i="33"/>
  <c r="AZ349" i="3"/>
  <c r="AZ306" i="3"/>
  <c r="AZ513" i="3"/>
  <c r="AZ548" i="3"/>
  <c r="AZ502" i="3"/>
  <c r="BL587" i="3"/>
  <c r="AZ587" i="3" s="1"/>
  <c r="J12" i="34"/>
  <c r="F12" i="34"/>
  <c r="S12" i="34" s="1"/>
  <c r="AZ419" i="3"/>
  <c r="AA35" i="33"/>
  <c r="S20" i="35"/>
  <c r="AZ357" i="3"/>
  <c r="AZ313" i="3"/>
  <c r="AZ394" i="3"/>
  <c r="AA25" i="21"/>
  <c r="AZ531" i="3"/>
  <c r="AZ583" i="3"/>
  <c r="AZ568" i="3"/>
  <c r="AZ576" i="3"/>
  <c r="AA14" i="34"/>
  <c r="H25" i="37"/>
  <c r="F25" i="37"/>
  <c r="AZ462" i="3"/>
  <c r="AZ388" i="3"/>
  <c r="AZ334" i="3"/>
  <c r="AZ523" i="3"/>
  <c r="AZ547" i="3"/>
  <c r="AZ571" i="3"/>
  <c r="AZ579" i="3"/>
  <c r="BL585" i="3"/>
  <c r="AZ585" i="3" s="1"/>
  <c r="F9" i="34"/>
  <c r="AA9" i="34" s="1"/>
  <c r="H9" i="34"/>
  <c r="BA551" i="3"/>
  <c r="AZ551" i="3" s="1"/>
  <c r="BA550" i="3"/>
  <c r="AZ550" i="3" s="1"/>
  <c r="BL548" i="3"/>
  <c r="BA401" i="3"/>
  <c r="AZ401" i="3" s="1"/>
  <c r="BA403" i="3"/>
  <c r="AZ403" i="3" s="1"/>
  <c r="BA404" i="3"/>
  <c r="AZ404" i="3" s="1"/>
  <c r="BA405" i="3"/>
  <c r="BL410" i="3"/>
  <c r="G412" i="3"/>
  <c r="G418" i="3"/>
  <c r="BA422" i="3"/>
  <c r="G429" i="3"/>
  <c r="BL431" i="3"/>
  <c r="G433" i="3"/>
  <c r="BL434" i="3"/>
  <c r="BL438" i="3"/>
  <c r="BL439" i="3"/>
  <c r="BA441" i="3"/>
  <c r="BL445" i="3"/>
  <c r="BL446" i="3"/>
  <c r="BL449" i="3"/>
  <c r="BL450" i="3"/>
  <c r="BL452" i="3"/>
  <c r="G454" i="3"/>
  <c r="BL456" i="3"/>
  <c r="BA464" i="3"/>
  <c r="AZ464" i="3" s="1"/>
  <c r="BL467" i="3"/>
  <c r="BL468" i="3"/>
  <c r="BL470" i="3"/>
  <c r="G472" i="3"/>
  <c r="G473" i="3"/>
  <c r="BL473" i="3"/>
  <c r="AZ473" i="3" s="1"/>
  <c r="BL474" i="3"/>
  <c r="G475" i="3"/>
  <c r="BA482" i="3"/>
  <c r="BA484" i="3"/>
  <c r="AZ484" i="3" s="1"/>
  <c r="BL432" i="3"/>
  <c r="BL435" i="3"/>
  <c r="BL436" i="3"/>
  <c r="BA439" i="3"/>
  <c r="BA440" i="3"/>
  <c r="AZ440" i="3" s="1"/>
  <c r="BA442" i="3"/>
  <c r="BA445" i="3"/>
  <c r="BA447" i="3"/>
  <c r="AZ447" i="3" s="1"/>
  <c r="BA449" i="3"/>
  <c r="BL453" i="3"/>
  <c r="BL454" i="3"/>
  <c r="BL459" i="3"/>
  <c r="G461" i="3"/>
  <c r="BA465" i="3"/>
  <c r="AZ465" i="3" s="1"/>
  <c r="BA467" i="3"/>
  <c r="BA468" i="3"/>
  <c r="BL471" i="3"/>
  <c r="BL475" i="3"/>
  <c r="BA477" i="3"/>
  <c r="BA478" i="3"/>
  <c r="BA481" i="3"/>
  <c r="G484" i="3"/>
  <c r="BA488" i="3"/>
  <c r="AZ488" i="3" s="1"/>
  <c r="G492" i="3"/>
  <c r="BA303" i="3"/>
  <c r="AZ303" i="3" s="1"/>
  <c r="H23" i="35"/>
  <c r="J23" i="36"/>
  <c r="H39" i="40"/>
  <c r="G551" i="3"/>
  <c r="BL550" i="3"/>
  <c r="G542"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AZ432" i="3"/>
  <c r="AZ443" i="3"/>
  <c r="AZ453" i="3"/>
  <c r="AZ471" i="3"/>
  <c r="AZ487" i="3"/>
  <c r="BL15" i="3"/>
  <c r="AZ15" i="3" s="1"/>
  <c r="BA398" i="3"/>
  <c r="AZ398" i="3" s="1"/>
  <c r="BA399" i="3"/>
  <c r="AZ399" i="3" s="1"/>
  <c r="BL401" i="3"/>
  <c r="BL404" i="3"/>
  <c r="BL405" i="3"/>
  <c r="BL407" i="3"/>
  <c r="AZ407" i="3" s="1"/>
  <c r="BA412" i="3"/>
  <c r="AZ412" i="3" s="1"/>
  <c r="BA414" i="3"/>
  <c r="AZ414" i="3" s="1"/>
  <c r="BA415" i="3"/>
  <c r="AZ415" i="3" s="1"/>
  <c r="BA416" i="3"/>
  <c r="AZ416" i="3" s="1"/>
  <c r="BA418" i="3"/>
  <c r="AZ418" i="3" s="1"/>
  <c r="BA421" i="3"/>
  <c r="AZ421" i="3" s="1"/>
  <c r="BA423" i="3"/>
  <c r="AZ423" i="3" s="1"/>
  <c r="BA425" i="3"/>
  <c r="BA426" i="3"/>
  <c r="BA427" i="3"/>
  <c r="AZ427" i="3" s="1"/>
  <c r="BA433" i="3"/>
  <c r="AZ433" i="3" s="1"/>
  <c r="BA435" i="3"/>
  <c r="AZ435" i="3" s="1"/>
  <c r="BL437" i="3"/>
  <c r="AZ437" i="3" s="1"/>
  <c r="G439" i="3"/>
  <c r="G440" i="3"/>
  <c r="BL441" i="3"/>
  <c r="BL442" i="3"/>
  <c r="BL444" i="3"/>
  <c r="AZ444" i="3" s="1"/>
  <c r="G446" i="3"/>
  <c r="G447" i="3"/>
  <c r="BL448" i="3"/>
  <c r="AZ448" i="3" s="1"/>
  <c r="G450" i="3"/>
  <c r="G451" i="3"/>
  <c r="BA454" i="3"/>
  <c r="AZ454" i="3" s="1"/>
  <c r="BA457" i="3"/>
  <c r="AZ457" i="3" s="1"/>
  <c r="BA459" i="3"/>
  <c r="BA460" i="3"/>
  <c r="AZ460" i="3" s="1"/>
  <c r="BA461" i="3"/>
  <c r="AZ461" i="3" s="1"/>
  <c r="BL464" i="3"/>
  <c r="BL466" i="3"/>
  <c r="AZ466" i="3" s="1"/>
  <c r="G468" i="3"/>
  <c r="G469" i="3"/>
  <c r="BL476" i="3"/>
  <c r="AZ476" i="3" s="1"/>
  <c r="BL477" i="3"/>
  <c r="BL478" i="3"/>
  <c r="BL480" i="3"/>
  <c r="AZ480" i="3" s="1"/>
  <c r="BA483" i="3"/>
  <c r="BL483" i="3"/>
  <c r="AZ483" i="3" s="1"/>
  <c r="BA486" i="3"/>
  <c r="BL489" i="3"/>
  <c r="BA491" i="3"/>
  <c r="AZ301" i="3"/>
  <c r="BL317" i="3"/>
  <c r="BA349" i="3"/>
  <c r="BA353" i="3"/>
  <c r="BL353" i="3"/>
  <c r="BA358" i="3"/>
  <c r="AZ358" i="3" s="1"/>
  <c r="BL365" i="3"/>
  <c r="AZ365" i="3" s="1"/>
  <c r="BA368" i="3"/>
  <c r="BL368" i="3"/>
  <c r="BA374" i="3"/>
  <c r="AZ374" i="3" s="1"/>
  <c r="BA388" i="3"/>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G250" i="3"/>
  <c r="BL250" i="3"/>
  <c r="AZ250" i="3" s="1"/>
  <c r="G252" i="3"/>
  <c r="G254" i="3"/>
  <c r="BA259" i="3"/>
  <c r="AZ259" i="3" s="1"/>
  <c r="BL261" i="3"/>
  <c r="BA263" i="3"/>
  <c r="BA267" i="3"/>
  <c r="AZ267" i="3" s="1"/>
  <c r="BA269" i="3"/>
  <c r="AZ269" i="3" s="1"/>
  <c r="BA271" i="3"/>
  <c r="BL271" i="3"/>
  <c r="BA274" i="3"/>
  <c r="AZ274" i="3" s="1"/>
  <c r="BL274" i="3"/>
  <c r="BA276" i="3"/>
  <c r="BA281" i="3"/>
  <c r="G291" i="3"/>
  <c r="BA296" i="3"/>
  <c r="BA116" i="3"/>
  <c r="AZ116" i="3" s="1"/>
  <c r="BA121" i="3"/>
  <c r="BL121" i="3"/>
  <c r="BA124" i="3"/>
  <c r="AZ124" i="3" s="1"/>
  <c r="BA126" i="3"/>
  <c r="BA129" i="3"/>
  <c r="BL133" i="3"/>
  <c r="AZ133" i="3" s="1"/>
  <c r="BL139" i="3"/>
  <c r="AZ139" i="3" s="1"/>
  <c r="G140" i="3"/>
  <c r="BL141" i="3"/>
  <c r="BL143" i="3"/>
  <c r="AZ143" i="3" s="1"/>
  <c r="G146" i="3"/>
  <c r="G147" i="3"/>
  <c r="G154" i="3"/>
  <c r="G156" i="3"/>
  <c r="BL157" i="3"/>
  <c r="AZ157" i="3" s="1"/>
  <c r="BL159" i="3"/>
  <c r="AZ159" i="3" s="1"/>
  <c r="G160" i="3"/>
  <c r="BL173" i="3"/>
  <c r="AZ173" i="3" s="1"/>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283" i="3"/>
  <c r="AZ283" i="3" s="1"/>
  <c r="BL284" i="3"/>
  <c r="G288" i="3"/>
  <c r="BL292" i="3"/>
  <c r="BA294" i="3"/>
  <c r="AZ294" i="3" s="1"/>
  <c r="BL295" i="3"/>
  <c r="BA298" i="3"/>
  <c r="AZ298" i="3" s="1"/>
  <c r="BL301" i="3"/>
  <c r="BL302" i="3"/>
  <c r="AZ302" i="3" s="1"/>
  <c r="BA114" i="3"/>
  <c r="G159" i="3"/>
  <c r="BL181" i="3"/>
  <c r="AZ181" i="3" s="1"/>
  <c r="AZ201" i="3"/>
  <c r="AZ62" i="3"/>
  <c r="BA307" i="3"/>
  <c r="AZ307" i="3" s="1"/>
  <c r="G311" i="3"/>
  <c r="BL314" i="3"/>
  <c r="AZ314" i="3" s="1"/>
  <c r="G315" i="3"/>
  <c r="BA332" i="3"/>
  <c r="BL332" i="3"/>
  <c r="G339" i="3"/>
  <c r="G364" i="3"/>
  <c r="BA367" i="3"/>
  <c r="AZ367" i="3" s="1"/>
  <c r="BA370" i="3"/>
  <c r="AZ370" i="3" s="1"/>
  <c r="BA386" i="3"/>
  <c r="AZ386" i="3" s="1"/>
  <c r="G397" i="3"/>
  <c r="G210" i="3"/>
  <c r="BA218" i="3"/>
  <c r="BL218" i="3"/>
  <c r="BL220" i="3"/>
  <c r="BA253" i="3"/>
  <c r="BL260" i="3"/>
  <c r="G262" i="3"/>
  <c r="BL263" i="3"/>
  <c r="G264" i="3"/>
  <c r="BL270" i="3"/>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BA144" i="3"/>
  <c r="AZ144" i="3" s="1"/>
  <c r="BA153" i="3"/>
  <c r="BL155" i="3"/>
  <c r="AZ155" i="3" s="1"/>
  <c r="BL161" i="3"/>
  <c r="G162" i="3"/>
  <c r="BL162" i="3"/>
  <c r="AZ162" i="3" s="1"/>
  <c r="AZ65" i="3"/>
  <c r="BL225" i="3"/>
  <c r="BL226" i="3"/>
  <c r="BA239" i="3"/>
  <c r="BL239" i="3"/>
  <c r="BA241" i="3"/>
  <c r="AZ241" i="3" s="1"/>
  <c r="BL241" i="3"/>
  <c r="BA244" i="3"/>
  <c r="BL244" i="3"/>
  <c r="BA246" i="3"/>
  <c r="BA252" i="3"/>
  <c r="AZ252" i="3" s="1"/>
  <c r="AZ270" i="3"/>
  <c r="BA277" i="3"/>
  <c r="AZ277" i="3" s="1"/>
  <c r="BL277" i="3"/>
  <c r="BA282" i="3"/>
  <c r="BL282" i="3"/>
  <c r="BA284" i="3"/>
  <c r="AZ284" i="3" s="1"/>
  <c r="BA117" i="3"/>
  <c r="BA130" i="3"/>
  <c r="BL130" i="3"/>
  <c r="BA137" i="3"/>
  <c r="AZ137" i="3" s="1"/>
  <c r="BL138" i="3"/>
  <c r="BA140" i="3"/>
  <c r="AZ140" i="3" s="1"/>
  <c r="BA142" i="3"/>
  <c r="BL149" i="3"/>
  <c r="AZ149" i="3" s="1"/>
  <c r="BL150" i="3"/>
  <c r="AZ150" i="3" s="1"/>
  <c r="BA152" i="3"/>
  <c r="AZ152" i="3" s="1"/>
  <c r="BA154" i="3"/>
  <c r="AZ154" i="3" s="1"/>
  <c r="AZ177" i="3"/>
  <c r="AC29" i="39"/>
  <c r="W29" i="39"/>
  <c r="AA18" i="36"/>
  <c r="S18" i="36"/>
  <c r="C31" i="71"/>
  <c r="Y30" i="71"/>
  <c r="Z30" i="71" s="1"/>
  <c r="Y29" i="71"/>
  <c r="Z29" i="71" s="1"/>
  <c r="AA38" i="71"/>
  <c r="AA39" i="71"/>
  <c r="T72" i="71"/>
  <c r="C71" i="71"/>
  <c r="U76" i="71"/>
  <c r="E75" i="71"/>
  <c r="E74" i="71" s="1"/>
  <c r="V24" i="71"/>
  <c r="E23" i="71"/>
  <c r="E22" i="71" s="1"/>
  <c r="E21" i="71" s="1"/>
  <c r="E20" i="71" s="1"/>
  <c r="BL177" i="3"/>
  <c r="BL183" i="3"/>
  <c r="AZ183" i="3" s="1"/>
  <c r="BA186" i="3"/>
  <c r="AZ186" i="3" s="1"/>
  <c r="BA190" i="3"/>
  <c r="AZ190" i="3" s="1"/>
  <c r="BA197" i="3"/>
  <c r="BL201" i="3"/>
  <c r="BL203" i="3"/>
  <c r="AZ203" i="3" s="1"/>
  <c r="BA204" i="3"/>
  <c r="AZ204" i="3" s="1"/>
  <c r="BA18" i="3"/>
  <c r="BL21" i="3"/>
  <c r="G23" i="3"/>
  <c r="BL29" i="3"/>
  <c r="G33" i="3"/>
  <c r="G34" i="3"/>
  <c r="BA37" i="3"/>
  <c r="BL39" i="3"/>
  <c r="G43" i="3"/>
  <c r="G44" i="3"/>
  <c r="BA45" i="3"/>
  <c r="AZ45" i="3" s="1"/>
  <c r="BA46" i="3"/>
  <c r="BL49" i="3"/>
  <c r="AZ49" i="3" s="1"/>
  <c r="BL50" i="3"/>
  <c r="AZ50" i="3" s="1"/>
  <c r="BL51" i="3"/>
  <c r="AZ51" i="3" s="1"/>
  <c r="BL53" i="3"/>
  <c r="BA56" i="3"/>
  <c r="BA57" i="3"/>
  <c r="BL58" i="3"/>
  <c r="AZ58" i="3" s="1"/>
  <c r="G60" i="3"/>
  <c r="BA60" i="3"/>
  <c r="BA63" i="3"/>
  <c r="BA66" i="3"/>
  <c r="AZ66" i="3" s="1"/>
  <c r="BL70" i="3"/>
  <c r="BL71" i="3"/>
  <c r="AZ71" i="3" s="1"/>
  <c r="BL88" i="3"/>
  <c r="AZ88" i="3" s="1"/>
  <c r="BL90" i="3"/>
  <c r="Y27" i="71"/>
  <c r="Z27" i="71" s="1"/>
  <c r="Y26" i="71"/>
  <c r="Z26" i="71" s="1"/>
  <c r="C28" i="71"/>
  <c r="Y28" i="71"/>
  <c r="Z28" i="71" s="1"/>
  <c r="Y25" i="71"/>
  <c r="Z25" i="71" s="1"/>
  <c r="AA35" i="71"/>
  <c r="Y35" i="71"/>
  <c r="Z35" i="71" s="1"/>
  <c r="Y37" i="71"/>
  <c r="Z37" i="71" s="1"/>
  <c r="X36" i="71"/>
  <c r="X35" i="71"/>
  <c r="X38" i="71"/>
  <c r="C47" i="71"/>
  <c r="D47" i="71" s="1"/>
  <c r="D46" i="71"/>
  <c r="D84" i="71"/>
  <c r="C83" i="71"/>
  <c r="BL167" i="3"/>
  <c r="AZ167" i="3" s="1"/>
  <c r="BL178" i="3"/>
  <c r="BA180" i="3"/>
  <c r="AZ180" i="3" s="1"/>
  <c r="BL182" i="3"/>
  <c r="AZ182" i="3" s="1"/>
  <c r="BA185" i="3"/>
  <c r="BL191" i="3"/>
  <c r="AZ191" i="3" s="1"/>
  <c r="BA193" i="3"/>
  <c r="BA196" i="3"/>
  <c r="AZ196" i="3" s="1"/>
  <c r="G203" i="3"/>
  <c r="BA205" i="3"/>
  <c r="AZ205" i="3" s="1"/>
  <c r="BL20" i="3"/>
  <c r="BA21" i="3"/>
  <c r="AZ21" i="3" s="1"/>
  <c r="BA25" i="3"/>
  <c r="BA26" i="3"/>
  <c r="BL28" i="3"/>
  <c r="BA29" i="3"/>
  <c r="BA36" i="3"/>
  <c r="BL38" i="3"/>
  <c r="AZ38" i="3" s="1"/>
  <c r="BA39" i="3"/>
  <c r="BL47" i="3"/>
  <c r="AZ47" i="3" s="1"/>
  <c r="G52" i="3"/>
  <c r="BA52" i="3"/>
  <c r="AZ52" i="3" s="1"/>
  <c r="BA53" i="3"/>
  <c r="BA54" i="3"/>
  <c r="BL57" i="3"/>
  <c r="G59" i="3"/>
  <c r="G62" i="3"/>
  <c r="BL62" i="3"/>
  <c r="BL63" i="3"/>
  <c r="G65" i="3"/>
  <c r="BL65" i="3"/>
  <c r="BL66" i="3"/>
  <c r="BL67" i="3"/>
  <c r="AZ67" i="3" s="1"/>
  <c r="G69" i="3"/>
  <c r="G70" i="3"/>
  <c r="BA72" i="3"/>
  <c r="AZ72" i="3" s="1"/>
  <c r="BA73" i="3"/>
  <c r="BA79" i="3"/>
  <c r="AZ79" i="3" s="1"/>
  <c r="BA84" i="3"/>
  <c r="AZ84" i="3" s="1"/>
  <c r="BA92" i="3"/>
  <c r="BL96" i="3"/>
  <c r="BL100" i="3"/>
  <c r="D52" i="71"/>
  <c r="D72" i="71"/>
  <c r="AA34" i="71"/>
  <c r="AA30" i="71"/>
  <c r="AA37" i="71"/>
  <c r="D56" i="71"/>
  <c r="T56" i="71"/>
  <c r="N67" i="71"/>
  <c r="B66" i="71"/>
  <c r="F66" i="71"/>
  <c r="Q67" i="71"/>
  <c r="T80" i="71"/>
  <c r="C79" i="7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AZ19" i="3" s="1"/>
  <c r="BA20" i="3"/>
  <c r="AZ20" i="3" s="1"/>
  <c r="BL25" i="3"/>
  <c r="BL27" i="3"/>
  <c r="AZ27" i="3" s="1"/>
  <c r="BA28" i="3"/>
  <c r="AZ28" i="3" s="1"/>
  <c r="BA31" i="3"/>
  <c r="AZ31" i="3" s="1"/>
  <c r="BA32" i="3"/>
  <c r="G38" i="3"/>
  <c r="BA38" i="3"/>
  <c r="BA41" i="3"/>
  <c r="AZ41" i="3" s="1"/>
  <c r="BA42" i="3"/>
  <c r="G46" i="3"/>
  <c r="G47" i="3"/>
  <c r="BL48" i="3"/>
  <c r="BL54" i="3"/>
  <c r="BL55" i="3"/>
  <c r="AZ55" i="3" s="1"/>
  <c r="G57" i="3"/>
  <c r="BA59" i="3"/>
  <c r="AZ59" i="3" s="1"/>
  <c r="G61" i="3"/>
  <c r="BL61" i="3"/>
  <c r="AZ61" i="3" s="1"/>
  <c r="BA64" i="3"/>
  <c r="AZ64" i="3" s="1"/>
  <c r="BL68" i="3"/>
  <c r="BA69" i="3"/>
  <c r="AZ69" i="3" s="1"/>
  <c r="BA70" i="3"/>
  <c r="AZ70" i="3" s="1"/>
  <c r="G76" i="3"/>
  <c r="BL77" i="3"/>
  <c r="AZ77" i="3" s="1"/>
  <c r="BL91" i="3"/>
  <c r="BL99" i="3"/>
  <c r="BA105" i="3"/>
  <c r="F40" i="68"/>
  <c r="C21" i="68"/>
  <c r="AA3" i="71"/>
  <c r="E28" i="71"/>
  <c r="AA27" i="71"/>
  <c r="AA28" i="71"/>
  <c r="D38" i="71"/>
  <c r="C39" i="71"/>
  <c r="F34" i="71"/>
  <c r="F35" i="71" s="1"/>
  <c r="F36" i="71" s="1"/>
  <c r="V36" i="71" s="1"/>
  <c r="AB33" i="71"/>
  <c r="AB28" i="71"/>
  <c r="AB32" i="71"/>
  <c r="AB27" i="71"/>
  <c r="C44" i="71"/>
  <c r="D43" i="71"/>
  <c r="G72" i="3"/>
  <c r="BL73" i="3"/>
  <c r="BA74" i="3"/>
  <c r="AZ74" i="3" s="1"/>
  <c r="BA75" i="3"/>
  <c r="AZ75" i="3" s="1"/>
  <c r="G81" i="3"/>
  <c r="G85" i="3"/>
  <c r="BL85" i="3"/>
  <c r="BA86" i="3"/>
  <c r="AZ86" i="3" s="1"/>
  <c r="BA87" i="3"/>
  <c r="BA91" i="3"/>
  <c r="G96" i="3"/>
  <c r="BL97" i="3"/>
  <c r="AZ97" i="3" s="1"/>
  <c r="BL101" i="3"/>
  <c r="AZ101" i="3" s="1"/>
  <c r="BL102" i="3"/>
  <c r="G104" i="3"/>
  <c r="G105" i="3"/>
  <c r="BL106" i="3"/>
  <c r="BA108" i="3"/>
  <c r="BA110" i="3"/>
  <c r="AZ110" i="3" s="1"/>
  <c r="F3" i="35"/>
  <c r="S21" i="33"/>
  <c r="S21" i="37"/>
  <c r="B77" i="43"/>
  <c r="AA18" i="35"/>
  <c r="T60" i="71"/>
  <c r="O66" i="71"/>
  <c r="O67" i="71"/>
  <c r="AB25" i="71"/>
  <c r="X26" i="71"/>
  <c r="N68" i="71"/>
  <c r="E38" i="71"/>
  <c r="E39" i="71" s="1"/>
  <c r="E40" i="71" s="1"/>
  <c r="U40" i="71" s="1"/>
  <c r="B34" i="71"/>
  <c r="B35" i="71" s="1"/>
  <c r="B36" i="71" s="1"/>
  <c r="S36" i="71" s="1"/>
  <c r="X33" i="71"/>
  <c r="AB37" i="71"/>
  <c r="G99" i="3"/>
  <c r="BA103" i="3"/>
  <c r="AZ103" i="3" s="1"/>
  <c r="BA104" i="3"/>
  <c r="BA106" i="3"/>
  <c r="BL108" i="3"/>
  <c r="G110" i="3"/>
  <c r="BL111" i="3"/>
  <c r="AB26" i="71"/>
  <c r="S28" i="71"/>
  <c r="X28" i="71"/>
  <c r="X32" i="71"/>
  <c r="F40" i="71"/>
  <c r="V40" i="71" s="1"/>
  <c r="AB38" i="71"/>
  <c r="F75" i="71"/>
  <c r="F74" i="71" s="1"/>
  <c r="B79" i="71"/>
  <c r="B78" i="71" s="1"/>
  <c r="BL81" i="3"/>
  <c r="BA82" i="3"/>
  <c r="AZ82" i="3" s="1"/>
  <c r="BL83" i="3"/>
  <c r="G88" i="3"/>
  <c r="BA90" i="3"/>
  <c r="BL94" i="3"/>
  <c r="AZ94" i="3" s="1"/>
  <c r="BA100" i="3"/>
  <c r="BA102" i="3"/>
  <c r="AZ102" i="3" s="1"/>
  <c r="BL105" i="3"/>
  <c r="BL107" i="3"/>
  <c r="BA111" i="3"/>
  <c r="AZ111" i="3" s="1"/>
  <c r="K13" i="1"/>
  <c r="M13" i="1" s="1"/>
  <c r="O13" i="1" s="1"/>
  <c r="P13" i="1" s="1"/>
  <c r="D66" i="71"/>
  <c r="E35" i="71"/>
  <c r="E36" i="71" s="1"/>
  <c r="U36" i="71" s="1"/>
  <c r="AB31" i="71"/>
  <c r="AA36" i="71"/>
  <c r="B47" i="71"/>
  <c r="B48" i="71" s="1"/>
  <c r="S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E28" i="6" s="1"/>
  <c r="K14" i="1"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D36" i="71"/>
  <c r="T36" i="7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M6" i="1"/>
  <c r="O6" i="1" s="1"/>
  <c r="T13" i="1"/>
  <c r="C58" i="21"/>
  <c r="D58" i="21" s="1"/>
  <c r="C58" i="33"/>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6" i="1"/>
  <c r="C13" i="12" s="1"/>
  <c r="P11" i="1"/>
  <c r="E59" i="40"/>
  <c r="D9" i="11"/>
  <c r="C9" i="11" s="1"/>
  <c r="D19" i="12"/>
  <c r="C19" i="12"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I1" i="73"/>
  <c r="B39" i="1" s="1"/>
  <c r="F51" i="67"/>
  <c r="F65" i="67"/>
  <c r="J53" i="67"/>
  <c r="J57" i="67"/>
  <c r="J55" i="67" s="1"/>
  <c r="J58" i="67" s="1"/>
  <c r="Q50" i="67" s="1"/>
  <c r="L56" i="67"/>
  <c r="I54" i="67"/>
  <c r="M7" i="15"/>
  <c r="F50" i="15"/>
  <c r="F51" i="15"/>
  <c r="F66" i="67"/>
  <c r="L59" i="15"/>
  <c r="N59" i="15"/>
  <c r="M59" i="15"/>
  <c r="F66" i="15"/>
  <c r="Q71" i="67"/>
  <c r="F64" i="15"/>
  <c r="C27" i="67"/>
  <c r="F71" i="67"/>
  <c r="C27" i="15"/>
  <c r="F65" i="15"/>
  <c r="N59" i="67"/>
  <c r="L59" i="67"/>
  <c r="L58" i="67"/>
  <c r="M59" i="67"/>
  <c r="B13" i="70"/>
  <c r="M7" i="67"/>
  <c r="J6" i="67" s="1"/>
  <c r="F50" i="67"/>
  <c r="F68" i="67"/>
  <c r="F64" i="67"/>
  <c r="F68" i="15"/>
  <c r="C36" i="68"/>
  <c r="D9" i="68"/>
  <c r="F43" i="15"/>
  <c r="D7" i="73"/>
  <c r="F13" i="15"/>
  <c r="C76" i="15"/>
  <c r="D4" i="73"/>
  <c r="C36" i="69"/>
  <c r="M28" i="15"/>
  <c r="F42" i="15"/>
  <c r="M9" i="15"/>
  <c r="L48" i="15"/>
  <c r="M24" i="15"/>
  <c r="M29" i="15"/>
  <c r="D6" i="73"/>
  <c r="F16" i="15"/>
  <c r="C16" i="67"/>
  <c r="D5" i="73"/>
  <c r="M22" i="15"/>
  <c r="D9" i="69"/>
  <c r="F6" i="15"/>
  <c r="D3" i="73"/>
  <c r="M26" i="15"/>
  <c r="F9" i="15"/>
  <c r="L19" i="6" l="1"/>
  <c r="L27" i="6" s="1"/>
  <c r="E26" i="43"/>
  <c r="F26" i="43"/>
  <c r="N94" i="46"/>
  <c r="H26" i="43"/>
  <c r="G26" i="43"/>
  <c r="K16" i="1"/>
  <c r="H16" i="1"/>
  <c r="G30" i="6"/>
  <c r="G31" i="6" s="1"/>
  <c r="Q16" i="1"/>
  <c r="F28" i="12" s="1"/>
  <c r="C29" i="12" s="1"/>
  <c r="D28" i="12" s="1"/>
  <c r="F71" i="15"/>
  <c r="L58" i="15"/>
  <c r="Q60" i="15" s="1"/>
  <c r="J53" i="15"/>
  <c r="L56" i="15" s="1"/>
  <c r="J57" i="15"/>
  <c r="J55" i="15" s="1"/>
  <c r="J58" i="15" s="1"/>
  <c r="Q50" i="15" s="1"/>
  <c r="I54" i="15"/>
  <c r="Q71" i="15"/>
  <c r="F31" i="15"/>
  <c r="C6" i="15"/>
  <c r="C32" i="15" s="1"/>
  <c r="J7" i="36"/>
  <c r="C70" i="71"/>
  <c r="D70" i="71" s="1"/>
  <c r="D71" i="71"/>
  <c r="AZ425" i="3"/>
  <c r="AZ441" i="3"/>
  <c r="AB9" i="34"/>
  <c r="U9" i="34"/>
  <c r="U25" i="37"/>
  <c r="AB25" i="37"/>
  <c r="AC9" i="33"/>
  <c r="W9" i="33"/>
  <c r="J6" i="15"/>
  <c r="J18" i="15" s="1"/>
  <c r="J7" i="37"/>
  <c r="G5" i="3"/>
  <c r="B3" i="3" s="1"/>
  <c r="E371" i="3" s="1"/>
  <c r="D44" i="71"/>
  <c r="T44" i="71"/>
  <c r="AZ25" i="3"/>
  <c r="U39" i="40"/>
  <c r="AB39" i="40"/>
  <c r="AZ108" i="3"/>
  <c r="AZ91" i="3"/>
  <c r="AZ29" i="3"/>
  <c r="C82" i="71"/>
  <c r="D82" i="71" s="1"/>
  <c r="D83" i="71"/>
  <c r="T28" i="71"/>
  <c r="D28" i="71"/>
  <c r="U28" i="71" s="1"/>
  <c r="C27" i="71"/>
  <c r="AZ63" i="3"/>
  <c r="AZ57" i="3"/>
  <c r="D31" i="71"/>
  <c r="C32" i="71"/>
  <c r="AZ130" i="3"/>
  <c r="AZ244" i="3"/>
  <c r="AZ239" i="3"/>
  <c r="AZ218" i="3"/>
  <c r="AZ121" i="3"/>
  <c r="AZ263" i="3"/>
  <c r="AZ368" i="3"/>
  <c r="AZ353" i="3"/>
  <c r="AZ459" i="3"/>
  <c r="AC23" i="36"/>
  <c r="W23" i="36"/>
  <c r="AZ100" i="3"/>
  <c r="C40" i="71"/>
  <c r="D39" i="71"/>
  <c r="AZ105" i="3"/>
  <c r="C78" i="71"/>
  <c r="D78" i="71" s="1"/>
  <c r="D79" i="71"/>
  <c r="N65" i="71"/>
  <c r="N66" i="71"/>
  <c r="AZ53" i="3"/>
  <c r="AZ39" i="3"/>
  <c r="AZ197" i="3"/>
  <c r="AZ282" i="3"/>
  <c r="AZ332" i="3"/>
  <c r="AZ126" i="3"/>
  <c r="AZ271" i="3"/>
  <c r="AZ491" i="3"/>
  <c r="U23" i="35"/>
  <c r="AB23" i="35"/>
  <c r="AZ422" i="3"/>
  <c r="AZ405" i="3"/>
  <c r="AA25" i="37"/>
  <c r="S25" i="37"/>
  <c r="W12" i="34"/>
  <c r="AC12" i="34"/>
  <c r="K1" i="73"/>
  <c r="E153" i="3"/>
  <c r="E285" i="3"/>
  <c r="E338" i="3"/>
  <c r="E17" i="3"/>
  <c r="AN6" i="3"/>
  <c r="E434" i="3"/>
  <c r="E481" i="3"/>
  <c r="E73" i="3"/>
  <c r="I6" i="3"/>
  <c r="E443" i="3"/>
  <c r="E121" i="3"/>
  <c r="E125" i="3"/>
  <c r="E396" i="3"/>
  <c r="E407" i="3"/>
  <c r="E415" i="3"/>
  <c r="E382" i="3"/>
  <c r="E253" i="3"/>
  <c r="E99" i="3"/>
  <c r="E527" i="3"/>
  <c r="E433" i="3"/>
  <c r="E351" i="3"/>
  <c r="E271" i="3"/>
  <c r="E414" i="3"/>
  <c r="E447" i="3"/>
  <c r="E384" i="3"/>
  <c r="E343" i="3"/>
  <c r="E410" i="3"/>
  <c r="E270" i="3"/>
  <c r="E561" i="3"/>
  <c r="E439" i="3"/>
  <c r="E216" i="3"/>
  <c r="E528" i="3"/>
  <c r="E361" i="3"/>
  <c r="E91" i="3"/>
  <c r="E350" i="3"/>
  <c r="E495" i="3"/>
  <c r="E347" i="3"/>
  <c r="E181" i="3"/>
  <c r="AK6" i="3"/>
  <c r="E133" i="3"/>
  <c r="E472" i="3"/>
  <c r="E465" i="3"/>
  <c r="E468" i="3"/>
  <c r="E146" i="3"/>
  <c r="E214" i="3"/>
  <c r="E74" i="3"/>
  <c r="E89" i="3"/>
  <c r="E327" i="3"/>
  <c r="E485" i="3"/>
  <c r="E557" i="3"/>
  <c r="E489" i="3"/>
  <c r="E182" i="3"/>
  <c r="E377" i="3"/>
  <c r="E109" i="3"/>
  <c r="E268" i="3"/>
  <c r="E509" i="3"/>
  <c r="E431" i="3"/>
  <c r="E311" i="3"/>
  <c r="M6" i="3"/>
  <c r="E387" i="3"/>
  <c r="E189" i="3"/>
  <c r="E563" i="3"/>
  <c r="E445" i="3"/>
  <c r="E135" i="3"/>
  <c r="E423" i="3"/>
  <c r="AI6" i="3"/>
  <c r="E385" i="3"/>
  <c r="E100" i="3"/>
  <c r="E200" i="3"/>
  <c r="E119" i="3"/>
  <c r="E296" i="3"/>
  <c r="E242" i="3"/>
  <c r="E483" i="3"/>
  <c r="AA26" i="37"/>
  <c r="S26" i="37"/>
  <c r="BA5" i="3"/>
  <c r="E27" i="6" s="1"/>
  <c r="K26" i="6" s="1"/>
  <c r="M26" i="6" s="1"/>
  <c r="I26" i="6" s="1"/>
  <c r="S26" i="6" s="1"/>
  <c r="C19" i="71"/>
  <c r="T20" i="71"/>
  <c r="D20" i="71"/>
  <c r="U20" i="71" s="1"/>
  <c r="AZ5" i="3"/>
  <c r="AY6" i="3" s="1"/>
  <c r="E240" i="3"/>
  <c r="E219" i="3"/>
  <c r="W40" i="40"/>
  <c r="AC40" i="40"/>
  <c r="AC12" i="21"/>
  <c r="W12" i="21"/>
  <c r="AB12" i="21"/>
  <c r="U12" i="21"/>
  <c r="AA27" i="34"/>
  <c r="S27" i="34"/>
  <c r="AC26" i="37"/>
  <c r="W26" i="37"/>
  <c r="BL5" i="3"/>
  <c r="B15" i="71"/>
  <c r="B14" i="71" s="1"/>
  <c r="B13" i="71" s="1"/>
  <c r="B12" i="71" s="1"/>
  <c r="S16" i="71"/>
  <c r="F7" i="36"/>
  <c r="S7" i="36" s="1"/>
  <c r="H7" i="36"/>
  <c r="U7" i="36" s="1"/>
  <c r="E94" i="3"/>
  <c r="E131" i="3"/>
  <c r="E142" i="3"/>
  <c r="E369" i="3"/>
  <c r="E248" i="3"/>
  <c r="AA9" i="36"/>
  <c r="S9" i="36"/>
  <c r="AA34" i="35"/>
  <c r="S34" i="35"/>
  <c r="E15" i="71"/>
  <c r="E14" i="71" s="1"/>
  <c r="E13" i="71" s="1"/>
  <c r="E12" i="71" s="1"/>
  <c r="V16" i="71"/>
  <c r="E139" i="3"/>
  <c r="E378" i="3"/>
  <c r="S40" i="40"/>
  <c r="AA40" i="40"/>
  <c r="AC34" i="35"/>
  <c r="W34" i="35"/>
  <c r="E61" i="43"/>
  <c r="B59" i="43" s="1"/>
  <c r="B116" i="43"/>
  <c r="Z7" i="43"/>
  <c r="E30" i="6"/>
  <c r="E56" i="39"/>
  <c r="H7" i="34"/>
  <c r="AB7" i="34" s="1"/>
  <c r="T49" i="34" s="1"/>
  <c r="G49" i="34" s="1"/>
  <c r="E67" i="39"/>
  <c r="J7" i="34"/>
  <c r="W7" i="34" s="1"/>
  <c r="F7" i="34"/>
  <c r="S7" i="34" s="1"/>
  <c r="AA26" i="35"/>
  <c r="S26" i="35"/>
  <c r="AC26" i="35"/>
  <c r="W26" i="35"/>
  <c r="AB26" i="35"/>
  <c r="U26" i="35"/>
  <c r="E61" i="39"/>
  <c r="E56" i="40"/>
  <c r="C9" i="69"/>
  <c r="B29" i="1" s="1"/>
  <c r="C8" i="68" s="1"/>
  <c r="C5" i="68" s="1"/>
  <c r="C9" i="68"/>
  <c r="E72" i="43"/>
  <c r="B70" i="43" s="1"/>
  <c r="F27" i="11"/>
  <c r="C29" i="11" s="1"/>
  <c r="D27" i="11"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AC7" i="37"/>
  <c r="W7" i="37"/>
  <c r="AB7" i="36"/>
  <c r="T36" i="36" s="1"/>
  <c r="G36" i="36" s="1"/>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F11" i="67"/>
  <c r="J18" i="67"/>
  <c r="F1" i="67"/>
  <c r="Q52" i="67"/>
  <c r="Q61" i="67"/>
  <c r="Q74" i="67"/>
  <c r="Q74" i="15"/>
  <c r="Q61" i="15"/>
  <c r="AE11" i="1"/>
  <c r="AE9" i="1"/>
  <c r="F27" i="68"/>
  <c r="AE7" i="1"/>
  <c r="AE8" i="1"/>
  <c r="AE12" i="1"/>
  <c r="AE10" i="1"/>
  <c r="F41" i="67"/>
  <c r="G1" i="73"/>
  <c r="C16" i="15"/>
  <c r="C28" i="43" l="1"/>
  <c r="T9" i="43" s="1"/>
  <c r="V9" i="43" s="1"/>
  <c r="D26" i="43"/>
  <c r="C25" i="43" s="1"/>
  <c r="E272" i="3"/>
  <c r="E367" i="3"/>
  <c r="E207" i="3"/>
  <c r="E475" i="3"/>
  <c r="E532" i="3"/>
  <c r="E127" i="3"/>
  <c r="E488" i="3"/>
  <c r="E373" i="3"/>
  <c r="E48" i="3"/>
  <c r="E24" i="3"/>
  <c r="E165" i="3"/>
  <c r="E147" i="3"/>
  <c r="E15" i="3"/>
  <c r="E564" i="3"/>
  <c r="E102" i="3"/>
  <c r="E95" i="3"/>
  <c r="E118" i="3"/>
  <c r="E487" i="3"/>
  <c r="E132" i="3"/>
  <c r="X6" i="3"/>
  <c r="E191" i="3"/>
  <c r="E172" i="3"/>
  <c r="E215" i="3"/>
  <c r="E514" i="3"/>
  <c r="E579" i="3"/>
  <c r="E526" i="3"/>
  <c r="E211" i="3"/>
  <c r="E531" i="3"/>
  <c r="AO6" i="3"/>
  <c r="E227" i="3"/>
  <c r="E171" i="3"/>
  <c r="E577" i="3"/>
  <c r="K6" i="3"/>
  <c r="E545" i="3"/>
  <c r="E399" i="3"/>
  <c r="E134" i="3"/>
  <c r="E183" i="3"/>
  <c r="E231" i="3"/>
  <c r="E533" i="3"/>
  <c r="E555" i="3"/>
  <c r="E530" i="3"/>
  <c r="E210" i="3"/>
  <c r="E476" i="3"/>
  <c r="E478" i="3"/>
  <c r="E549" i="3"/>
  <c r="E279" i="3"/>
  <c r="E450" i="3"/>
  <c r="E573" i="3"/>
  <c r="E511" i="3"/>
  <c r="E583" i="3"/>
  <c r="E61" i="3"/>
  <c r="E114" i="3"/>
  <c r="E551" i="3"/>
  <c r="E239" i="3"/>
  <c r="E480" i="3"/>
  <c r="E88" i="3"/>
  <c r="AG6" i="3"/>
  <c r="E580" i="3"/>
  <c r="E55" i="3"/>
  <c r="Q6" i="3"/>
  <c r="E238" i="3"/>
  <c r="E303" i="3"/>
  <c r="E304" i="3"/>
  <c r="E418" i="3"/>
  <c r="E359" i="3"/>
  <c r="E53" i="3"/>
  <c r="E92" i="3"/>
  <c r="E432" i="3"/>
  <c r="E397" i="3"/>
  <c r="E537" i="3"/>
  <c r="E157" i="3"/>
  <c r="E187" i="3"/>
  <c r="AD6" i="3"/>
  <c r="E266" i="3"/>
  <c r="E110" i="3"/>
  <c r="E65" i="3"/>
  <c r="E365" i="3"/>
  <c r="E392" i="3"/>
  <c r="L6" i="3"/>
  <c r="E80" i="3"/>
  <c r="E494" i="3"/>
  <c r="AP6" i="3"/>
  <c r="E388" i="3"/>
  <c r="E441" i="3"/>
  <c r="E186" i="3"/>
  <c r="AS6" i="3"/>
  <c r="E585" i="3"/>
  <c r="E567" i="3"/>
  <c r="E150" i="3"/>
  <c r="E562" i="3"/>
  <c r="E519" i="3"/>
  <c r="E314" i="3"/>
  <c r="E293" i="3"/>
  <c r="E117" i="3"/>
  <c r="E130" i="3"/>
  <c r="E358" i="3"/>
  <c r="N6" i="3"/>
  <c r="E334" i="3"/>
  <c r="E581" i="3"/>
  <c r="E576" i="3"/>
  <c r="E394" i="3"/>
  <c r="AE6" i="3"/>
  <c r="E177" i="3"/>
  <c r="E156" i="3"/>
  <c r="E254" i="3"/>
  <c r="E237" i="3"/>
  <c r="E523" i="3"/>
  <c r="E328" i="3"/>
  <c r="E29" i="3"/>
  <c r="E71" i="3"/>
  <c r="U6" i="3"/>
  <c r="E357" i="3"/>
  <c r="W6" i="3"/>
  <c r="E136" i="3"/>
  <c r="E413" i="3"/>
  <c r="Y6" i="3"/>
  <c r="E582" i="3"/>
  <c r="E500" i="3"/>
  <c r="E348" i="3"/>
  <c r="E20" i="3"/>
  <c r="E339" i="3"/>
  <c r="E226" i="3"/>
  <c r="E470" i="3"/>
  <c r="E233" i="3"/>
  <c r="E286" i="3"/>
  <c r="E161" i="3"/>
  <c r="E69" i="3"/>
  <c r="AB6" i="3"/>
  <c r="E201" i="3"/>
  <c r="E322" i="3"/>
  <c r="E572" i="3"/>
  <c r="E70" i="3"/>
  <c r="E400" i="3"/>
  <c r="E204" i="3"/>
  <c r="E362" i="3"/>
  <c r="E454" i="3"/>
  <c r="E406" i="3"/>
  <c r="E277" i="3"/>
  <c r="E77" i="3"/>
  <c r="E586" i="3"/>
  <c r="E180" i="3"/>
  <c r="E185" i="3"/>
  <c r="E538" i="3"/>
  <c r="E143" i="3"/>
  <c r="E305" i="3"/>
  <c r="E44" i="3"/>
  <c r="E162" i="3"/>
  <c r="E477" i="3"/>
  <c r="E107" i="3"/>
  <c r="E31" i="3"/>
  <c r="E72" i="3"/>
  <c r="E457" i="3"/>
  <c r="E193" i="3"/>
  <c r="E453" i="3"/>
  <c r="E518" i="3"/>
  <c r="E550" i="3"/>
  <c r="E320" i="3"/>
  <c r="E229" i="3"/>
  <c r="E282" i="3"/>
  <c r="E295" i="3"/>
  <c r="E558" i="3"/>
  <c r="E252" i="3"/>
  <c r="E203" i="3"/>
  <c r="E344" i="3"/>
  <c r="E120" i="3"/>
  <c r="E353" i="3"/>
  <c r="E302" i="3"/>
  <c r="E169" i="3"/>
  <c r="E390" i="3"/>
  <c r="E426" i="3"/>
  <c r="E317" i="3"/>
  <c r="E547" i="3"/>
  <c r="E379" i="3"/>
  <c r="E257" i="3"/>
  <c r="E529" i="3"/>
  <c r="E122" i="3"/>
  <c r="E167" i="3"/>
  <c r="E374" i="3"/>
  <c r="E323" i="3"/>
  <c r="E421" i="3"/>
  <c r="E398" i="3"/>
  <c r="E340" i="3"/>
  <c r="E194" i="3"/>
  <c r="AH6" i="3"/>
  <c r="T6" i="3"/>
  <c r="E502" i="3"/>
  <c r="E59" i="3"/>
  <c r="E174" i="3"/>
  <c r="E428" i="3"/>
  <c r="E25" i="3"/>
  <c r="E38" i="3"/>
  <c r="E36" i="3"/>
  <c r="E218" i="3"/>
  <c r="E460" i="3"/>
  <c r="E222" i="3"/>
  <c r="E209" i="3"/>
  <c r="E297" i="3"/>
  <c r="E462" i="3"/>
  <c r="E195" i="3"/>
  <c r="E307" i="3"/>
  <c r="E306" i="3"/>
  <c r="E474" i="3"/>
  <c r="E168" i="3"/>
  <c r="E196" i="3"/>
  <c r="E411" i="3"/>
  <c r="E546" i="3"/>
  <c r="E291" i="3"/>
  <c r="E319" i="3"/>
  <c r="E574" i="3"/>
  <c r="S6" i="3"/>
  <c r="E321" i="3"/>
  <c r="E213" i="3"/>
  <c r="E159" i="3"/>
  <c r="E280" i="3"/>
  <c r="E262" i="3"/>
  <c r="E437" i="3"/>
  <c r="E429" i="3"/>
  <c r="E274" i="3"/>
  <c r="E236" i="3"/>
  <c r="E448" i="3"/>
  <c r="E404" i="3"/>
  <c r="E316" i="3"/>
  <c r="E366" i="3"/>
  <c r="E569" i="3"/>
  <c r="E559" i="3"/>
  <c r="E294" i="3"/>
  <c r="E260" i="3"/>
  <c r="E245" i="3"/>
  <c r="E336" i="3"/>
  <c r="E85" i="3"/>
  <c r="E45"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163" i="3"/>
  <c r="E542" i="3"/>
  <c r="E47" i="3"/>
  <c r="E149" i="3"/>
  <c r="E354" i="3"/>
  <c r="E57" i="3"/>
  <c r="E244" i="3"/>
  <c r="E386" i="3"/>
  <c r="E155" i="3"/>
  <c r="E141" i="3"/>
  <c r="E265" i="3"/>
  <c r="E50" i="3"/>
  <c r="E112" i="3"/>
  <c r="E325" i="3"/>
  <c r="E137" i="3"/>
  <c r="E540" i="3"/>
  <c r="E108" i="3"/>
  <c r="E376" i="3"/>
  <c r="E116" i="3"/>
  <c r="E49" i="3"/>
  <c r="E356" i="3"/>
  <c r="E556" i="3"/>
  <c r="E173" i="3"/>
  <c r="AF6" i="3"/>
  <c r="E482" i="3"/>
  <c r="E309" i="3"/>
  <c r="E184" i="3"/>
  <c r="E160" i="3"/>
  <c r="E389" i="3"/>
  <c r="E37" i="3"/>
  <c r="E430" i="3"/>
  <c r="E536" i="3"/>
  <c r="E507" i="3"/>
  <c r="E16" i="3"/>
  <c r="E35" i="3"/>
  <c r="E41" i="3"/>
  <c r="E408" i="3"/>
  <c r="E197" i="3"/>
  <c r="E86" i="3"/>
  <c r="AL6" i="3"/>
  <c r="E283" i="3"/>
  <c r="E84" i="3"/>
  <c r="E64" i="3"/>
  <c r="E349" i="3"/>
  <c r="E491" i="3"/>
  <c r="E442" i="3"/>
  <c r="E539" i="3"/>
  <c r="E14" i="3"/>
  <c r="E54" i="3"/>
  <c r="E288" i="3"/>
  <c r="E224" i="3"/>
  <c r="E461" i="3"/>
  <c r="E98" i="3"/>
  <c r="E87" i="3"/>
  <c r="E179" i="3"/>
  <c r="E259" i="3"/>
  <c r="E584" i="3"/>
  <c r="E436" i="3"/>
  <c r="E19" i="3"/>
  <c r="E446" i="3"/>
  <c r="E416" i="3"/>
  <c r="E51" i="3"/>
  <c r="E58" i="3"/>
  <c r="E566" i="3"/>
  <c r="E101" i="3"/>
  <c r="E62" i="3"/>
  <c r="E289" i="3"/>
  <c r="E52" i="3"/>
  <c r="E234" i="3"/>
  <c r="E79" i="3"/>
  <c r="E372" i="3"/>
  <c r="E419" i="3"/>
  <c r="E543" i="3"/>
  <c r="E329" i="3"/>
  <c r="E190" i="3"/>
  <c r="E420" i="3"/>
  <c r="E512" i="3"/>
  <c r="E308" i="3"/>
  <c r="E235" i="3"/>
  <c r="E391" i="3"/>
  <c r="E68" i="3"/>
  <c r="E310" i="3"/>
  <c r="E467" i="3"/>
  <c r="E258" i="3"/>
  <c r="E554" i="3"/>
  <c r="E510" i="3"/>
  <c r="E575" i="3"/>
  <c r="E449" i="3"/>
  <c r="E417" i="3"/>
  <c r="E241" i="3"/>
  <c r="E409" i="3"/>
  <c r="E267" i="3"/>
  <c r="E67" i="3"/>
  <c r="E63" i="3"/>
  <c r="E198" i="3"/>
  <c r="E18" i="3"/>
  <c r="E34" i="3"/>
  <c r="E22" i="3"/>
  <c r="E405" i="3"/>
  <c r="E497" i="3"/>
  <c r="E115" i="3"/>
  <c r="E220" i="3"/>
  <c r="E158" i="3"/>
  <c r="E105" i="3"/>
  <c r="E422" i="3"/>
  <c r="E401" i="3"/>
  <c r="E276" i="3"/>
  <c r="E473"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230" i="3"/>
  <c r="E395" i="3"/>
  <c r="E290" i="3"/>
  <c r="E578" i="3"/>
  <c r="Q18" i="1"/>
  <c r="Q73" i="15"/>
  <c r="Q52" i="15"/>
  <c r="F1" i="15"/>
  <c r="E3" i="6"/>
  <c r="J5" i="15"/>
  <c r="J24" i="15" s="1"/>
  <c r="AA7" i="36"/>
  <c r="R36" i="36" s="1"/>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T32" i="71"/>
  <c r="D32" i="71"/>
  <c r="C26" i="71"/>
  <c r="D26" i="71" s="1"/>
  <c r="D27" i="71"/>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7" i="43"/>
  <c r="V7" i="43" s="1"/>
  <c r="T5" i="43"/>
  <c r="V5" i="43" s="1"/>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AE6" i="1"/>
  <c r="M27" i="15"/>
  <c r="M27" i="67"/>
  <c r="F27" i="69"/>
  <c r="F41" i="15"/>
  <c r="C47" i="69" l="1"/>
  <c r="D45" i="69" s="1"/>
  <c r="F45" i="69"/>
  <c r="T2" i="43"/>
  <c r="V2" i="43" s="1"/>
  <c r="T13" i="43"/>
  <c r="V13" i="43" s="1"/>
  <c r="T8" i="43"/>
  <c r="V8" i="43" s="1"/>
  <c r="C37" i="43"/>
  <c r="T14" i="43"/>
  <c r="V14" i="43" s="1"/>
  <c r="C40" i="43"/>
  <c r="E40" i="43" s="1"/>
  <c r="T4" i="43"/>
  <c r="V4" i="43" s="1"/>
  <c r="T16" i="43"/>
  <c r="V16" i="43" s="1"/>
  <c r="T15" i="43"/>
  <c r="V15" i="43" s="1"/>
  <c r="C41" i="43"/>
  <c r="E41" i="43" s="1"/>
  <c r="T6" i="43"/>
  <c r="V6" i="43" s="1"/>
  <c r="T10" i="43"/>
  <c r="V10" i="43" s="1"/>
  <c r="T11" i="43"/>
  <c r="V11" i="43" s="1"/>
  <c r="C33" i="43"/>
  <c r="T3" i="43"/>
  <c r="V3" i="43" s="1"/>
  <c r="T12" i="43"/>
  <c r="V12" i="43" s="1"/>
  <c r="AC6" i="3"/>
  <c r="C29" i="69"/>
  <c r="D27" i="69" s="1"/>
  <c r="H6" i="3"/>
  <c r="E6" i="3" s="1"/>
  <c r="F24" i="67"/>
  <c r="C24" i="67" s="1"/>
  <c r="F24" i="15"/>
  <c r="C24" i="15" s="1"/>
  <c r="F22" i="69"/>
  <c r="F41" i="69" s="1"/>
  <c r="F25" i="12"/>
  <c r="C26" i="12" s="1"/>
  <c r="D25" i="12" s="1"/>
  <c r="F22" i="68"/>
  <c r="C26" i="68" s="1"/>
  <c r="D22" i="68" s="1"/>
  <c r="F22" i="11"/>
  <c r="C23" i="11" s="1"/>
  <c r="D116" i="43"/>
  <c r="O36" i="43"/>
  <c r="Q36" i="43"/>
  <c r="N36" i="43"/>
  <c r="M36" i="43"/>
  <c r="P36" i="43"/>
  <c r="C17" i="71"/>
  <c r="D18"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G41" i="43"/>
  <c r="I41" i="43" s="1"/>
  <c r="E37" i="43"/>
  <c r="G37" i="43"/>
  <c r="I37" i="43" s="1"/>
  <c r="G38" i="43"/>
  <c r="I38" i="43" s="1"/>
  <c r="E38"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66" i="67"/>
  <c r="C60" i="67"/>
  <c r="D10" i="68"/>
  <c r="C17" i="67"/>
  <c r="D10" i="69"/>
  <c r="C34" i="69"/>
  <c r="C17" i="15"/>
  <c r="C14" i="67"/>
  <c r="E33" i="43" l="1"/>
  <c r="C30" i="43" s="1"/>
  <c r="B2" i="43" s="1"/>
  <c r="B3" i="43" s="1"/>
  <c r="C34" i="43"/>
  <c r="E34" i="43" s="1"/>
  <c r="C31" i="43" s="1"/>
  <c r="C26" i="11"/>
  <c r="D22" i="11" s="1"/>
  <c r="C25" i="11"/>
  <c r="C24" i="11"/>
  <c r="C44" i="11"/>
  <c r="D41" i="11" s="1"/>
  <c r="C44" i="68"/>
  <c r="D41" i="68" s="1"/>
  <c r="C44" i="69"/>
  <c r="D41" i="69" s="1"/>
  <c r="C23" i="68"/>
  <c r="C16" i="71"/>
  <c r="D17"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15"/>
  <c r="F35" i="67"/>
  <c r="E48" i="21" l="1"/>
  <c r="E53" i="21" s="1"/>
  <c r="F53" i="21" s="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10" i="71" l="1"/>
  <c r="D11"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D19" i="9"/>
  <c r="L51" i="67"/>
  <c r="D102" i="9" l="1"/>
  <c r="D21" i="9"/>
  <c r="B3" i="2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4"/>
  <c r="D20" i="9"/>
  <c r="D2" i="37"/>
  <c r="D103" i="9" l="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0" i="1"/>
  <c r="AO8" i="1"/>
  <c r="AO12" i="1"/>
  <c r="AO7" i="1"/>
  <c r="AO9" i="1"/>
  <c r="AO11" i="1"/>
  <c r="R48" i="39" l="1"/>
  <c r="C48" i="39" s="1"/>
  <c r="C7" i="71"/>
  <c r="D8" i="71"/>
  <c r="L46" i="15"/>
  <c r="B2" i="15" s="1"/>
  <c r="Q66" i="15"/>
  <c r="Q75" i="15" s="1"/>
  <c r="Q62" i="15"/>
  <c r="B9" i="70"/>
  <c r="B11" i="70"/>
  <c r="B7" i="70"/>
  <c r="B10" i="70"/>
  <c r="B12" i="70"/>
  <c r="B8" i="70"/>
  <c r="G51" i="39"/>
  <c r="H51" i="39" s="1"/>
  <c r="G52" i="39"/>
  <c r="H52" i="39" s="1"/>
  <c r="I51" i="39"/>
  <c r="J51" i="39" s="1"/>
  <c r="I52" i="39"/>
  <c r="J52" i="39" s="1"/>
  <c r="C47" i="39"/>
  <c r="C6" i="69" s="1"/>
  <c r="E52" i="39"/>
  <c r="F52" i="39" s="1"/>
  <c r="E51" i="39"/>
  <c r="F51" i="39" s="1"/>
  <c r="U7" i="40"/>
  <c r="AB7" i="40"/>
  <c r="T42" i="40" s="1"/>
  <c r="G42" i="40" s="1"/>
  <c r="AA7" i="40"/>
  <c r="R42" i="40" s="1"/>
  <c r="S7" i="40"/>
  <c r="AC7" i="40"/>
  <c r="V42" i="40" s="1"/>
  <c r="I42" i="40" s="1"/>
  <c r="W7" i="40"/>
  <c r="AO6" i="1"/>
  <c r="C7" i="69" l="1"/>
  <c r="C5" i="69"/>
  <c r="B6" i="70"/>
  <c r="B3" i="15"/>
  <c r="D7" i="71"/>
  <c r="C6" i="7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3" i="69" l="1"/>
  <c r="C20" i="69"/>
  <c r="F65" i="39"/>
  <c r="B2" i="39" s="1"/>
  <c r="B3" i="39" s="1"/>
  <c r="D6" i="71"/>
  <c r="C5" i="71"/>
  <c r="D5" i="71" s="1"/>
  <c r="M24" i="43" s="1"/>
  <c r="C42" i="40"/>
  <c r="C43" i="40"/>
  <c r="E47" i="40"/>
  <c r="F47" i="40" s="1"/>
  <c r="E46" i="40"/>
  <c r="F46" i="40" s="1"/>
  <c r="I47" i="40"/>
  <c r="J47" i="40" s="1"/>
  <c r="C28" i="69" l="1"/>
  <c r="C27" i="69" s="1"/>
  <c r="C25" i="69"/>
  <c r="C22" i="69" s="1"/>
  <c r="C31" i="69" s="1"/>
  <c r="C52" i="69" s="1"/>
  <c r="B58" i="40"/>
  <c r="F58" i="40" s="1"/>
  <c r="B54" i="40"/>
  <c r="F54" i="40" s="1"/>
  <c r="B53" i="40"/>
  <c r="F53" i="40" s="1"/>
  <c r="B59" i="40"/>
  <c r="F59" i="40" s="1"/>
  <c r="B52" i="40"/>
  <c r="F52" i="40" s="1"/>
  <c r="B56" i="40"/>
  <c r="F56" i="40" s="1"/>
  <c r="B60" i="40"/>
  <c r="F60" i="40" s="1"/>
  <c r="B57" i="40"/>
  <c r="F57" i="40" s="1"/>
  <c r="B51" i="40"/>
  <c r="F51" i="40" s="1"/>
  <c r="F61" i="40"/>
  <c r="B2" i="40" s="1"/>
  <c r="B3" i="40" s="1"/>
  <c r="B2" i="69" l="1"/>
  <c r="C57" i="69"/>
  <c r="C56" i="69" s="1"/>
  <c r="B3" i="69"/>
  <c r="C20" i="9" s="1"/>
  <c r="C19" i="9"/>
  <c r="C102" i="9" l="1"/>
  <c r="C21" i="9"/>
  <c r="D22" i="9"/>
  <c r="G19" i="9"/>
  <c r="G21" i="9" s="1"/>
  <c r="C103" i="9"/>
  <c r="G20" i="9"/>
  <c r="R24" i="31" l="1"/>
  <c r="C32" i="9"/>
  <c r="C35" i="9" s="1"/>
  <c r="C34" i="9" s="1"/>
  <c r="R29" i="31" l="1"/>
  <c r="S29" i="31" s="1"/>
  <c r="R50" i="31"/>
  <c r="S50" i="31" s="1"/>
  <c r="R28" i="31"/>
  <c r="S28" i="31" s="1"/>
  <c r="R31" i="31"/>
  <c r="S31" i="31" s="1"/>
  <c r="R48" i="31"/>
  <c r="S48" i="31" s="1"/>
  <c r="R26" i="31"/>
  <c r="S26" i="31" s="1"/>
  <c r="R40" i="31"/>
  <c r="S40" i="31" s="1"/>
  <c r="R53" i="31"/>
  <c r="S53" i="31" s="1"/>
  <c r="R35" i="31"/>
  <c r="S35" i="31" s="1"/>
  <c r="R52" i="31"/>
  <c r="S52" i="31" s="1"/>
  <c r="R44" i="31"/>
  <c r="S44" i="31" s="1"/>
  <c r="R47" i="31"/>
  <c r="S47" i="31" s="1"/>
  <c r="R64" i="31"/>
  <c r="S64" i="31" s="1"/>
  <c r="R42" i="31"/>
  <c r="S42" i="31" s="1"/>
  <c r="R41" i="31"/>
  <c r="S41" i="31" s="1"/>
  <c r="R62" i="31"/>
  <c r="S62" i="31" s="1"/>
  <c r="R30" i="31"/>
  <c r="S30" i="31" s="1"/>
  <c r="R54" i="31"/>
  <c r="S54" i="31" s="1"/>
  <c r="R32" i="31"/>
  <c r="S32" i="31" s="1"/>
  <c r="R45" i="31"/>
  <c r="S45" i="31" s="1"/>
  <c r="R27" i="31"/>
  <c r="S27" i="31" s="1"/>
  <c r="R38" i="31"/>
  <c r="S38" i="31" s="1"/>
  <c r="R57" i="31"/>
  <c r="S57" i="31" s="1"/>
  <c r="R39" i="31"/>
  <c r="S39" i="31" s="1"/>
  <c r="S24" i="31"/>
  <c r="R59" i="31"/>
  <c r="S59" i="31" s="1"/>
  <c r="R33" i="31"/>
  <c r="S33" i="31" s="1"/>
  <c r="R58" i="31"/>
  <c r="S58" i="31" s="1"/>
  <c r="R25" i="31"/>
  <c r="S25" i="31" s="1"/>
  <c r="R46" i="31"/>
  <c r="S46" i="31" s="1"/>
  <c r="R63" i="31"/>
  <c r="S63" i="31" s="1"/>
  <c r="R37" i="31"/>
  <c r="S37" i="31" s="1"/>
  <c r="R36" i="31"/>
  <c r="S36" i="31" s="1"/>
  <c r="R49" i="31"/>
  <c r="S49" i="31" s="1"/>
  <c r="R56" i="31"/>
  <c r="S56" i="31" s="1"/>
  <c r="R34" i="31"/>
  <c r="S34" i="31" s="1"/>
  <c r="R51" i="31"/>
  <c r="S51" i="31" s="1"/>
  <c r="R61" i="31"/>
  <c r="S61" i="31" s="1"/>
  <c r="R43" i="31"/>
  <c r="S43" i="31" s="1"/>
  <c r="R60" i="31"/>
  <c r="S60" i="31" s="1"/>
  <c r="R55" i="31"/>
  <c r="S55" i="31" s="1"/>
  <c r="S22" i="31" l="1"/>
  <c r="B20" i="31" l="1"/>
  <c r="R22" i="31"/>
  <c r="D14" i="74" l="1"/>
  <c r="B21" i="31"/>
  <c r="B5" i="74" l="1"/>
  <c r="G14" i="74"/>
  <c r="B6" i="74" s="1"/>
  <c r="F14" i="74"/>
  <c r="E14" i="74"/>
  <c r="D6" i="74" l="1"/>
  <c r="D5" i="74"/>
  <c r="D52" i="9"/>
  <c r="D53" i="9"/>
  <c r="B31" i="72"/>
  <c r="P57" i="9"/>
  <c r="N58" i="9"/>
  <c r="B30" i="72"/>
  <c r="C104" i="9"/>
  <c r="H4" i="52"/>
  <c r="B20" i="72"/>
  <c r="C5" i="74"/>
  <c r="N60" i="9"/>
  <c r="N59" i="9"/>
  <c r="N61" i="9"/>
  <c r="B51" i="72"/>
  <c r="B52" i="72"/>
  <c r="G4" i="52"/>
  <c r="D8" i="52"/>
  <c r="C81" i="9"/>
  <c r="N57" i="9"/>
  <c r="D4" i="52"/>
  <c r="B47" i="72"/>
  <c r="C105" i="9"/>
  <c r="I4" i="52"/>
  <c r="L66" i="9"/>
  <c r="M66" i="9"/>
  <c r="B53" i="72"/>
  <c r="C78" i="9"/>
  <c r="C73" i="9"/>
  <c r="D54" i="9"/>
  <c r="D6" i="53"/>
  <c r="B22" i="72"/>
  <c r="H102" i="9"/>
  <c r="D7" i="53"/>
  <c r="B21" i="72"/>
  <c r="F4" i="52"/>
  <c r="D122" i="9"/>
  <c r="D123" i="9"/>
  <c r="D9" i="52"/>
  <c r="D56" i="9"/>
  <c r="M54" i="9"/>
  <c r="C68" i="9"/>
  <c r="C80" i="9"/>
  <c r="E80" i="9"/>
  <c r="E81" i="9"/>
  <c r="L65" i="9"/>
  <c r="M65" i="9"/>
  <c r="C97" i="9"/>
  <c r="D58" i="9"/>
  <c r="L68" i="9"/>
  <c r="M68" i="9"/>
  <c r="D59" i="9"/>
  <c r="M55" i="9"/>
  <c r="L63" i="9"/>
  <c r="M63" i="9"/>
  <c r="M69" i="9"/>
  <c r="N69" i="9"/>
  <c r="C6" i="74"/>
  <c r="H108" i="9"/>
  <c r="D15" i="53"/>
  <c r="H119" i="9"/>
  <c r="H5" i="52"/>
  <c r="D118" i="9"/>
  <c r="D119" i="9"/>
  <c r="D5" i="52"/>
  <c r="B49" i="72"/>
  <c r="L64" i="9"/>
  <c r="M64" i="9"/>
  <c r="G118" i="9"/>
  <c r="F118" i="9"/>
  <c r="F119" i="9"/>
  <c r="F5" i="52"/>
  <c r="C64" i="9"/>
  <c r="C63" i="9"/>
  <c r="C67" i="9"/>
  <c r="M49" i="9"/>
  <c r="L67" i="9"/>
  <c r="M67" i="9"/>
  <c r="M48" i="9"/>
  <c r="D5" i="53"/>
  <c r="D55" i="9"/>
  <c r="M53" i="9"/>
  <c r="E118" i="9"/>
  <c r="E4" i="52"/>
  <c r="B48" i="72"/>
  <c r="H107" i="9"/>
  <c r="D13" i="53"/>
  <c r="D14" i="53"/>
  <c r="B32" i="72"/>
  <c r="C93" i="9"/>
  <c r="C86" i="9"/>
  <c r="C85" i="9"/>
  <c r="C95" i="9"/>
  <c r="C96" i="9"/>
  <c r="E96" i="9"/>
  <c r="E97" i="9"/>
  <c r="I118" i="9"/>
  <c r="H118" i="9"/>
  <c r="H101" i="9"/>
  <c r="D45" i="9"/>
  <c r="C72" i="9"/>
  <c r="C79"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<sst xmlns="http://schemas.openxmlformats.org/spreadsheetml/2006/main" count="9317" uniqueCount="3909">
  <si>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</si>
  <si>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</si>
  <si>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</si>
  <si>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</si>
  <si>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</si>
  <si>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</si>
  <si>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</si>
  <si>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</si>
  <si>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</si>
  <si>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</si>
  <si>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</si>
  <si>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</si>
  <si>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</si>
  <si>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</si>
  <si>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</si>
  <si>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</si>
  <si>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</si>
  <si>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</si>
  <si>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</si>
  <si>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</si>
  <si>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</si>
  <si>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</si>
  <si>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</si>
  <si>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</si>
  <si>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</si>
  <si>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</si>
  <si>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</si>
  <si>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</si>
  <si>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</si>
  <si>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</si>
  <si>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</si>
  <si>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</si>
  <si>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</si>
  <si>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</si>
  <si>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</si>
  <si>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</si>
  <si>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</si>
  <si>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</si>
  <si>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</si>
  <si>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</si>
  <si>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</si>
  <si>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</si>
  <si>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</si>
  <si>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</si>
  <si>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</si>
  <si>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</si>
  <si>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</si>
  <si>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</si>
  <si>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</si>
  <si>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</si>
  <si>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</si>
  <si>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</si>
  <si>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</si>
  <si>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</si>
  <si>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</si>
  <si>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</si>
  <si>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</si>
  <si>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</si>
  <si>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</si>
  <si>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</si>
  <si>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</si>
  <si>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</si>
  <si>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</si>
  <si>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</si>
  <si>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</si>
  <si>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</si>
  <si>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</si>
  <si>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</si>
  <si>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</si>
  <si>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</si>
  <si>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</si>
  <si>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</si>
  <si>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</si>
  <si>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</si>
  <si>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</si>
  <si>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</si>
  <si>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</si>
  <si>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</si>
  <si>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</si>
  <si>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</si>
  <si>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</si>
  <si>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</si>
  <si>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</si>
  <si>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</si>
  <si>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</si>
  <si>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</si>
  <si>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</si>
  <si>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</si>
  <si>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</si>
  <si>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</si>
  <si>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</si>
  <si>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</si>
  <si>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</si>
  <si>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</si>
  <si>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</si>
  <si>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</si>
  <si>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</si>
  <si>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</si>
  <si>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</si>
  <si>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</si>
  <si>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</si>
  <si>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</si>
  <si>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</si>
  <si>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</si>
  <si>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</si>
  <si>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</si>
  <si>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</si>
  <si>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</si>
  <si>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</si>
  <si>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</si>
  <si>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</si>
  <si>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</si>
  <si>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</si>
  <si>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</si>
  <si>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</si>
  <si>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</si>
  <si>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</si>
  <si>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</si>
  <si>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</si>
  <si>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</si>
  <si>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</si>
  <si>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</si>
  <si>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</si>
  <si>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</si>
  <si>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</si>
  <si>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</si>
  <si>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</si>
  <si>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</si>
  <si>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</si>
  <si>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</si>
  <si>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</si>
  <si>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</si>
  <si>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</si>
  <si>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</si>
  <si>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</si>
  <si>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</si>
  <si>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</si>
  <si>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</si>
  <si>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</si>
  <si>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</si>
  <si>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</si>
  <si>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</si>
  <si>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</si>
  <si>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</si>
  <si>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</si>
  <si>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</si>
  <si>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</si>
  <si>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</si>
  <si>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</si>
  <si>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</si>
  <si>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</si>
  <si>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</si>
  <si>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</si>
  <si>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</si>
  <si>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</si>
  <si>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</si>
  <si>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</si>
  <si>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</si>
  <si>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</si>
  <si>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</si>
  <si>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</si>
  <si>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</si>
  <si>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</si>
  <si>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</si>
  <si>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</si>
  <si>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</si>
  <si>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</si>
  <si>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</si>
  <si>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</si>
  <si>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</si>
  <si>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</si>
  <si>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</si>
  <si>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</si>
  <si>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</si>
  <si>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</si>
  <si>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</si>
  <si>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</si>
  <si>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</si>
  <si>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</si>
  <si>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</si>
  <si>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</si>
  <si>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</si>
  <si>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</si>
  <si>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</si>
  <si>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</si>
  <si>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</si>
  <si>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</si>
  <si>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</si>
  <si>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</si>
  <si>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</si>
  <si>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</si>
  <si>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</si>
  <si>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</si>
  <si>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</si>
  <si>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</si>
  <si>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</si>
  <si>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</si>
  <si>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</si>
  <si>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</si>
  <si>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</si>
  <si>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</si>
  <si>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</si>
  <si>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</si>
  <si>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</si>
  <si>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</si>
  <si>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</si>
  <si>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</si>
  <si>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</si>
  <si>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</si>
  <si>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</si>
  <si>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</si>
  <si>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</si>
  <si>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</si>
  <si>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</si>
  <si>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</si>
  <si>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</si>
  <si>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</si>
  <si>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</si>
  <si>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</si>
  <si>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</si>
  <si>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</si>
  <si>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</si>
  <si>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</si>
  <si>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</si>
  <si>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</si>
  <si>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</si>
  <si>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</si>
  <si>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</si>
  <si>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</si>
  <si>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</si>
  <si>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</si>
  <si>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</si>
  <si>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</si>
  <si>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</si>
  <si>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</si>
  <si>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</si>
  <si>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</si>
  <si>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</si>
  <si>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</si>
  <si>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</si>
  <si>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</si>
  <si>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</si>
  <si>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</si>
  <si>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</si>
  <si>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</si>
  <si>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</si>
  <si>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</si>
  <si>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</si>
  <si>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</si>
  <si>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</si>
  <si>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</si>
  <si>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</si>
  <si>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</si>
  <si>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</si>
  <si>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</si>
  <si>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</si>
  <si>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</si>
  <si>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</si>
  <si>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</si>
  <si>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</si>
  <si>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</si>
  <si>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</si>
  <si>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</si>
  <si>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</si>
  <si>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</si>
  <si>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</si>
  <si>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</si>
  <si>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</si>
  <si>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</si>
  <si>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</si>
  <si>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</si>
  <si>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</si>
  <si>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</si>
  <si>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</si>
  <si>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</si>
  <si>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</si>
  <si>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</si>
  <si>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</si>
  <si>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</si>
  <si>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</si>
  <si>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</si>
  <si>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</si>
  <si>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</si>
  <si>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</si>
  <si>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</si>
  <si>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</si>
  <si>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</si>
  <si>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</si>
  <si>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</si>
  <si>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</si>
  <si>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</si>
  <si>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</si>
  <si>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</si>
  <si>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</si>
  <si>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</si>
  <si>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</si>
  <si>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</si>
  <si>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</si>
  <si>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</si>
  <si>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</si>
  <si>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</si>
  <si>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</si>
  <si>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</si>
  <si>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</si>
  <si>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</si>
  <si>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</si>
  <si>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</si>
  <si>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</si>
  <si>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</si>
  <si>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</si>
  <si>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</si>
  <si>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</si>
  <si>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</si>
  <si>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</si>
  <si>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</si>
  <si>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</si>
  <si>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</si>
  <si>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</si>
  <si>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</si>
  <si>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</si>
  <si>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</si>
  <si>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</si>
  <si>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</si>
  <si>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</si>
  <si>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</si>
  <si>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</si>
  <si>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</si>
  <si>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</si>
  <si>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</si>
  <si>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</si>
  <si>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</si>
  <si>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</si>
  <si>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</si>
  <si>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</si>
  <si>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</si>
  <si>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</si>
  <si>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</si>
  <si>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</si>
  <si>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</si>
  <si>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</si>
  <si>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</si>
  <si>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</si>
  <si>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</si>
  <si>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</si>
  <si>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</si>
  <si>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</si>
  <si>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</si>
  <si>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</si>
  <si>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</si>
  <si>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</si>
  <si>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</si>
  <si>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</si>
  <si>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</si>
  <si>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</si>
  <si>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</si>
  <si>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</si>
  <si>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</si>
  <si>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</si>
  <si>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</si>
  <si>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</si>
  <si>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</si>
  <si>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</si>
  <si>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</si>
  <si>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</si>
  <si>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</si>
  <si>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</si>
  <si>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</si>
  <si>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</si>
  <si>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</si>
  <si>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</si>
  <si>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</si>
  <si>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</si>
  <si>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</si>
  <si>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</si>
  <si>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</si>
  <si>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</si>
  <si>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</si>
  <si>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</si>
  <si>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</si>
  <si>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</si>
  <si>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</si>
  <si>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</si>
  <si>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</si>
  <si>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</si>
  <si>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</si>
  <si>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</si>
  <si>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</si>
  <si>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</si>
  <si>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</si>
  <si>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</si>
  <si>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</si>
  <si>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</si>
  <si>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</si>
  <si>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</si>
  <si>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</si>
  <si>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</si>
  <si>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</si>
  <si>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</si>
  <si>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</si>
  <si>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</si>
  <si>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</si>
  <si>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</si>
  <si>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</si>
  <si>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</si>
  <si>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</si>
  <si>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</si>
  <si>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</si>
  <si>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</si>
  <si>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</si>
  <si>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</si>
  <si>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</si>
  <si>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</si>
  <si>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</si>
  <si>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</si>
  <si>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</si>
  <si>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</si>
  <si>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</si>
  <si>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</si>
  <si>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</si>
  <si>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</si>
  <si>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</si>
  <si>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</si>
  <si>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</si>
  <si>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</si>
  <si>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</si>
  <si>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</si>
  <si>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</si>
  <si>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</si>
  <si>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</si>
  <si>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</si>
  <si>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</si>
  <si>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</si>
  <si>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</si>
  <si>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</si>
  <si>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</si>
  <si>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</si>
  <si>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</si>
  <si>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</si>
  <si>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</si>
  <si>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</si>
  <si>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</si>
  <si>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</si>
  <si>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</si>
  <si>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</si>
  <si>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</si>
  <si>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</si>
  <si>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</si>
  <si>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</si>
  <si>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</si>
  <si>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</si>
  <si>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</si>
  <si>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</si>
  <si>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</si>
  <si>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</si>
  <si>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</si>
  <si>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</si>
  <si>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</si>
  <si>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</si>
  <si>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</si>
  <si>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</si>
  <si>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</si>
  <si>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</si>
  <si>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</si>
  <si>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</si>
  <si>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</si>
  <si>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</si>
  <si>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</si>
  <si>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</si>
  <si>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</si>
  <si>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</si>
  <si>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</si>
  <si>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</si>
  <si>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</si>
  <si>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</si>
  <si>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</si>
  <si>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</si>
  <si>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</si>
  <si>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</si>
  <si>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</si>
  <si>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</si>
  <si>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</si>
  <si>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</si>
  <si>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</si>
  <si>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</si>
  <si>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</si>
  <si>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</si>
  <si>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</si>
  <si>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</si>
  <si>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</si>
  <si>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</si>
  <si>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</si>
  <si>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</si>
  <si>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</si>
  <si>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</si>
  <si>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</si>
  <si>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</si>
  <si>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</si>
  <si>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</si>
  <si>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</si>
  <si>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</si>
  <si>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</si>
  <si>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</si>
  <si>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</si>
  <si>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</si>
  <si>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</si>
  <si>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</si>
  <si>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</si>
  <si>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</si>
  <si>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</si>
  <si>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</si>
  <si>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</si>
  <si>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</si>
  <si>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</si>
  <si>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</si>
  <si>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</si>
  <si>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</si>
  <si>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</si>
  <si>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</si>
  <si>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</si>
  <si>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</si>
  <si>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</si>
  <si>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</si>
  <si>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</si>
  <si>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</si>
  <si>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</si>
  <si>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</si>
  <si>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</si>
  <si>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</si>
  <si>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</si>
  <si>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</si>
  <si>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</si>
  <si>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</si>
  <si>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</si>
  <si>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</si>
  <si>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</si>
  <si>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</si>
  <si>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</si>
  <si>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</si>
  <si>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</si>
  <si>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</si>
  <si>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</si>
  <si>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</si>
  <si>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</si>
  <si>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</si>
  <si>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</si>
  <si>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</si>
  <si>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</si>
  <si>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</si>
  <si>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</si>
  <si>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</si>
  <si>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</si>
  <si>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</si>
  <si>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</si>
  <si>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</si>
  <si>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</si>
  <si>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</si>
  <si>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</si>
  <si>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</si>
  <si>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</si>
  <si>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</si>
  <si>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</si>
  <si>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</si>
  <si>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</si>
  <si>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</si>
  <si>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</si>
  <si>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</si>
  <si>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</si>
  <si>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</si>
  <si>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</si>
  <si>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</si>
  <si>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</si>
  <si>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</si>
  <si>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</si>
  <si>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</si>
  <si>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</si>
  <si>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</si>
  <si>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</si>
  <si>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</si>
  <si>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</si>
  <si>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</si>
  <si>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</si>
  <si>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</si>
  <si>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</si>
  <si>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</si>
  <si>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</si>
  <si>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</si>
  <si>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</si>
  <si>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</si>
  <si>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</si>
  <si>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</si>
  <si>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</si>
  <si>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</si>
  <si>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</si>
  <si>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</si>
  <si>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</si>
  <si>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</si>
  <si>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</si>
  <si>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</si>
  <si>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</si>
  <si>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</si>
  <si>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</si>
  <si>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</si>
  <si>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</si>
  <si>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</si>
  <si>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</si>
  <si>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</si>
  <si>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</si>
  <si>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</si>
  <si>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</si>
  <si>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</si>
  <si>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</si>
  <si>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</si>
  <si>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</si>
  <si>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</si>
  <si>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</si>
  <si>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</si>
  <si>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</si>
  <si>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</si>
  <si>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</si>
  <si>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</si>
  <si>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</si>
  <si>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</si>
  <si>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</si>
  <si>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</si>
  <si>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</si>
  <si>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</si>
  <si>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</si>
  <si>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</si>
  <si>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</si>
  <si>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</si>
  <si>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</si>
  <si>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</si>
  <si>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</si>
  <si>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</si>
  <si>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</si>
  <si>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</si>
  <si>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</si>
  <si>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</si>
  <si>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</si>
  <si>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</si>
  <si>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</si>
  <si>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</si>
  <si>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</si>
  <si>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</si>
  <si>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</si>
  <si>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</si>
  <si>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</si>
  <si>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</si>
  <si>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</si>
  <si>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</si>
  <si>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</si>
  <si>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</si>
  <si>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</si>
  <si>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</si>
  <si>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</si>
  <si>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</si>
  <si>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</si>
  <si>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</si>
  <si>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</si>
  <si>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</si>
  <si>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</si>
  <si>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</si>
  <si>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</si>
  <si>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</si>
  <si>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</si>
  <si>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</si>
  <si>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</si>
  <si>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</si>
  <si>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</si>
  <si>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</si>
  <si>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</si>
  <si>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</si>
  <si>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</si>
  <si>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</si>
  <si>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</si>
  <si>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</si>
  <si>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</si>
  <si>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</si>
  <si>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</si>
  <si>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</si>
  <si>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</si>
  <si>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</si>
  <si>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</si>
  <si>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</si>
  <si>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</si>
  <si>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</si>
  <si>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</si>
  <si>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</si>
  <si>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</si>
  <si>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</si>
  <si>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</si>
  <si>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</si>
  <si>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</si>
  <si>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</si>
  <si>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</si>
  <si>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</si>
  <si>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</si>
  <si>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</si>
  <si>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</si>
  <si>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</si>
  <si>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</si>
  <si>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</si>
  <si>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</si>
  <si>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</si>
  <si>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</si>
  <si>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</si>
  <si>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</si>
  <si>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</si>
  <si>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</si>
  <si>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</si>
  <si>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</si>
  <si>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</si>
  <si>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</si>
  <si>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</si>
  <si>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</si>
  <si>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</si>
  <si>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</si>
  <si>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</si>
  <si>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</si>
  <si>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</si>
  <si>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</si>
  <si>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</si>
  <si>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</si>
  <si>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</si>
  <si>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</si>
  <si>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</si>
  <si>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</si>
  <si>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</si>
  <si>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</si>
  <si>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</si>
  <si>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</si>
  <si>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</si>
  <si>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</si>
  <si>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</si>
  <si>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</si>
  <si>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</si>
  <si>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</si>
  <si>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</si>
  <si>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</si>
  <si>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</si>
  <si>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</si>
  <si>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</si>
  <si>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</si>
  <si>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</si>
  <si>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</si>
  <si>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</si>
  <si>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</si>
  <si>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</si>
  <si>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</si>
  <si>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</si>
  <si>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</si>
  <si>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</si>
  <si>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</si>
  <si>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</si>
  <si>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</si>
  <si>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</si>
  <si>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</si>
  <si>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</si>
  <si>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</si>
  <si>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</si>
  <si>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</si>
  <si>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</si>
  <si>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</si>
  <si>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</si>
  <si>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</si>
  <si>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</si>
  <si>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</si>
  <si>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</si>
  <si>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</si>
  <si>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</si>
  <si>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</si>
  <si>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</si>
  <si>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</si>
  <si>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</si>
  <si>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</si>
  <si>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</si>
  <si>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</si>
  <si>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</si>
  <si>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</si>
  <si>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</si>
  <si>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</si>
  <si>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</si>
  <si>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</si>
  <si>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</si>
  <si>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</si>
  <si>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</si>
  <si>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</si>
  <si>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</si>
  <si>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</si>
  <si>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</si>
  <si>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</si>
  <si>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</si>
  <si>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</si>
  <si>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</si>
  <si>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</si>
  <si>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</si>
  <si>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</si>
  <si>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</si>
  <si>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</si>
  <si>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</si>
  <si>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</si>
  <si>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</si>
  <si>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</si>
  <si>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</si>
  <si>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</si>
  <si>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</si>
  <si>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</si>
  <si>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</si>
  <si>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</si>
  <si>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</si>
  <si>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</si>
  <si>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</si>
  <si>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</si>
  <si>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</si>
  <si>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</si>
  <si>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</si>
  <si>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</si>
  <si>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</si>
  <si>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</si>
  <si>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</si>
  <si>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</si>
  <si>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</si>
  <si>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</si>
  <si>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</si>
  <si>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</si>
  <si>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</si>
  <si>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</si>
  <si>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</si>
  <si>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</si>
  <si>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</si>
  <si>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</si>
  <si>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</si>
  <si>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</si>
  <si>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</si>
  <si>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</si>
  <si>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</si>
  <si>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</si>
  <si>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</si>
  <si>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</si>
  <si>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</si>
  <si>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</si>
  <si>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</si>
  <si>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</si>
  <si>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</si>
  <si>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</si>
  <si>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</si>
  <si>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</si>
  <si>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</si>
  <si>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</si>
  <si>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</si>
  <si>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</si>
  <si>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</si>
  <si>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</si>
  <si>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</si>
  <si>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</si>
  <si>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</si>
  <si>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</si>
  <si>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</si>
  <si>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</si>
  <si>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</si>
  <si>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</si>
  <si>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</si>
  <si>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</si>
  <si>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</si>
  <si>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</si>
  <si>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</si>
  <si>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</si>
  <si>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</si>
  <si>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</si>
  <si>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</si>
  <si>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</si>
  <si>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</si>
  <si>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</si>
  <si>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</si>
  <si>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</si>
  <si>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</si>
  <si>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</si>
  <si>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</si>
  <si>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</si>
  <si>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</si>
  <si>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</si>
  <si>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</si>
  <si>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</si>
  <si>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</si>
  <si>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</si>
  <si>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</si>
  <si>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</si>
  <si>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</si>
  <si>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</si>
  <si>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</si>
  <si>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</si>
  <si>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</si>
  <si>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</si>
  <si>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</si>
  <si>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</si>
  <si>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</si>
  <si>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</si>
  <si>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</si>
  <si>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</si>
  <si>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</si>
  <si>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</si>
  <si>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</si>
  <si>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</si>
  <si>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</si>
  <si>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</si>
  <si>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</si>
  <si>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</si>
  <si>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</si>
  <si>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</si>
  <si>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</si>
  <si>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</si>
  <si>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</si>
  <si>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</si>
  <si>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</si>
  <si>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</si>
  <si>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</si>
  <si>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</si>
  <si>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</si>
  <si>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</si>
  <si>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</si>
  <si>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</si>
  <si>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</si>
  <si>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</si>
  <si>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</si>
  <si>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</si>
  <si>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</si>
  <si>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</si>
  <si>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</si>
  <si>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</si>
  <si>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</si>
  <si>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</si>
  <si>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</si>
  <si>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</si>
  <si>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</si>
  <si>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</si>
  <si>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</si>
  <si>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</si>
  <si>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</si>
  <si>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</si>
  <si>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</si>
  <si>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</si>
  <si>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</si>
  <si>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</si>
  <si>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</si>
  <si>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</si>
  <si>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</si>
  <si>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</si>
  <si>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</si>
  <si>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</si>
  <si>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</si>
  <si>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</si>
  <si>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</si>
  <si>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</si>
  <si>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</si>
  <si>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</si>
  <si>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</si>
  <si>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</si>
  <si>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</si>
  <si>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</si>
  <si>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</si>
  <si>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</si>
  <si>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</si>
  <si>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</si>
  <si>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</si>
  <si>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</si>
  <si>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</si>
  <si>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</si>
  <si>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</si>
  <si>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</si>
  <si>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</si>
  <si>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</si>
  <si>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</si>
  <si>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</si>
  <si>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</si>
  <si>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</si>
  <si>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</si>
  <si>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</si>
  <si>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</si>
  <si>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</si>
  <si>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</si>
  <si>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</si>
  <si>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</si>
  <si>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</si>
  <si>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</si>
  <si>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</si>
  <si>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</si>
  <si>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</si>
  <si>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</si>
  <si>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</si>
  <si>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</si>
  <si>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</si>
  <si>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</si>
  <si>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</si>
  <si>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</si>
  <si>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</si>
  <si>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</si>
  <si>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</si>
  <si>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</si>
  <si>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</si>
  <si>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</si>
  <si>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</si>
  <si>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</si>
  <si>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</si>
  <si>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</si>
  <si>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</si>
  <si>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</si>
  <si>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</si>
  <si>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</si>
  <si>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</si>
  <si>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</si>
  <si>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</si>
  <si>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</si>
  <si>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</si>
  <si>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</si>
  <si>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</si>
  <si>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</si>
  <si>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</si>
  <si>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</si>
  <si>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</si>
  <si>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</si>
  <si>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</si>
  <si>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</si>
  <si>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</si>
  <si>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</si>
  <si>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</si>
  <si>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</si>
  <si>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</si>
  <si>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</si>
  <si>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</si>
  <si>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</si>
  <si>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</si>
  <si>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</si>
  <si>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</si>
  <si>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</si>
  <si>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</si>
  <si>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</si>
  <si>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</si>
  <si>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</si>
  <si>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</si>
  <si>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</si>
  <si>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</si>
  <si>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</si>
  <si>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</si>
  <si>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</si>
  <si>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</si>
  <si>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</si>
  <si>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</si>
  <si>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</si>
  <si>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</si>
  <si>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</si>
  <si>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</si>
  <si>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</si>
  <si>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</si>
  <si>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</si>
  <si>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</si>
  <si>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</si>
  <si>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</si>
  <si>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</si>
  <si>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</si>
  <si>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</si>
  <si>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</si>
  <si>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</si>
  <si>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</si>
  <si>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</si>
  <si>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</si>
  <si>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</si>
  <si>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</si>
  <si>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</si>
  <si>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</si>
  <si>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</si>
  <si>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</si>
  <si>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</si>
  <si>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</si>
  <si>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</si>
  <si>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</si>
  <si>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</si>
  <si>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</si>
  <si>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</si>
  <si>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</si>
  <si>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</si>
  <si>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</si>
  <si>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</si>
  <si>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</si>
  <si>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</si>
  <si>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</si>
  <si>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</si>
  <si>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</si>
  <si>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</si>
  <si>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</si>
  <si>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</si>
  <si>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</si>
  <si>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</si>
  <si>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</si>
  <si>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</si>
  <si>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</si>
  <si>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</si>
  <si>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</si>
  <si>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</si>
  <si>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</si>
  <si>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</si>
  <si>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</si>
  <si>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</si>
  <si>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</si>
  <si>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</si>
  <si>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</si>
  <si>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</si>
  <si>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</si>
  <si>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</si>
  <si>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</si>
  <si>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</si>
  <si>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</si>
  <si>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</si>
  <si>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</si>
  <si>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</si>
  <si>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</si>
  <si>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</si>
  <si>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</si>
  <si>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</si>
  <si>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</si>
  <si>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</si>
  <si>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</si>
  <si>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</si>
  <si>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</si>
  <si>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</si>
  <si>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</si>
  <si>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</si>
  <si>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</si>
  <si>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</si>
  <si>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</si>
  <si>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</si>
  <si>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</si>
  <si>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</si>
  <si>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</si>
  <si>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</si>
  <si>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</si>
  <si>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</si>
  <si>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</si>
  <si>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</si>
  <si>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</si>
  <si>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</si>
  <si>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</si>
  <si>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</si>
  <si>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</si>
  <si>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</si>
  <si>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</si>
  <si>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</si>
  <si>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</si>
  <si>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</si>
  <si>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</si>
  <si>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</si>
  <si>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</si>
  <si>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</si>
  <si>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</si>
  <si>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</si>
  <si>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</si>
  <si>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</si>
  <si>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</si>
  <si>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</si>
  <si>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</si>
  <si>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</si>
  <si>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</si>
  <si>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</si>
  <si>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</si>
  <si>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</si>
  <si>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</si>
  <si>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</si>
  <si>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</si>
  <si>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</si>
  <si>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</si>
  <si>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</si>
  <si>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</si>
  <si>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</si>
  <si>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</si>
  <si>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</si>
  <si>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</si>
  <si>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</si>
  <si>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</si>
  <si>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</si>
  <si>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</si>
  <si>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</si>
  <si>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</si>
  <si>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</si>
  <si>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</si>
  <si>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</si>
  <si>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</si>
  <si>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</si>
  <si>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</si>
  <si>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</si>
  <si>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</si>
  <si>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</si>
  <si>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</si>
  <si>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</si>
  <si>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</si>
  <si>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</si>
  <si>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</si>
  <si>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</si>
  <si>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</si>
  <si>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</si>
  <si>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</si>
  <si>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</si>
  <si>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</si>
  <si>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</si>
  <si>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</si>
  <si>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</si>
  <si>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</si>
  <si>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</si>
  <si>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</si>
  <si>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</si>
  <si>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</si>
  <si>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</si>
  <si>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</si>
  <si>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</si>
  <si>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</si>
  <si>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</si>
  <si>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</si>
  <si>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</si>
  <si>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</si>
  <si>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</si>
  <si>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</si>
  <si>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</si>
  <si>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</si>
  <si>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</si>
  <si>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</si>
  <si>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</si>
  <si>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</si>
  <si>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</si>
  <si>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</si>
  <si>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</si>
  <si>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</si>
  <si>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</si>
  <si>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</si>
  <si>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</si>
  <si>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</si>
  <si>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</si>
  <si>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</si>
  <si>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</si>
  <si>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</si>
  <si>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</si>
  <si>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</si>
  <si>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</si>
  <si>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</si>
  <si>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</si>
  <si>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</si>
  <si>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</si>
  <si>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</si>
  <si>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</si>
  <si>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</si>
  <si>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</si>
  <si>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</si>
  <si>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</si>
  <si>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</si>
  <si>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</si>
  <si>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</si>
  <si>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</si>
  <si>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</si>
  <si>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</si>
  <si>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</si>
  <si>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</si>
  <si>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</si>
  <si>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</si>
  <si>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</si>
  <si>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</si>
  <si>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</si>
  <si>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</si>
  <si>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</si>
  <si>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</si>
  <si>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</si>
  <si>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</si>
  <si>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</si>
  <si>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</si>
  <si>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</si>
  <si>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</si>
  <si>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</si>
  <si>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</si>
  <si>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</si>
  <si>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</si>
  <si>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</si>
  <si>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</si>
  <si>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</si>
  <si>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</si>
  <si>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</si>
  <si>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</si>
  <si>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</si>
  <si>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</si>
  <si>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</si>
  <si>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</si>
  <si>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</si>
  <si>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</si>
  <si>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</si>
  <si>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</si>
  <si>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</si>
  <si>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</si>
  <si>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</si>
  <si>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</si>
  <si>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</si>
  <si>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</si>
  <si>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</si>
  <si>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</si>
  <si>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</si>
  <si>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</si>
  <si>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</si>
  <si>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</si>
  <si>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</si>
  <si>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</si>
  <si>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</si>
  <si>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</si>
  <si>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</si>
  <si>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</si>
  <si>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</si>
  <si>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</si>
  <si>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</si>
  <si>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</si>
  <si>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</si>
  <si>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</si>
  <si>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</si>
  <si>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</si>
  <si>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</si>
  <si>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</si>
  <si>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</si>
  <si>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</si>
  <si>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</si>
  <si>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</si>
  <si>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</si>
  <si>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</si>
  <si>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</si>
  <si>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</si>
  <si>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</si>
  <si>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</si>
  <si>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</si>
  <si>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</si>
  <si>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</si>
  <si>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</si>
  <si>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</si>
  <si>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</si>
  <si>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</si>
  <si>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</si>
  <si>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</si>
  <si>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</si>
  <si>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</si>
  <si>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</si>
  <si>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</si>
  <si>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</si>
  <si>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</si>
  <si>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</si>
  <si>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</si>
  <si>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</si>
  <si>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</si>
  <si>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</si>
  <si>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</si>
  <si>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</si>
  <si>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</si>
  <si>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</si>
  <si>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</si>
  <si>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</si>
  <si>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</si>
  <si>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</si>
  <si>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</si>
  <si>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</si>
  <si>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</si>
  <si>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</si>
  <si>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</si>
  <si>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</si>
  <si>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</si>
  <si>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</si>
  <si>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</si>
  <si>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</si>
  <si>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</si>
  <si>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</si>
  <si>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</si>
  <si>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</si>
  <si>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</si>
  <si>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</si>
  <si>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</si>
  <si>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</si>
  <si>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</si>
  <si>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</si>
  <si>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</si>
  <si>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</si>
  <si>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</si>
  <si>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</si>
  <si>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</si>
  <si>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</si>
  <si>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</si>
  <si>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</si>
  <si>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</si>
  <si>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</si>
  <si>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</si>
  <si>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</si>
  <si>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</si>
  <si>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</si>
  <si>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</si>
  <si>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</si>
  <si>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</si>
  <si>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</si>
  <si>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</si>
  <si>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</si>
  <si>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</si>
  <si>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</si>
  <si>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</si>
  <si>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</si>
  <si>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</si>
  <si>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</si>
  <si>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</si>
  <si>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</si>
  <si>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</si>
  <si>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</si>
  <si>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</si>
  <si>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</si>
  <si>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</si>
  <si>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</si>
  <si>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</si>
  <si>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</si>
  <si>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</si>
  <si>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</si>
  <si>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</si>
  <si>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</si>
  <si>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</si>
  <si>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</si>
  <si>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</si>
  <si>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</si>
  <si>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</si>
  <si>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</si>
  <si>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</si>
  <si>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</si>
  <si>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</si>
  <si>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</si>
  <si>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</si>
  <si>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</si>
  <si>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</si>
  <si>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</si>
  <si>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</si>
  <si>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</si>
  <si>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</si>
  <si>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</si>
  <si>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</si>
  <si>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</si>
  <si>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</si>
  <si>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</si>
  <si>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</si>
  <si>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</si>
  <si>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</si>
  <si>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</si>
  <si>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</si>
  <si>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</si>
  <si>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</si>
  <si>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</si>
  <si>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</si>
  <si>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</si>
  <si>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</si>
  <si>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</si>
  <si>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</si>
  <si>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</si>
  <si>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</si>
  <si>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</si>
  <si>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</si>
  <si>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</si>
  <si>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</si>
  <si>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</si>
  <si>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</si>
  <si>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</si>
  <si>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</si>
  <si>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</si>
  <si>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</si>
  <si>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</si>
  <si>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</si>
  <si>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</si>
  <si>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</si>
  <si>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</si>
  <si>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</si>
  <si>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</si>
  <si>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</si>
  <si>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</si>
  <si>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</si>
  <si>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</si>
  <si>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</si>
  <si>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</si>
  <si>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</si>
  <si>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</si>
  <si>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</si>
  <si>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</si>
  <si>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</si>
  <si>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</si>
  <si>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</si>
  <si>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</si>
  <si>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</si>
  <si>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</si>
  <si>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</si>
  <si>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</si>
  <si>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</si>
  <si>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</si>
  <si>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</si>
  <si>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</si>
  <si>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</si>
  <si>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</si>
  <si>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</si>
  <si>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</si>
  <si>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</si>
  <si>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</si>
  <si>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</si>
  <si>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</si>
  <si>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</si>
  <si>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</si>
  <si>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</si>
  <si>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</si>
  <si>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</si>
  <si>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</si>
  <si>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</si>
  <si>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</si>
  <si>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</si>
  <si>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</si>
  <si>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</si>
  <si>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</si>
  <si>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</si>
  <si>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</si>
  <si>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</si>
  <si>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</si>
  <si>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</si>
  <si>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</si>
  <si>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</si>
  <si>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</si>
  <si>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</si>
  <si>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</si>
  <si>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</si>
  <si>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</si>
  <si>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</si>
  <si>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</si>
  <si>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</si>
  <si>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</si>
  <si>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</si>
  <si>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</si>
  <si>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</si>
  <si>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</si>
  <si>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</si>
  <si>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</si>
  <si>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</si>
  <si>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</si>
  <si>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</si>
  <si>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</si>
  <si>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</si>
  <si>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</si>
  <si>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</si>
  <si>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</si>
  <si>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</si>
  <si>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</si>
  <si>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</si>
  <si>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</si>
  <si>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</si>
  <si>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</si>
  <si>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</si>
  <si>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</si>
  <si>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</si>
  <si>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</si>
  <si>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</si>
  <si>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</si>
  <si>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</si>
  <si>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</si>
  <si>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</si>
  <si>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</si>
  <si>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</si>
  <si>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</si>
  <si>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</si>
  <si>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</si>
  <si>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</si>
  <si>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</si>
  <si>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</si>
  <si>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</si>
  <si>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</si>
  <si>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</si>
  <si>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</si>
  <si>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</si>
  <si>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</si>
  <si>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</si>
  <si>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</si>
  <si>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</si>
  <si>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</si>
  <si>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</si>
  <si>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</si>
  <si>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</si>
  <si>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</si>
  <si>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</si>
  <si>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</si>
  <si>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</si>
  <si>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</si>
  <si>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</si>
  <si>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</si>
  <si>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</si>
  <si>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</si>
  <si>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</si>
  <si>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</si>
  <si>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</si>
  <si>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</si>
  <si>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</si>
  <si>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</si>
  <si>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</si>
  <si>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</si>
  <si>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</si>
  <si>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</si>
  <si>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</si>
  <si>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</si>
  <si>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</si>
  <si>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</si>
  <si>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</si>
  <si>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</si>
  <si>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</si>
  <si>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</si>
  <si>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</si>
  <si>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</si>
  <si>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</si>
  <si>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</si>
  <si>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</si>
  <si>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</si>
  <si>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</si>
  <si>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</si>
  <si>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</si>
  <si>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</si>
  <si>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</si>
  <si>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</si>
  <si>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</si>
  <si>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</si>
  <si>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</si>
  <si>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</si>
  <si>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</si>
  <si>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</si>
  <si>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</si>
  <si>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</si>
  <si>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</si>
  <si>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</si>
  <si>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</si>
  <si>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</si>
  <si>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</si>
  <si>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</si>
  <si>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</si>
  <si>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</si>
  <si>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</si>
  <si>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</si>
  <si>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</si>
  <si>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</si>
  <si>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</si>
  <si>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</si>
  <si>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</si>
  <si>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</si>
  <si>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</si>
  <si>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</si>
  <si>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</si>
  <si>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</si>
  <si>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</si>
  <si>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</si>
  <si>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</si>
  <si>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</si>
  <si>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</si>
  <si>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</si>
  <si>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</si>
  <si>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</si>
  <si>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</si>
  <si>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</si>
  <si>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</si>
  <si>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</si>
  <si>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</si>
  <si>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</si>
  <si>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</si>
  <si>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</si>
  <si>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</si>
  <si>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</si>
  <si>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</si>
  <si>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</si>
  <si>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</si>
  <si>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</si>
  <si>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</si>
  <si>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</si>
  <si>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</si>
  <si>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</si>
  <si>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</si>
  <si>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</si>
  <si>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</si>
  <si>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</si>
  <si>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</si>
  <si>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</si>
  <si>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</si>
  <si>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</si>
  <si>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</si>
  <si>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</si>
  <si>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</si>
  <si>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</si>
  <si>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</si>
  <si>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</si>
  <si>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</si>
  <si>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</si>
  <si>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</si>
  <si>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</si>
  <si>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</si>
  <si>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</si>
  <si>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</si>
  <si>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</si>
  <si>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</si>
  <si>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</si>
  <si>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</si>
  <si>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</si>
  <si>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</si>
  <si>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</si>
  <si>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</si>
  <si>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</si>
  <si>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</si>
  <si>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</si>
  <si>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</si>
  <si>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</si>
  <si>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</si>
  <si>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</si>
  <si>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</si>
  <si>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</si>
  <si>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</si>
  <si>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</si>
  <si>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</si>
  <si>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</si>
  <si>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</si>
  <si>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</si>
  <si>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</si>
  <si>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</si>
  <si>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</si>
  <si>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</si>
  <si>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</si>
  <si>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</si>
  <si>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</si>
  <si>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</si>
  <si>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</si>
  <si>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</si>
  <si>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</si>
  <si>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</si>
  <si>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</si>
  <si>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</si>
  <si>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</si>
  <si>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</si>
  <si>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</si>
  <si>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</si>
  <si>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</si>
  <si>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</si>
  <si>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</si>
  <si>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</si>
  <si>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</si>
  <si>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</si>
  <si>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</si>
  <si>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</si>
  <si>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</si>
  <si>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</si>
  <si>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</si>
  <si>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</si>
  <si>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</si>
  <si>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</si>
  <si>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</si>
  <si>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</si>
  <si>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</si>
  <si>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</si>
  <si>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</si>
  <si>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</si>
  <si>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</si>
  <si>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</si>
  <si>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</si>
  <si>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</si>
  <si>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</si>
  <si>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</si>
  <si>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</si>
  <si>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</si>
  <si>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</si>
  <si>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</si>
  <si>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</si>
  <si>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</si>
  <si>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</si>
  <si>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</si>
  <si>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</si>
  <si>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</si>
  <si>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</si>
  <si>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</si>
  <si>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</si>
  <si>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</si>
  <si>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</si>
  <si>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</si>
  <si>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</si>
  <si>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</si>
  <si>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</si>
  <si>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</si>
  <si>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</si>
  <si>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</si>
  <si>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</si>
  <si>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</si>
  <si>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</si>
  <si>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</si>
  <si>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</si>
  <si>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</si>
  <si>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</si>
  <si>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</si>
  <si>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</si>
  <si>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</si>
  <si>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</si>
  <si>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</si>
  <si>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</si>
  <si>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</si>
  <si>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</si>
  <si>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</si>
  <si>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</si>
  <si>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</si>
  <si>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</si>
  <si>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</si>
  <si>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</si>
  <si>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</si>
  <si>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</si>
  <si>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</si>
  <si>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</si>
  <si>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</si>
  <si>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</si>
  <si>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</si>
  <si>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</si>
  <si>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</si>
  <si>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</si>
  <si>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</si>
  <si>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</si>
  <si>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</si>
  <si>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</si>
  <si>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</si>
  <si>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</si>
  <si>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</si>
  <si>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</si>
  <si>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</si>
  <si>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</si>
  <si>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</si>
  <si>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</si>
  <si>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</si>
  <si>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</si>
  <si>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</si>
  <si>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</si>
  <si>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</si>
  <si>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</si>
  <si>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</si>
  <si>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</si>
  <si>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</si>
  <si>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</si>
  <si>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</si>
  <si>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</si>
  <si>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</si>
  <si>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</si>
  <si>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</si>
  <si>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</si>
  <si>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</si>
  <si>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</si>
  <si>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</si>
  <si>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</si>
  <si>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</si>
  <si>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</si>
  <si>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</si>
  <si>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</si>
  <si>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</si>
  <si>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</si>
  <si>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</si>
  <si>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</si>
  <si>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</si>
  <si>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</si>
  <si>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</si>
  <si>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</si>
  <si>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</si>
  <si>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</si>
  <si>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</si>
  <si>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</si>
  <si>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</si>
  <si>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</si>
  <si>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</si>
  <si>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</si>
  <si>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</si>
  <si>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</si>
  <si>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</si>
  <si>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</si>
  <si>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</si>
  <si>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</si>
  <si>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</si>
  <si>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</si>
  <si>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</si>
  <si>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</si>
  <si>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</si>
  <si>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</si>
  <si>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</si>
  <si>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</si>
  <si>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</si>
  <si>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</si>
  <si>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</si>
  <si>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</si>
  <si>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</si>
  <si>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</si>
  <si>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</si>
  <si>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</si>
  <si>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</si>
  <si>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</si>
  <si>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</si>
  <si>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</si>
  <si>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</si>
  <si>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</si>
  <si>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</si>
  <si>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</si>
  <si>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</si>
  <si>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</si>
  <si>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</si>
  <si>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</si>
  <si>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</si>
  <si>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</si>
  <si>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</si>
  <si>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</si>
  <si>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</si>
  <si>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</si>
  <si>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</si>
  <si>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</si>
  <si>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</si>
  <si>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</si>
  <si>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</si>
  <si>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</si>
  <si>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</si>
  <si>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</si>
  <si>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</si>
  <si>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</si>
  <si>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</si>
  <si>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</si>
  <si>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</si>
  <si>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</si>
  <si>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</si>
  <si>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</si>
  <si>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</si>
  <si>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</si>
  <si>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</si>
  <si>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</si>
  <si>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</si>
  <si>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</si>
  <si>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</si>
  <si>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</si>
  <si>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</si>
  <si>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</si>
  <si>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</si>
  <si>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</si>
  <si>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</si>
  <si>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</si>
  <si>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</si>
  <si>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</si>
  <si>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</si>
  <si>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</si>
  <si>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</si>
  <si>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</si>
  <si>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</si>
  <si>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</si>
  <si>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</si>
  <si>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</si>
  <si>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</si>
  <si>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</si>
  <si>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</si>
  <si>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</si>
  <si>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</si>
  <si>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</si>
  <si>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</si>
  <si>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</si>
  <si>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</si>
  <si>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</si>
  <si>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</si>
  <si>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</si>
  <si>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</si>
  <si>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</si>
  <si>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</si>
  <si>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</si>
  <si>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</si>
  <si>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</si>
  <si>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</si>
  <si>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</si>
  <si>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</si>
  <si>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</si>
  <si>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</si>
  <si>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</si>
  <si>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</si>
  <si>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</si>
  <si>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</si>
  <si>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</si>
  <si>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</si>
  <si>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</si>
  <si>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</si>
  <si>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</si>
  <si>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</si>
  <si>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</si>
  <si>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</si>
  <si>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</si>
  <si>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</si>
  <si>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</si>
  <si>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</si>
  <si>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</si>
  <si>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</si>
  <si>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</si>
  <si>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</si>
  <si>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</si>
  <si>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</si>
  <si>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</si>
  <si>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</si>
  <si>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</si>
  <si>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</si>
  <si>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</si>
  <si>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</si>
  <si>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</si>
  <si>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</si>
  <si>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</si>
  <si>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</si>
  <si>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</si>
  <si>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</si>
  <si>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</si>
  <si>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</si>
  <si>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</si>
  <si>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</si>
  <si>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</si>
  <si>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</si>
  <si>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</si>
  <si>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</si>
  <si>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</si>
  <si>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</si>
  <si>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</si>
  <si>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</si>
  <si>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</si>
  <si>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</si>
  <si>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</si>
  <si>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</si>
  <si>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</si>
  <si>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</si>
  <si>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</si>
  <si>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</si>
  <si>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</si>
  <si>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</si>
  <si>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</si>
  <si>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</si>
  <si>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</si>
  <si>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</si>
  <si>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</si>
  <si>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</si>
  <si>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</si>
  <si>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</si>
  <si>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</si>
  <si>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</si>
  <si>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</si>
  <si>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</si>
  <si>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</si>
  <si>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</si>
  <si>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</si>
  <si>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</si>
  <si>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</si>
  <si>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</si>
  <si>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</si>
  <si>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</si>
  <si>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</si>
  <si>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</si>
  <si>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</si>
  <si>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</si>
  <si>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</si>
  <si>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</si>
  <si>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</si>
  <si>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</si>
  <si>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</si>
  <si>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</si>
  <si>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</si>
  <si>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</si>
  <si>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</si>
  <si>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</si>
  <si>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</si>
  <si>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</si>
  <si>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</si>
  <si>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</si>
  <si>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</si>
  <si>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</si>
  <si>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</si>
  <si>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</si>
  <si>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</si>
  <si>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</si>
  <si>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</si>
  <si>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</si>
  <si>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</si>
  <si>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</si>
  <si>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</si>
  <si>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</si>
  <si>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</si>
  <si>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</si>
  <si>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</si>
  <si>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</si>
  <si>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</si>
  <si>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</si>
  <si>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</si>
  <si>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</si>
  <si>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</si>
  <si>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</si>
  <si>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</si>
  <si>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</si>
  <si>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</si>
  <si>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</si>
  <si>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</si>
  <si>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</si>
  <si>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</si>
  <si>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</si>
  <si>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</si>
  <si>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</si>
  <si>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</si>
  <si>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</si>
  <si>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</si>
  <si>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</si>
  <si>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</si>
  <si>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</si>
  <si>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</si>
  <si>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</si>
  <si>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</si>
  <si>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</si>
  <si>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</si>
  <si>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</si>
  <si>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</si>
  <si>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</si>
  <si>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</si>
  <si>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</si>
  <si>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</si>
  <si>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</si>
  <si>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</si>
  <si>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</si>
  <si>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</si>
  <si>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</si>
  <si>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</si>
  <si>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</si>
  <si>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</si>
  <si>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</si>
  <si>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</si>
  <si>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</si>
  <si>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</si>
  <si>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</si>
  <si>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</si>
  <si>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</si>
  <si>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</si>
  <si>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</si>
  <si>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</si>
  <si>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</si>
  <si>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</si>
  <si>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</si>
  <si>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</si>
  <si>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</si>
  <si>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</si>
  <si>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</si>
  <si>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</si>
  <si>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</si>
  <si>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</si>
  <si>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</si>
  <si>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</si>
  <si>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</si>
  <si>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</si>
  <si>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</si>
  <si>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</si>
  <si>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</si>
  <si>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</si>
  <si>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</si>
  <si>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</si>
  <si>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</si>
  <si>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</si>
  <si>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</si>
  <si>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</si>
  <si>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</si>
  <si>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</si>
  <si>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</si>
  <si>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</si>
  <si>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</si>
  <si>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</si>
  <si>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</si>
  <si>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</si>
  <si>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</si>
  <si>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</si>
  <si>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</si>
  <si>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</si>
  <si>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</si>
  <si>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</si>
  <si>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</si>
  <si>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</si>
  <si>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</si>
  <si>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</si>
  <si>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</si>
  <si>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</si>
  <si>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</si>
  <si>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</si>
  <si>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</si>
  <si>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</si>
  <si>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</si>
  <si>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</si>
  <si>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</si>
  <si>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</si>
  <si>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</si>
  <si>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</si>
  <si>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</si>
  <si>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</si>
  <si>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</si>
  <si>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</si>
  <si>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</si>
  <si>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</si>
  <si>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</si>
  <si>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</si>
  <si>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</si>
  <si>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</si>
  <si>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</si>
  <si>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</si>
  <si>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</si>
  <si>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</si>
  <si>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</si>
  <si>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</si>
  <si>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</si>
  <si>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</si>
  <si>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</si>
  <si>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</si>
  <si>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</si>
  <si>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</si>
  <si>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</si>
  <si>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</si>
  <si>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</si>
  <si>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</si>
  <si>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</si>
  <si>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</si>
  <si>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</si>
  <si>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</si>
  <si>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</si>
  <si>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</si>
  <si>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</si>
  <si>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</si>
  <si>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</si>
  <si>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</si>
  <si>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</si>
  <si>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</si>
  <si>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</si>
  <si>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</si>
  <si>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</si>
  <si>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</si>
  <si>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</si>
  <si>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</si>
  <si>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</si>
  <si>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</si>
  <si>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</si>
  <si>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</si>
  <si>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</si>
  <si>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</si>
  <si>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</si>
  <si>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</si>
  <si>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</si>
  <si>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</si>
  <si>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</si>
  <si>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</si>
  <si>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</si>
  <si>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</si>
  <si>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</si>
  <si>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</si>
  <si>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</si>
  <si>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</si>
  <si>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</si>
  <si>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</si>
  <si>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</si>
  <si>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</si>
  <si>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</si>
  <si>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</si>
  <si>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</si>
  <si>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</si>
  <si>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</si>
  <si>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</si>
  <si>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</si>
  <si>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</si>
  <si>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</si>
  <si>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</si>
  <si>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</si>
  <si>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</si>
  <si>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</si>
  <si>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</si>
  <si>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</si>
  <si>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</si>
  <si>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</si>
  <si>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</si>
  <si>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</si>
  <si>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</si>
  <si>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</si>
  <si>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</si>
  <si>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</si>
  <si>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</si>
  <si>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</si>
  <si>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</si>
  <si>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</si>
  <si>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</si>
  <si>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</si>
  <si>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</si>
  <si>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</si>
  <si>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</si>
  <si>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</si>
  <si>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</si>
  <si>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</si>
  <si>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</si>
  <si>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</si>
  <si>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</si>
  <si>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</si>
  <si>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</si>
  <si>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</si>
  <si>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</si>
  <si>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</si>
  <si>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</si>
  <si>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</si>
  <si>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</si>
  <si>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</si>
  <si>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</si>
  <si>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</si>
  <si>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</si>
  <si>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</si>
  <si>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</si>
  <si>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</si>
  <si>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</si>
  <si>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</si>
  <si>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</si>
  <si>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</si>
  <si>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</si>
  <si>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</si>
  <si>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</si>
  <si>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</si>
  <si>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</si>
  <si>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</si>
  <si>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</si>
  <si>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</si>
  <si>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</si>
  <si>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</si>
  <si>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</si>
  <si>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</si>
  <si>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</si>
  <si>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</si>
  <si>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</si>
  <si>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</si>
  <si>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</si>
  <si>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</si>
  <si>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</si>
  <si>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</si>
  <si>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</si>
  <si>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</si>
  <si>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</si>
  <si>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</si>
  <si>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</si>
  <si>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</si>
  <si>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</si>
  <si>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</si>
  <si>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</si>
  <si>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</si>
  <si>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</si>
  <si>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</si>
  <si>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</si>
  <si>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</si>
  <si>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</si>
  <si>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</si>
  <si>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</si>
  <si>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</si>
  <si>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</si>
  <si>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</si>
  <si>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</si>
  <si>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</si>
  <si>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</si>
  <si>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</si>
  <si>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</si>
  <si>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</si>
  <si>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</si>
  <si>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</si>
  <si>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</si>
  <si>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</si>
  <si>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</si>
  <si>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</si>
  <si>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</si>
  <si>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</si>
  <si>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</si>
  <si>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</si>
  <si>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</si>
  <si>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</si>
  <si>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</si>
  <si>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</si>
  <si>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</si>
  <si>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</si>
  <si>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</si>
  <si>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</si>
  <si>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</si>
  <si>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</si>
  <si>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</si>
  <si>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</si>
  <si>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</si>
  <si>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</si>
  <si>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</si>
  <si>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</si>
  <si>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</si>
  <si>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</si>
  <si>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</si>
  <si>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</si>
  <si>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</si>
  <si>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</si>
  <si>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</si>
  <si>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</si>
  <si>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</si>
  <si>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</si>
  <si>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</si>
  <si>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</si>
  <si>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</si>
  <si>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</si>
  <si>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</si>
  <si>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</si>
  <si>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</si>
  <si>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</si>
  <si>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</si>
  <si>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</si>
  <si>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</si>
  <si>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</si>
  <si>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</si>
  <si>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</si>
  <si>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</si>
  <si>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</si>
  <si>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</si>
  <si>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</si>
  <si>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</si>
  <si>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</si>
  <si>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</si>
  <si>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</si>
  <si>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</si>
  <si>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</si>
  <si>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</si>
  <si>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</si>
  <si>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</si>
  <si>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</si>
  <si>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</si>
  <si>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</si>
  <si>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</si>
  <si>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</si>
  <si>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</si>
  <si>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</si>
  <si>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</si>
  <si>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</si>
  <si>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</si>
  <si>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</si>
  <si>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</si>
  <si>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</si>
  <si>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</si>
  <si>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</si>
  <si>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</si>
  <si>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</si>
  <si>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</si>
  <si>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</si>
  <si>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</si>
  <si>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</si>
  <si>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</si>
  <si>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</si>
  <si>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</si>
  <si>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</si>
  <si>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</si>
  <si>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</si>
  <si>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</si>
  <si>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</si>
  <si>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</si>
  <si>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</si>
  <si>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</si>
  <si>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</si>
  <si>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</si>
  <si>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</si>
  <si>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</si>
  <si>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</si>
  <si>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</si>
  <si>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</si>
  <si>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</si>
  <si>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</si>
  <si>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</si>
  <si>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</si>
  <si>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</si>
  <si>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</si>
  <si>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</si>
  <si>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</si>
  <si>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</si>
  <si>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</si>
  <si>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</si>
  <si>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</si>
  <si>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</si>
  <si>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</si>
  <si>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</si>
  <si>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</si>
  <si>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</si>
  <si>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</si>
  <si>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</si>
  <si>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</si>
  <si>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</si>
  <si>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</si>
  <si>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</si>
  <si>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</si>
  <si>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</si>
  <si>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</si>
  <si>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</si>
  <si>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</si>
  <si>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</si>
  <si>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</si>
  <si>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</si>
  <si>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</si>
  <si>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</si>
  <si>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</si>
  <si>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</si>
  <si>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</si>
  <si>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</si>
  <si>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</si>
  <si>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</si>
  <si>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</si>
  <si>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</si>
  <si>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</si>
  <si>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</si>
  <si>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</si>
  <si>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</si>
  <si>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</si>
  <si>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</si>
  <si>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</si>
  <si>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</si>
  <si>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</si>
  <si>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</si>
  <si>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</si>
  <si>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</si>
  <si>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</si>
  <si>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</si>
  <si>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</si>
  <si>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</si>
  <si>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</si>
  <si>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</si>
  <si>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</si>
  <si>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</si>
  <si>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</si>
  <si>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</si>
  <si>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</si>
  <si>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</si>
  <si>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</si>
  <si>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</si>
  <si>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</si>
  <si>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</si>
  <si>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</si>
  <si>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</si>
  <si>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</si>
  <si>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</si>
  <si>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</si>
  <si>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</si>
  <si>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</si>
  <si>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</si>
  <si>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</si>
  <si>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</si>
  <si>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</si>
  <si>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</si>
  <si>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</si>
  <si>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</si>
  <si>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</si>
  <si>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</si>
  <si>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</si>
  <si>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</si>
  <si>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</si>
  <si>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</si>
  <si>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</si>
  <si>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</si>
  <si>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</si>
  <si>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</si>
  <si>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</si>
  <si>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</si>
  <si>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</si>
  <si>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</si>
  <si>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</si>
  <si>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</si>
  <si>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</si>
  <si>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</si>
  <si>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</si>
  <si>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</si>
  <si>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</si>
  <si>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</si>
  <si>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</si>
  <si>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</si>
  <si>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</si>
  <si>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</si>
  <si>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</si>
  <si>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</si>
  <si>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</si>
  <si>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</si>
  <si>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</si>
  <si>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</si>
  <si>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</si>
  <si>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</si>
  <si>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</si>
  <si>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</si>
  <si>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</si>
  <si>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</si>
  <si>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</si>
  <si>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</si>
  <si>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</si>
  <si>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</si>
  <si>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</si>
  <si>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</si>
  <si>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</si>
  <si>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</si>
  <si>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</si>
  <si>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</si>
  <si>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</si>
  <si>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</si>
  <si>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</si>
  <si>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</si>
  <si>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</si>
  <si>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</si>
  <si>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</si>
  <si>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</si>
  <si>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</si>
  <si>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</si>
  <si>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</si>
  <si>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</si>
  <si>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</si>
  <si>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</si>
  <si>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</si>
  <si>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</si>
  <si>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</si>
  <si>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</si>
  <si>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</si>
  <si>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</si>
  <si>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</si>
  <si>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</si>
  <si>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</si>
  <si>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</si>
  <si>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</si>
  <si>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</si>
  <si>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</si>
  <si>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</si>
  <si>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</si>
  <si>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</si>
  <si>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</si>
  <si>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</si>
  <si>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</si>
  <si>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</si>
  <si>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</si>
  <si>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</si>
  <si>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</si>
  <si>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</si>
  <si>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</si>
  <si>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</si>
  <si>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</si>
  <si>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</si>
  <si>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</si>
  <si>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</si>
  <si>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</si>
  <si>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</si>
  <si>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</si>
  <si>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</si>
  <si>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</si>
  <si>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</si>
  <si>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</si>
  <si>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</si>
  <si>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</si>
  <si>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</si>
  <si>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</si>
  <si>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</si>
  <si>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</si>
  <si>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</si>
  <si>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</si>
  <si>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</si>
  <si>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</si>
  <si>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</si>
  <si>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</si>
  <si>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</si>
  <si>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</si>
  <si>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</si>
  <si>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</si>
  <si>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</si>
  <si>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</si>
  <si>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</si>
  <si>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</si>
  <si>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</si>
  <si>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</si>
  <si>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</si>
  <si>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</si>
  <si>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</si>
  <si>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</si>
  <si>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</si>
  <si>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</si>
  <si>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</si>
  <si>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</si>
  <si>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</si>
  <si>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</si>
  <si>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</si>
  <si>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</si>
  <si>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</si>
  <si>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</si>
  <si>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</si>
  <si>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</si>
  <si>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</si>
  <si>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</si>
  <si>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</si>
  <si>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</si>
  <si>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</si>
  <si>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</si>
  <si>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</si>
  <si>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</si>
  <si>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</si>
  <si>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</si>
  <si>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</si>
  <si>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</si>
  <si>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</si>
  <si>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</si>
  <si>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</si>
  <si>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</si>
  <si>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</si>
  <si>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</si>
  <si>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</si>
  <si>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</si>
  <si>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</si>
  <si>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</si>
  <si>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</si>
  <si>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</si>
  <si>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</si>
  <si>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</si>
  <si>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</si>
  <si>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</si>
  <si>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</si>
  <si>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</si>
  <si>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</si>
  <si>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</si>
  <si>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</si>
  <si>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</si>
  <si>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</si>
  <si>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</si>
  <si>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</si>
  <si>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</si>
  <si>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</si>
  <si>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</si>
  <si>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</si>
  <si>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</si>
  <si>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</si>
  <si>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</si>
  <si>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</si>
  <si>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</si>
  <si>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</si>
  <si>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</si>
  <si>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</si>
  <si>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</si>
  <si>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</si>
  <si>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</si>
  <si>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</si>
  <si>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</si>
  <si>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</si>
  <si>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</si>
  <si>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</si>
  <si>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</si>
  <si>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</si>
  <si>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</si>
  <si>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</si>
  <si>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</si>
  <si>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</si>
  <si>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</si>
  <si>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</si>
  <si>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</si>
  <si>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</si>
  <si>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</si>
  <si>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</si>
  <si>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</si>
  <si>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</si>
  <si>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</si>
  <si>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</si>
  <si>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</si>
  <si>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</si>
  <si>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</si>
  <si>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</si>
  <si>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</si>
  <si>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</si>
  <si>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</si>
  <si>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</si>
  <si>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</si>
  <si>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</si>
  <si>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</si>
  <si>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</si>
  <si>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</si>
  <si>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</si>
  <si>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</si>
  <si>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</si>
  <si>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</si>
  <si>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</si>
  <si>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</si>
  <si>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</si>
  <si>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</si>
  <si>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</si>
  <si>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</si>
  <si>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</si>
  <si>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</si>
  <si>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</si>
  <si>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</si>
  <si>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</si>
  <si>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</si>
  <si>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</si>
  <si>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</si>
  <si>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</si>
  <si>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</si>
  <si>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</si>
  <si>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</si>
  <si>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</si>
  <si>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</si>
  <si>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</si>
  <si>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</si>
  <si>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</si>
  <si>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</si>
  <si>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</si>
  <si>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</si>
  <si>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</si>
  <si>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</si>
  <si>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</si>
  <si>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</si>
  <si>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</si>
  <si>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</si>
  <si>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</si>
  <si>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</si>
  <si>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</si>
  <si>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</si>
  <si>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</si>
  <si>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</si>
  <si>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</si>
  <si>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</si>
  <si>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</si>
  <si>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</si>
  <si>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</si>
  <si>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</si>
  <si>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</si>
  <si>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</si>
  <si>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</si>
  <si>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</si>
  <si>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</si>
  <si>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</si>
  <si>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</si>
  <si>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</si>
  <si>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</si>
  <si>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</si>
  <si>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</si>
  <si>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</si>
  <si>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</si>
  <si>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</si>
  <si>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</si>
  <si>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</si>
  <si>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</si>
  <si>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</si>
  <si>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</si>
  <si>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</si>
  <si>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</si>
  <si>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</si>
  <si>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</si>
  <si>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</si>
  <si>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</si>
  <si>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</si>
  <si>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</si>
  <si>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</si>
  <si>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</si>
  <si>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</si>
  <si>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</si>
  <si>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</si>
  <si>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</si>
  <si>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</si>
  <si>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</si>
  <si>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</si>
  <si>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</si>
  <si>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</si>
  <si>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</si>
  <si>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</si>
  <si>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</si>
  <si>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</si>
  <si>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</si>
  <si>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</si>
  <si>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</si>
  <si>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</si>
  <si>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</si>
  <si>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</si>
  <si>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</si>
  <si>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</si>
  <si>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</si>
  <si>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</si>
  <si>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</si>
  <si>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</si>
  <si>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</si>
  <si>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</si>
  <si>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</si>
  <si>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</si>
  <si>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</si>
  <si>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</si>
  <si>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</si>
  <si>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</si>
  <si>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</si>
  <si>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</si>
  <si>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</si>
  <si>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</si>
  <si>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</si>
  <si>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</si>
  <si>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</si>
  <si>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</si>
  <si>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</si>
  <si>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</si>
  <si>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</si>
  <si>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</si>
  <si>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</si>
  <si>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</si>
  <si>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</si>
  <si>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</si>
  <si>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</si>
  <si>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</si>
  <si>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</si>
  <si>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</si>
  <si>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</si>
  <si>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</si>
  <si>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</si>
  <si>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</si>
  <si>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</si>
  <si>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</si>
  <si>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</si>
  <si>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</si>
  <si>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</si>
  <si>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</si>
  <si>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</si>
  <si>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</si>
  <si>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</si>
  <si>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</si>
  <si>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</si>
  <si>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</si>
  <si>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</si>
  <si>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</si>
  <si>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</si>
  <si>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</si>
  <si>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</si>
  <si>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</si>
  <si>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</si>
  <si>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</si>
  <si>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</si>
  <si>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</si>
  <si>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</si>
  <si>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</si>
  <si>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</si>
  <si>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</si>
  <si>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</si>
  <si>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</si>
  <si>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</si>
  <si>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</si>
  <si>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</si>
  <si>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</si>
  <si>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</si>
  <si>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</si>
  <si>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</si>
  <si>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</si>
  <si>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</si>
  <si>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</si>
  <si>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</si>
  <si>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</si>
  <si>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</si>
  <si>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</si>
  <si>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</si>
  <si>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</si>
  <si>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</si>
  <si>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</si>
  <si>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</si>
  <si>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</si>
  <si>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</si>
  <si>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</si>
  <si>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</si>
  <si>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</si>
  <si>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</si>
  <si>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</si>
  <si>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</si>
  <si>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</si>
  <si>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</si>
  <si>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</si>
  <si>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</si>
  <si>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</si>
  <si>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</si>
  <si>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</si>
  <si>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</si>
  <si>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</si>
  <si>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</si>
  <si>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</si>
  <si>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</si>
  <si>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</si>
  <si>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</si>
  <si>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</si>
  <si>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</si>
  <si>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</si>
  <si>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</si>
  <si>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</si>
  <si>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</si>
  <si>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</si>
  <si>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</si>
  <si>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</si>
  <si>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</si>
  <si>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</si>
  <si>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</si>
  <si>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</si>
  <si>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</si>
  <si>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</si>
  <si>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</si>
  <si>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</si>
  <si>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</si>
  <si>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</si>
  <si>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</si>
  <si>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</si>
  <si>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</si>
  <si>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</si>
  <si>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</si>
  <si>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</si>
  <si>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</si>
  <si>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</si>
  <si>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</si>
  <si>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</si>
  <si>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</si>
  <si>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</si>
  <si>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</si>
  <si>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</si>
  <si>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</si>
  <si>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</si>
  <si>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</si>
  <si>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</si>
  <si>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</si>
  <si>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</si>
  <si>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</si>
  <si>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</si>
  <si>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</si>
  <si>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</si>
  <si>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</si>
  <si>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</si>
  <si>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</si>
  <si>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</si>
  <si>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</si>
  <si>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</si>
  <si>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</si>
  <si>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</si>
  <si>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</si>
  <si>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</si>
  <si>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</si>
  <si>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</si>
  <si>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</si>
  <si>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</si>
  <si>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</si>
  <si>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</si>
  <si>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</si>
  <si>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</si>
  <si>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</si>
  <si>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</si>
  <si>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</si>
  <si>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</si>
  <si>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</si>
  <si>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</si>
  <si>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</si>
  <si>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</si>
  <si>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</si>
  <si>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</si>
  <si>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</si>
  <si>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</si>
  <si>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</si>
  <si>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</si>
  <si>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</si>
  <si>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</si>
  <si>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</si>
  <si>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</si>
  <si>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</si>
  <si>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</si>
  <si>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</si>
  <si>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</si>
  <si>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</si>
  <si>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</si>
  <si>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</si>
  <si>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</si>
  <si>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</si>
  <si>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</si>
  <si>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</si>
  <si>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</si>
  <si>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</si>
  <si>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</si>
  <si>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</si>
  <si>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</si>
  <si>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</si>
  <si>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</si>
  <si>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</si>
  <si>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</si>
  <si>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</si>
  <si>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</si>
  <si>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</si>
  <si>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</si>
  <si>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</si>
  <si>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</si>
  <si>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</si>
  <si>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</si>
  <si>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</si>
  <si>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</si>
  <si>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</si>
  <si>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</si>
  <si>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</si>
  <si>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</si>
  <si>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</si>
  <si>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</si>
  <si>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</si>
  <si>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</si>
  <si>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</si>
  <si>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</si>
  <si>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</si>
  <si>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</si>
  <si>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</si>
  <si>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</si>
  <si>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</si>
  <si>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</si>
  <si>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</si>
  <si>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</si>
  <si>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</si>
  <si>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</si>
  <si>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</si>
  <si>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</si>
  <si>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</si>
  <si>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</si>
  <si>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</si>
  <si>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</si>
  <si>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</si>
  <si>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</si>
  <si>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</si>
  <si>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</si>
  <si>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</si>
  <si>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</si>
  <si>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</si>
  <si>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</si>
  <si>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</si>
  <si>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</si>
  <si>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</si>
  <si>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</si>
  <si>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</si>
  <si>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</si>
  <si>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</si>
  <si>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</si>
  <si>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</si>
  <si>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</si>
  <si>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</si>
  <si>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</si>
  <si>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</si>
  <si>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</si>
  <si>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</si>
  <si>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</si>
  <si>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</si>
  <si>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</si>
  <si>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</si>
  <si>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</si>
  <si>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</si>
  <si>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</si>
  <si>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</si>
  <si>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</si>
  <si>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</si>
  <si>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</si>
  <si>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</si>
  <si>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</si>
  <si>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</si>
  <si>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</si>
  <si>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</si>
  <si>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</si>
  <si>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</si>
  <si>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</si>
  <si>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</si>
  <si>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</si>
  <si>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</si>
  <si>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</si>
  <si>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</si>
  <si>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</si>
  <si>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</si>
  <si>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</si>
  <si>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</si>
  <si>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</si>
  <si>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</si>
  <si>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</si>
  <si>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</si>
  <si>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</si>
  <si>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</si>
  <si>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</si>
  <si>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</si>
  <si>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</si>
  <si>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</si>
  <si>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</si>
  <si>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</si>
  <si>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</si>
  <si>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</si>
  <si>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</si>
  <si>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</si>
  <si>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</si>
  <si>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</si>
  <si>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</si>
  <si>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</si>
  <si>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</si>
  <si>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</si>
  <si>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</si>
  <si>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</si>
  <si>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</si>
  <si>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</si>
  <si>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</si>
  <si>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</si>
  <si>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</si>
  <si>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</si>
  <si>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</si>
  <si>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</si>
  <si>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</si>
  <si>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</si>
  <si>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</si>
  <si>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</si>
  <si>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</si>
  <si>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</si>
  <si>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</si>
  <si>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</si>
  <si>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</si>
  <si>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</si>
  <si>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</si>
  <si>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</si>
  <si>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</si>
  <si>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</si>
  <si>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</si>
  <si>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</si>
  <si>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</si>
  <si>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</si>
  <si>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</si>
  <si>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</si>
  <si>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</si>
  <si>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</si>
  <si>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</si>
  <si>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</si>
  <si>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</si>
  <si>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</si>
  <si>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</si>
  <si>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</si>
  <si>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</si>
  <si>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</si>
  <si>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</si>
  <si>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</si>
  <si>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</si>
  <si>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</si>
  <si>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</si>
  <si>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</si>
  <si>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</si>
  <si>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</si>
  <si>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</si>
  <si>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</si>
  <si>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</si>
  <si>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</si>
  <si>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</si>
  <si>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</si>
  <si>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</si>
  <si>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</si>
  <si>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</si>
  <si>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</si>
  <si>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</si>
  <si>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</si>
  <si>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</si>
  <si>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</si>
  <si>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</si>
  <si>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</si>
  <si>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</si>
  <si>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</si>
  <si>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</si>
  <si>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</si>
  <si>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</si>
  <si>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</si>
  <si>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</si>
  <si>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</si>
  <si>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</si>
  <si>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</si>
  <si>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</si>
  <si>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</si>
  <si>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</si>
  <si>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</si>
  <si>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</si>
  <si>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</si>
  <si>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</si>
  <si>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</si>
  <si>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</si>
  <si>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</si>
  <si>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</si>
  <si>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</si>
  <si>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</si>
  <si>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</si>
  <si>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</si>
  <si>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</si>
  <si>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</si>
  <si>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</si>
  <si>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</si>
  <si>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</si>
  <si>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</si>
  <si>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</si>
  <si>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</si>
  <si>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</si>
  <si>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</si>
  <si>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</si>
  <si>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</si>
  <si>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</si>
  <si>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</si>
  <si>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</si>
  <si>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</si>
  <si>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</si>
  <si>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</si>
  <si>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</si>
  <si>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</si>
  <si>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</si>
  <si>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</si>
  <si>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</si>
  <si>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</si>
  <si>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</si>
  <si>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</si>
  <si>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</si>
  <si>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</si>
  <si>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</si>
  <si>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</si>
  <si>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</si>
  <si>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</si>
  <si>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</si>
  <si>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</si>
  <si>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</si>
  <si>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</si>
  <si>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</si>
  <si>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</si>
  <si>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</si>
  <si>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</si>
  <si>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</si>
  <si>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</si>
  <si>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</si>
  <si>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</si>
  <si>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</si>
  <si>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</si>
  <si>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</si>
  <si>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</si>
  <si>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</si>
  <si>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</si>
  <si>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</si>
  <si>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</si>
  <si>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</si>
  <si>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</si>
  <si>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</si>
  <si>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</si>
  <si>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</si>
  <si>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</si>
  <si>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</si>
  <si>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</si>
  <si>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</si>
  <si>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</si>
  <si>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</si>
  <si>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</si>
  <si>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</si>
  <si>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</si>
  <si>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</si>
  <si>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</si>
  <si>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</si>
  <si>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</si>
  <si>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</si>
  <si>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</si>
  <si>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</si>
  <si>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</si>
  <si>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</si>
  <si>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</si>
  <si>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</si>
  <si>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</si>
  <si>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</si>
  <si>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</si>
  <si>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</si>
  <si>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</si>
  <si>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</si>
  <si>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</si>
  <si>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</si>
  <si>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</si>
  <si>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</si>
  <si>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</si>
  <si>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</si>
  <si>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</si>
  <si>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</si>
  <si>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</si>
  <si>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</si>
  <si>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</si>
  <si>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</si>
  <si>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</si>
  <si>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</si>
  <si>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</si>
  <si>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</si>
  <si>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</si>
  <si>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</si>
  <si>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</si>
  <si>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</si>
  <si>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</si>
  <si>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</si>
  <si>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</si>
  <si>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</si>
  <si>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</si>
  <si>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</si>
  <si>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</si>
  <si>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</si>
  <si>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</si>
  <si>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</si>
  <si>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</si>
  <si>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</si>
  <si>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</si>
  <si>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</si>
  <si>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</si>
  <si>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</si>
  <si>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</si>
  <si>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</si>
  <si>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</si>
  <si>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</si>
  <si>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</si>
  <si>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</si>
  <si>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</si>
  <si>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</si>
  <si>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</si>
  <si>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</si>
  <si>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房地产抵押价值</t>
  </si>
  <si>
    <t>北京市</t>
  </si>
  <si>
    <t>企业</t>
  </si>
  <si>
    <t>居住项目</t>
  </si>
  <si>
    <t>现房</t>
  </si>
  <si>
    <t>是</t>
  </si>
  <si>
    <t>地上</t>
  </si>
  <si>
    <t>住宅</t>
  </si>
  <si>
    <t>楼层</t>
    <phoneticPr fontId="134" type="noConversion"/>
  </si>
  <si>
    <t>楼号</t>
    <phoneticPr fontId="134" type="noConversion"/>
  </si>
  <si>
    <t>部位及房号</t>
    <phoneticPr fontId="134" type="noConversion"/>
  </si>
  <si>
    <t>建筑面积</t>
    <phoneticPr fontId="134" type="noConversion"/>
  </si>
  <si>
    <t>用途</t>
    <phoneticPr fontId="134" type="noConversion"/>
  </si>
  <si>
    <t>一单元201</t>
    <phoneticPr fontId="134" type="noConversion"/>
  </si>
  <si>
    <t>一单元202</t>
  </si>
  <si>
    <t>二单元201</t>
    <phoneticPr fontId="134" type="noConversion"/>
  </si>
  <si>
    <t>二单元202</t>
  </si>
  <si>
    <t>二单元301</t>
    <phoneticPr fontId="134" type="noConversion"/>
  </si>
  <si>
    <t>二单元302</t>
  </si>
  <si>
    <t>序号</t>
    <phoneticPr fontId="134" type="noConversion"/>
  </si>
  <si>
    <t>合计</t>
    <phoneticPr fontId="134" type="noConversion"/>
  </si>
  <si>
    <t>住宅</t>
    <phoneticPr fontId="134" type="noConversion"/>
  </si>
  <si>
    <t xml:space="preserve">一单元201 </t>
    <phoneticPr fontId="134" type="noConversion"/>
  </si>
  <si>
    <t>一单元202</t>
    <phoneticPr fontId="134" type="noConversion"/>
  </si>
  <si>
    <t>一单元601</t>
    <phoneticPr fontId="134" type="noConversion"/>
  </si>
  <si>
    <t xml:space="preserve">一单元602 </t>
    <phoneticPr fontId="134" type="noConversion"/>
  </si>
  <si>
    <t>三单元201</t>
    <phoneticPr fontId="134" type="noConversion"/>
  </si>
  <si>
    <t>四单元201</t>
    <phoneticPr fontId="134" type="noConversion"/>
  </si>
  <si>
    <t>四单元202</t>
    <phoneticPr fontId="134" type="noConversion"/>
  </si>
  <si>
    <t>一单元101</t>
    <phoneticPr fontId="134" type="noConversion"/>
  </si>
  <si>
    <t>一单元102</t>
    <phoneticPr fontId="134" type="noConversion"/>
  </si>
  <si>
    <t xml:space="preserve">一单元301 </t>
    <phoneticPr fontId="134" type="noConversion"/>
  </si>
  <si>
    <t>一单元302</t>
    <phoneticPr fontId="134" type="noConversion"/>
  </si>
  <si>
    <t>一单元401</t>
    <phoneticPr fontId="134" type="noConversion"/>
  </si>
  <si>
    <t>一单元402</t>
    <phoneticPr fontId="134" type="noConversion"/>
  </si>
  <si>
    <t>一单元501</t>
    <phoneticPr fontId="134" type="noConversion"/>
  </si>
  <si>
    <t>一单元502</t>
    <phoneticPr fontId="134" type="noConversion"/>
  </si>
  <si>
    <t>一单元602</t>
    <phoneticPr fontId="134" type="noConversion"/>
  </si>
  <si>
    <t xml:space="preserve">一单元701 </t>
    <phoneticPr fontId="134" type="noConversion"/>
  </si>
  <si>
    <t xml:space="preserve">一单元702 </t>
    <phoneticPr fontId="134" type="noConversion"/>
  </si>
  <si>
    <t>一单元801</t>
    <phoneticPr fontId="134" type="noConversion"/>
  </si>
  <si>
    <t>一单元802</t>
    <phoneticPr fontId="134" type="noConversion"/>
  </si>
  <si>
    <t>二单元101</t>
    <phoneticPr fontId="134" type="noConversion"/>
  </si>
  <si>
    <t>二单元102</t>
    <phoneticPr fontId="134" type="noConversion"/>
  </si>
  <si>
    <t>二单元801</t>
    <phoneticPr fontId="134" type="noConversion"/>
  </si>
  <si>
    <t>二单元802</t>
    <phoneticPr fontId="134" type="noConversion"/>
  </si>
  <si>
    <t>三单元801</t>
    <phoneticPr fontId="134" type="noConversion"/>
  </si>
  <si>
    <t>住宅-1号楼一单元201</t>
  </si>
  <si>
    <t>住宅-1号楼一单元201</t>
    <phoneticPr fontId="7" type="noConversion"/>
  </si>
  <si>
    <t>成新度</t>
  </si>
  <si>
    <r>
      <t>1</t>
    </r>
    <r>
      <rPr>
        <sz val="10"/>
        <color indexed="8"/>
        <rFont val="宋体"/>
        <family val="3"/>
        <charset val="134"/>
      </rPr>
      <t>号楼一单元</t>
    </r>
    <r>
      <rPr>
        <sz val="10"/>
        <color indexed="8"/>
        <rFont val="Arial"/>
        <family val="2"/>
      </rPr>
      <t>201</t>
    </r>
    <phoneticPr fontId="3" type="noConversion"/>
  </si>
  <si>
    <t>剩余住宅</t>
    <phoneticPr fontId="3" type="noConversion"/>
  </si>
  <si>
    <t>剩余住宅</t>
    <phoneticPr fontId="7" type="noConversion"/>
  </si>
  <si>
    <t>年租金</t>
    <phoneticPr fontId="3" type="noConversion"/>
  </si>
  <si>
    <t>城镇住宅用地</t>
  </si>
  <si>
    <t>自定义容积率</t>
  </si>
  <si>
    <t>不临65条商业街</t>
  </si>
  <si>
    <t>有</t>
  </si>
  <si>
    <t>与级别开发程度不一致</t>
  </si>
  <si>
    <t>通路</t>
  </si>
  <si>
    <t>通电</t>
  </si>
  <si>
    <t>通讯</t>
  </si>
  <si>
    <t>通上水</t>
  </si>
  <si>
    <t>通下水</t>
  </si>
  <si>
    <t>通热</t>
  </si>
  <si>
    <t>燃气</t>
  </si>
  <si>
    <t>平整</t>
  </si>
  <si>
    <t>中心城区以外</t>
  </si>
  <si>
    <t>较好</t>
  </si>
  <si>
    <t>一般</t>
  </si>
  <si>
    <t>好</t>
  </si>
  <si>
    <t>未包含在土地购买价格中</t>
  </si>
  <si>
    <t>已包含在土地取得成本中</t>
  </si>
  <si>
    <t>售价</t>
  </si>
  <si>
    <t>单套模式</t>
  </si>
  <si>
    <t>世园村</t>
    <phoneticPr fontId="3" type="noConversion"/>
  </si>
  <si>
    <t>5号楼三单元701</t>
    <phoneticPr fontId="3" type="noConversion"/>
  </si>
  <si>
    <t>2号楼四单元402</t>
    <phoneticPr fontId="3" type="noConversion"/>
  </si>
  <si>
    <r>
      <t>7</t>
    </r>
    <r>
      <rPr>
        <sz val="11"/>
        <color indexed="8"/>
        <rFont val="宋体"/>
        <family val="3"/>
        <charset val="134"/>
      </rPr>
      <t>层</t>
    </r>
    <phoneticPr fontId="24" type="noConversion"/>
  </si>
  <si>
    <r>
      <t>2</t>
    </r>
    <r>
      <rPr>
        <sz val="11"/>
        <color indexed="8"/>
        <rFont val="宋体"/>
        <family val="3"/>
        <charset val="134"/>
      </rPr>
      <t>层</t>
    </r>
    <phoneticPr fontId="24" type="noConversion"/>
  </si>
  <si>
    <r>
      <t>4</t>
    </r>
    <r>
      <rPr>
        <sz val="11"/>
        <color indexed="8"/>
        <rFont val="宋体"/>
        <family val="3"/>
        <charset val="134"/>
      </rPr>
      <t>层</t>
    </r>
    <phoneticPr fontId="24" type="noConversion"/>
  </si>
  <si>
    <t>1号楼三单元102</t>
    <phoneticPr fontId="3" type="noConversion"/>
  </si>
  <si>
    <r>
      <t>1</t>
    </r>
    <r>
      <rPr>
        <sz val="11"/>
        <color indexed="8"/>
        <rFont val="宋体"/>
        <family val="3"/>
        <charset val="134"/>
      </rPr>
      <t>层</t>
    </r>
    <phoneticPr fontId="24" type="noConversion"/>
  </si>
  <si>
    <t>正常</t>
  </si>
  <si>
    <t>住宅</t>
    <phoneticPr fontId="24" type="noConversion"/>
  </si>
  <si>
    <t>小高层</t>
    <phoneticPr fontId="24" type="noConversion"/>
  </si>
  <si>
    <t>钢混</t>
    <phoneticPr fontId="24" type="noConversion"/>
  </si>
  <si>
    <t>精装修</t>
    <phoneticPr fontId="24" type="noConversion"/>
  </si>
  <si>
    <t>专业</t>
    <phoneticPr fontId="24" type="noConversion"/>
  </si>
  <si>
    <t>七通</t>
    <phoneticPr fontId="24" type="noConversion"/>
  </si>
  <si>
    <t>平层</t>
    <phoneticPr fontId="24" type="noConversion"/>
  </si>
  <si>
    <t>中档</t>
    <phoneticPr fontId="24" type="noConversion"/>
  </si>
  <si>
    <t>楼层</t>
    <phoneticPr fontId="24" type="noConversion"/>
  </si>
  <si>
    <r>
      <t>2层</t>
    </r>
    <r>
      <rPr>
        <sz val="11"/>
        <color indexed="8"/>
        <rFont val="宋体"/>
        <family val="3"/>
        <charset val="134"/>
      </rPr>
      <t/>
    </r>
  </si>
  <si>
    <r>
      <t>3层</t>
    </r>
    <r>
      <rPr>
        <sz val="11"/>
        <color indexed="8"/>
        <rFont val="宋体"/>
        <family val="3"/>
        <charset val="134"/>
      </rPr>
      <t/>
    </r>
  </si>
  <si>
    <r>
      <t>4层</t>
    </r>
    <r>
      <rPr>
        <sz val="11"/>
        <color indexed="8"/>
        <rFont val="宋体"/>
        <family val="3"/>
        <charset val="134"/>
      </rPr>
      <t/>
    </r>
  </si>
  <si>
    <r>
      <t>5层</t>
    </r>
    <r>
      <rPr>
        <sz val="11"/>
        <color indexed="8"/>
        <rFont val="宋体"/>
        <family val="3"/>
        <charset val="134"/>
      </rPr>
      <t/>
    </r>
  </si>
  <si>
    <r>
      <t>6层</t>
    </r>
    <r>
      <rPr>
        <sz val="11"/>
        <color indexed="8"/>
        <rFont val="宋体"/>
        <family val="3"/>
        <charset val="134"/>
      </rPr>
      <t/>
    </r>
  </si>
  <si>
    <r>
      <t>7层</t>
    </r>
    <r>
      <rPr>
        <sz val="11"/>
        <color indexed="8"/>
        <rFont val="宋体"/>
        <family val="3"/>
        <charset val="134"/>
      </rPr>
      <t/>
    </r>
  </si>
  <si>
    <r>
      <t>8层</t>
    </r>
    <r>
      <rPr>
        <sz val="11"/>
        <color indexed="8"/>
        <rFont val="宋体"/>
        <family val="3"/>
        <charset val="134"/>
      </rPr>
      <t/>
    </r>
  </si>
  <si>
    <t>2层</t>
  </si>
  <si>
    <t>3层</t>
  </si>
  <si>
    <t>6层</t>
  </si>
  <si>
    <t>1层</t>
  </si>
  <si>
    <t>4层</t>
  </si>
  <si>
    <t>5层</t>
  </si>
  <si>
    <t>7层</t>
  </si>
  <si>
    <t>8层</t>
  </si>
  <si>
    <t>成本法 (元)</t>
  </si>
  <si>
    <t>比较法-住宅</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</si>
  <si>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</si>
  <si>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</si>
  <si>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</si>
  <si>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</si>
  <si>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</si>
  <si>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</si>
  <si>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</si>
  <si>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</si>
  <si>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</si>
  <si>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</si>
  <si>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</si>
  <si>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</si>
  <si>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</si>
  <si>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</si>
  <si>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</si>
  <si>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</si>
  <si>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</si>
  <si>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</si>
  <si>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</si>
  <si>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</si>
  <si>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</si>
  <si>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</si>
  <si>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</si>
  <si>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</si>
  <si>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</si>
  <si>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</si>
  <si>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</si>
  <si>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</si>
  <si>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</si>
  <si>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公告时间  </t>
  </si>
  <si>
    <t xml:space="preserve"> 起始时间  </t>
  </si>
  <si>
    <t xml:space="preserve"> 截止时间  </t>
  </si>
  <si>
    <t xml:space="preserve"> 成交时间  </t>
  </si>
  <si>
    <t xml:space="preserve"> 交易状态 </t>
  </si>
  <si>
    <t xml:space="preserve"> 开工进度 </t>
  </si>
  <si>
    <t xml:space="preserve"> 受让单位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</si>
  <si>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</si>
  <si>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</si>
  <si>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</si>
  <si>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</si>
  <si>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</si>
  <si>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</si>
  <si>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成交价(万元)  </t>
  </si>
  <si>
    <t xml:space="preserve"> 推出土地单价(元/㎡) </t>
  </si>
  <si>
    <t xml:space="preserve"> 成交土地单价(元/㎡) </t>
  </si>
  <si>
    <t xml:space="preserve"> 推出每亩价(万元/亩) </t>
  </si>
  <si>
    <t xml:space="preserve"> 成交每亩价(万元/亩) </t>
  </si>
  <si>
    <t xml:space="preserve"> 推出楼面价(元/㎡)  </t>
  </si>
  <si>
    <t xml:space="preserve"> 成交楼面价(元/㎡)  </t>
  </si>
  <si>
    <t xml:space="preserve"> 推出楼面价(除保障房)(元/㎡)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</si>
  <si>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</si>
  <si>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</si>
  <si>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</si>
  <si>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</si>
  <si>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</si>
  <si>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</si>
  <si>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</si>
  <si>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</si>
  <si>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</si>
  <si>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</si>
  <si>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</si>
  <si>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</si>
  <si>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</si>
  <si>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</si>
  <si>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</si>
  <si>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北京市怀柔区雁栖镇03-01、03-02、03-03、03-04、03-05、03-06地块F1住宅混合公建用地、F3其他类多功能用地(怀柔雁栖小镇C区土地一级开发项目)</t>
  </si>
  <si>
    <t xml:space="preserve"> 北京 </t>
  </si>
  <si>
    <t xml:space="preserve"> 北京市 </t>
  </si>
  <si>
    <t xml:space="preserve"> 怀柔区 </t>
  </si>
  <si>
    <t xml:space="preserve"> 雁栖 </t>
  </si>
  <si>
    <t xml:space="preserve"> 京土储挂(怀)[2024]011号 </t>
  </si>
  <si>
    <t xml:space="preserve"> 京土储挂(怀)[2024]011号 </t>
    <phoneticPr fontId="134" type="noConversion"/>
  </si>
  <si>
    <t xml:space="preserve"> 怀柔区雁栖镇 </t>
  </si>
  <si>
    <t xml:space="preserve"> -- </t>
  </si>
  <si>
    <t xml:space="preserve"> 综合用地(含住宅) </t>
  </si>
  <si>
    <t xml:space="preserve"> 住宅 办公 </t>
  </si>
  <si>
    <t xml:space="preserve"> B商业服务业设施用地 </t>
  </si>
  <si>
    <t xml:space="preserve"> 住宅70年办公40年 </t>
  </si>
  <si>
    <t xml:space="preserve"> ≤1.11 </t>
  </si>
  <si>
    <t xml:space="preserve"> 挂牌 </t>
  </si>
  <si>
    <t xml:space="preserve">-- </t>
  </si>
  <si>
    <t xml:space="preserve"> 限地价,摇号/摇珠/抽签 </t>
  </si>
  <si>
    <t xml:space="preserve"> 限地价 </t>
  </si>
  <si>
    <t xml:space="preserve"> 已成交 </t>
  </si>
  <si>
    <t xml:space="preserve"> 未开工 </t>
  </si>
  <si>
    <t xml:space="preserve"> 北京怀柔科学城雁栖小镇置业有限公司  </t>
  </si>
  <si>
    <t xml:space="preserve"> 怀柔科学城 </t>
  </si>
  <si>
    <t xml:space="preserve"> 地方国有企业 </t>
  </si>
  <si>
    <t xml:space="preserve"> 城投企业 </t>
  </si>
  <si>
    <t xml:space="preserve"> 未触达 </t>
  </si>
  <si>
    <t xml:space="preserve"> 5540元/㎡(九级住宅用途2021-01-01) </t>
  </si>
  <si>
    <t>五通一平，九级，本次出让宗地居住自持15%、公建全部自持，自持年限可办理相20年。项目商品住宅建筑规模40%现房销售；达地价上线后转为竞现房销售面积（上限100%）</t>
    <phoneticPr fontId="134" type="noConversion"/>
  </si>
  <si>
    <t xml:space="preserve"> 否 </t>
  </si>
  <si>
    <t xml:space="preserve"> --</t>
  </si>
  <si>
    <t>北京市怀柔区雁栖镇、怀北镇02-01、02-02、02-03、02-04、02-05、02-06、02-07、02-08、02-09地块F1住宅混合公建用地(怀柔雁栖小镇B区土地一级开发项目)</t>
  </si>
  <si>
    <t xml:space="preserve"> 京土储挂(怀)[2023]055号 </t>
  </si>
  <si>
    <t xml:space="preserve"> 怀柔区雁栖镇、怀北镇 </t>
  </si>
  <si>
    <t xml:space="preserve"> 住宅用地 </t>
  </si>
  <si>
    <t xml:space="preserve"> F1住宅混合公建用地 </t>
  </si>
  <si>
    <t xml:space="preserve"> R居住用地 </t>
  </si>
  <si>
    <t xml:space="preserve"> 居住70年商业40年办公50年 </t>
  </si>
  <si>
    <t xml:space="preserve"> ≤1.09 </t>
  </si>
  <si>
    <t xml:space="preserve"> 12米 </t>
  </si>
  <si>
    <t xml:space="preserve"> 北京怀柔科学城置业有限公司  </t>
  </si>
  <si>
    <t xml:space="preserve"> 3630元/㎡(十级住宅用途2021-01-01) </t>
  </si>
  <si>
    <t xml:space="preserve"> </t>
  </si>
  <si>
    <t xml:space="preserve"> 是 </t>
  </si>
  <si>
    <t xml:space="preserve"> 怀柔区怀北镇、雁栖镇</t>
  </si>
  <si>
    <t>北京市密云区水源路南侧C-2地块土地一级开发项目MY00-0105-6038、6040地块R2二类居住用地</t>
  </si>
  <si>
    <t xml:space="preserve"> 密云区 </t>
  </si>
  <si>
    <t xml:space="preserve"> 鼓楼 </t>
  </si>
  <si>
    <t xml:space="preserve"> 京土储挂(密)[2023]049号 </t>
  </si>
  <si>
    <t xml:space="preserve"> 密云区水源路南侧 </t>
  </si>
  <si>
    <t xml:space="preserve"> 城镇住宅-普通商品住房用地 </t>
  </si>
  <si>
    <t xml:space="preserve"> 70年 </t>
  </si>
  <si>
    <t xml:space="preserve"> 24米 </t>
  </si>
  <si>
    <t xml:space="preserve"> 北京祥业房地产有限公司  </t>
  </si>
  <si>
    <t xml:space="preserve"> 北京住总集团 </t>
  </si>
  <si>
    <t xml:space="preserve"> 住总国祥誉，五通，九级</t>
    <phoneticPr fontId="134" type="noConversion"/>
  </si>
  <si>
    <t xml:space="preserve"> 密云区密云镇</t>
  </si>
  <si>
    <t>北京市延庆区南辛堡村、民主村、百眼泉村棚户区改造项目YQ00-0309-0007地块R2二类居住用地</t>
  </si>
  <si>
    <t xml:space="preserve"> 延庆区 </t>
  </si>
  <si>
    <t xml:space="preserve"> 延庆镇 </t>
  </si>
  <si>
    <t xml:space="preserve"> 京土储挂(延)[2023]041号 </t>
  </si>
  <si>
    <t xml:space="preserve"> 延庆区延庆新城09街区 </t>
  </si>
  <si>
    <t xml:space="preserve"> 限地价,限房价 </t>
  </si>
  <si>
    <t xml:space="preserve"> 北京住总房地产开发有限责任公司  </t>
  </si>
  <si>
    <t xml:space="preserve"> 住总山澜樾府 ，九级，五通</t>
    <phoneticPr fontId="134" type="noConversion"/>
  </si>
  <si>
    <t xml:space="preserve"> 延庆区延庆镇</t>
  </si>
  <si>
    <t>北京市平谷区兴谷新消费综合体项目PG00-0106-0104地块R2二类居住用地</t>
    <phoneticPr fontId="134" type="noConversion"/>
  </si>
  <si>
    <t xml:space="preserve"> 平谷区 </t>
  </si>
  <si>
    <t xml:space="preserve"> 兴谷 </t>
  </si>
  <si>
    <t xml:space="preserve"> 京土储挂(平)[2023]030号 </t>
  </si>
  <si>
    <t xml:space="preserve"> 京土储挂(平)[2023]030号 </t>
    <phoneticPr fontId="134" type="noConversion"/>
  </si>
  <si>
    <t xml:space="preserve"> 平谷区兴谷街道 </t>
  </si>
  <si>
    <t xml:space="preserve"> ≤1.2 </t>
  </si>
  <si>
    <t xml:space="preserve"> 已开工 </t>
  </si>
  <si>
    <t xml:space="preserve"> 北京辰禾嘉业房地产开发有限公司  </t>
  </si>
  <si>
    <t xml:space="preserve"> 北京辰禾嘉业房地产开发有限公司 </t>
  </si>
  <si>
    <t xml:space="preserve"> 民营企业 </t>
  </si>
  <si>
    <t xml:space="preserve"> 紫贵丽景花园，四通，九级  </t>
    <phoneticPr fontId="134" type="noConversion"/>
  </si>
  <si>
    <t xml:space="preserve"> 平谷新城</t>
  </si>
  <si>
    <t>北京市密云区十里堡镇王各庄棚户区改造项目MY00-0500-0001地块R2二类居住用地</t>
  </si>
  <si>
    <t xml:space="preserve"> 十里堡镇 </t>
  </si>
  <si>
    <t xml:space="preserve"> 京土储挂(密)[2022]058号 </t>
  </si>
  <si>
    <t xml:space="preserve"> 京土储挂(密)[2022]058号 </t>
    <phoneticPr fontId="134" type="noConversion"/>
  </si>
  <si>
    <t xml:space="preserve"> 密云区十里堡镇王各庄村 </t>
  </si>
  <si>
    <t xml:space="preserve"> R2二类居住用地 </t>
  </si>
  <si>
    <t xml:space="preserve"> 住宅70年 </t>
  </si>
  <si>
    <t xml:space="preserve"> 45米 </t>
  </si>
  <si>
    <t xml:space="preserve">2022年第3批次 </t>
  </si>
  <si>
    <t xml:space="preserve"> 北京住总置业有限公司 、北京密云城市建设投资集团有限公司 、北京建工地产有限责任公司 、北京众智房地产开发有限公司  </t>
  </si>
  <si>
    <t xml:space="preserve"> 北京密云经济开发区有限责任公司,北京建工,北京住总集团,北京密云城建 </t>
  </si>
  <si>
    <t xml:space="preserve"> 地方国有企业，地方国有企业，地方国有企业，地方国有企业 </t>
  </si>
  <si>
    <t xml:space="preserve"> --，城投企业，城投企业，-- </t>
  </si>
  <si>
    <t xml:space="preserve"> 国祥星宸，六通，十级  </t>
    <phoneticPr fontId="134" type="noConversion"/>
  </si>
  <si>
    <t>北京市密云区水源路南侧B地块土地一级开发项目MY00-0104-6054地块R2二类居住用地</t>
  </si>
  <si>
    <t xml:space="preserve"> 京土储挂(密)[2022]057号 </t>
  </si>
  <si>
    <t xml:space="preserve"> 北京众智房地产开发有限公司  </t>
  </si>
  <si>
    <t xml:space="preserve"> 北京密云经济开发区有限责任公司 </t>
  </si>
  <si>
    <t xml:space="preserve"> 锦云府  </t>
  </si>
  <si>
    <t>北京市平谷区府前街旧城棚户区改造项目(二期)B、D地块原PG-0005-0065、PG-0005-0074(B地块)、原PG00-0005-0035-01西部(D地块)、原PG00-0005-0035</t>
    <phoneticPr fontId="134" type="noConversion"/>
  </si>
  <si>
    <t xml:space="preserve"> 滨河 </t>
  </si>
  <si>
    <t xml:space="preserve"> 京土储挂(平)[2022]037号 </t>
  </si>
  <si>
    <t xml:space="preserve"> 京土储挂(平)[2022]037号 </t>
    <phoneticPr fontId="134" type="noConversion"/>
  </si>
  <si>
    <t xml:space="preserve"> 平谷区滨河街道 </t>
  </si>
  <si>
    <t xml:space="preserve"> R2二类居住用地、F3其他类多功能用地 </t>
  </si>
  <si>
    <t xml:space="preserve"> 原pg-0005-0065、74(b地块)容积率2.4,原pg00-0005-0035-01西部(d地块)容积率2.5,原pg00-0005-0035-01东部(d地块)容积率2.4 </t>
  </si>
  <si>
    <t xml:space="preserve">2022年第2批次 </t>
  </si>
  <si>
    <t xml:space="preserve"> 限房价,限地价,摇号/摇珠/抽签 </t>
  </si>
  <si>
    <t xml:space="preserve"> 限房价,限地价 </t>
  </si>
  <si>
    <t xml:space="preserve"> 京能置业股份有限公司 、北京城谷恒泰房地产开发有限公司  </t>
  </si>
  <si>
    <t xml:space="preserve"> 北京城建集团,京能置业,谷财集团 </t>
  </si>
  <si>
    <t xml:space="preserve"> 地方国有企业，地方国有企业，地方国有企业 </t>
  </si>
  <si>
    <t xml:space="preserve"> 城投企业，--，城投企业 </t>
  </si>
  <si>
    <t xml:space="preserve"> 北京城建·京能·樾园，四通， 八级 </t>
    <phoneticPr fontId="134" type="noConversion"/>
  </si>
  <si>
    <t>北京市怀柔区雁栖镇01-01、01-02、01-03、01-04地块F2公建混合住宅用地、F3其他类多功能用地(怀柔雁栖小镇土地一级开发项目)</t>
  </si>
  <si>
    <t xml:space="preserve"> 京土储挂(怀)[2022]015号 </t>
  </si>
  <si>
    <t xml:space="preserve"> F2公建混合住宅用地、F3其他类多功能用地 </t>
  </si>
  <si>
    <t xml:space="preserve"> 住宅70年、办公50年 </t>
  </si>
  <si>
    <t xml:space="preserve"> 01-01地块和01-04地块容积率1.3,01-02地块容积率1.4,01-03地块容积率2.0 </t>
  </si>
  <si>
    <t xml:space="preserve"> 地标建筑区域建筑屋脊高度控制在24米以下。 </t>
  </si>
  <si>
    <t xml:space="preserve">2022年第1批次 </t>
  </si>
  <si>
    <t xml:space="preserve"> 限房价,限地价,报高标准商品住宅建设方案 </t>
  </si>
  <si>
    <t xml:space="preserve"> 已竣工 </t>
  </si>
  <si>
    <t xml:space="preserve"> 北京怀柔科学城建设发展有限公司  </t>
  </si>
  <si>
    <t>北京市延庆区小营村,石河营村棚户区改造和环境整治项目YQ00-0006-0029地块R2二类居住用地</t>
  </si>
  <si>
    <t xml:space="preserve"> 京土整储挂(延)[2021]088号 </t>
  </si>
  <si>
    <t xml:space="preserve"> 延庆区延庆新城06街区 </t>
  </si>
  <si>
    <t xml:space="preserve"> 居住70年,商业40年,办公51年 </t>
  </si>
  <si>
    <t xml:space="preserve">2021年第3批次 </t>
  </si>
  <si>
    <t xml:space="preserve"> 中建京西建设发展有限公司  </t>
  </si>
  <si>
    <t xml:space="preserve"> 中建方程 </t>
  </si>
  <si>
    <t xml:space="preserve"> 中央国有企业 </t>
  </si>
  <si>
    <t xml:space="preserve"> 7830元/㎡(八级住宅用途2021-01-01) </t>
  </si>
  <si>
    <t xml:space="preserve"> 中建·上源府  </t>
  </si>
  <si>
    <t>北京市密云区水源路南侧MY00-0104-6016等地块R2二类居住用地</t>
  </si>
  <si>
    <t xml:space="preserve"> 京土整储挂(密)[2021]087号 </t>
  </si>
  <si>
    <t xml:space="preserve"> 居住70年,商业40年,办公53年 </t>
  </si>
  <si>
    <t xml:space="preserve"> 限房价,限地价,摇号/摇珠/抽签,现房销售 </t>
  </si>
  <si>
    <t xml:space="preserve"> 北京祥业房地产有限公司 、北京首都开发股份有限公司 、北京旭科置业有限公司和北京密云城市建设投资开发有限公司  </t>
  </si>
  <si>
    <t xml:space="preserve"> 北京密云城建,北京住总集团,旭辉集团,首开股份 </t>
  </si>
  <si>
    <t xml:space="preserve"> 地方国有企业，地方国有企业，民营企业，地方国有企业 </t>
  </si>
  <si>
    <t xml:space="preserve"> --，城投企业，--，-- </t>
  </si>
  <si>
    <t xml:space="preserve"> 国祥源境 ，五通，九级 </t>
    <phoneticPr fontId="134" type="noConversion"/>
  </si>
  <si>
    <t>北京市平谷区马昌营镇(沥青厂)PG12-0102-6001、6002地块R2二类居住用地、0004地块公园绿地、0019地块防护绿地</t>
  </si>
  <si>
    <t xml:space="preserve"> 大兴庄镇 </t>
  </si>
  <si>
    <t xml:space="preserve"> 京土整储招(平)[2021]075号 </t>
  </si>
  <si>
    <t xml:space="preserve"> 平谷区马昌营镇 </t>
  </si>
  <si>
    <t xml:space="preserve"> R2二类居住用地、公园绿地、防护绿地 </t>
  </si>
  <si>
    <t xml:space="preserve"> G1公园绿地、G2防护绿地、R2二类居住用地 </t>
  </si>
  <si>
    <t xml:space="preserve"> ≤2.5 </t>
  </si>
  <si>
    <t xml:space="preserve"> 60米 </t>
  </si>
  <si>
    <t xml:space="preserve"> 招标 </t>
  </si>
  <si>
    <t xml:space="preserve">2021年第2批次 </t>
  </si>
  <si>
    <t xml:space="preserve"> 限房价 </t>
  </si>
  <si>
    <t xml:space="preserve"> 配建自住房/共有产权房用地,纯自住房/共有产权房用地 </t>
  </si>
  <si>
    <t xml:space="preserve"> 北京城乡房屋建设开发有限责任公司  </t>
  </si>
  <si>
    <t xml:space="preserve"> 北京建工 </t>
  </si>
  <si>
    <t xml:space="preserve"> 晟贤悦府  </t>
  </si>
  <si>
    <t>北京市密云区檀营乡6005地块R2二类居住用地</t>
  </si>
  <si>
    <t xml:space="preserve"> 檀营 </t>
  </si>
  <si>
    <t xml:space="preserve"> 京土整储挂(密)[2021]026号 </t>
  </si>
  <si>
    <t xml:space="preserve"> 密云区檀营乡 </t>
  </si>
  <si>
    <t xml:space="preserve"> 居住70年、商业40年、办公50年 </t>
  </si>
  <si>
    <t xml:space="preserve"> ≤2.0 </t>
  </si>
  <si>
    <t xml:space="preserve"> ≤30% </t>
  </si>
  <si>
    <t xml:space="preserve"> ≤30米(局部45米) </t>
  </si>
  <si>
    <t xml:space="preserve">2021年第1批次 </t>
  </si>
  <si>
    <t xml:space="preserve"> 限地价,报高标准商品住宅建设方案 </t>
  </si>
  <si>
    <t xml:space="preserve"> 北京祥业房地产有限公司 、北京首都开发股份有限公司 、北京兴添咨询服务有限公司 、北京花亿里房地产开发有限公司  </t>
  </si>
  <si>
    <t xml:space="preserve"> 首开股份,北京花亿里房地产开发有限公司,北京住总集团,旭辉集团 </t>
  </si>
  <si>
    <t xml:space="preserve"> 地方国有企业，民营企业，地方国有企业，民营企业 </t>
  </si>
  <si>
    <t xml:space="preserve"> --，--，城投企业，-- </t>
  </si>
  <si>
    <t xml:space="preserve"> 触达 </t>
  </si>
  <si>
    <t xml:space="preserve"> 国祥雲著  </t>
  </si>
  <si>
    <t>北京市怀柔区刘各长村棚户区改造土地开发项目HR00-0101-6049、6200、6201、6202、6203地块R2二类居住用地等</t>
  </si>
  <si>
    <t xml:space="preserve"> 怀柔 </t>
  </si>
  <si>
    <t xml:space="preserve"> 京土整储挂(怀)[2021]027号 </t>
  </si>
  <si>
    <t xml:space="preserve"> 怀柔区怀柔镇刘各长村 </t>
  </si>
  <si>
    <t xml:space="preserve"> R2二类居住用地、B4综合性商业金融服务业用地、A334托幼用地 </t>
  </si>
  <si>
    <t xml:space="preserve"> B21金融保险用地、B1商业设施用地、A33基础教育用地、R2二类居住用地 </t>
  </si>
  <si>
    <t xml:space="preserve"> ≤1.83 </t>
  </si>
  <si>
    <t xml:space="preserve"> 北京天恒正同资产管理有限公司 、青岛越星房地产开发有限公司  </t>
  </si>
  <si>
    <t xml:space="preserve"> 越秀地产,北京天恒置业 </t>
  </si>
  <si>
    <t xml:space="preserve"> 地方国有企业，地方国有企业 </t>
  </si>
  <si>
    <t xml:space="preserve"> --，城投企业 </t>
  </si>
  <si>
    <t xml:space="preserve"> 越秀天恒·怀山府  </t>
  </si>
  <si>
    <t>北京市延庆区南菜园1-5巷棚户区改造项目YQ00-0007-0002地块R2二类居住用地</t>
  </si>
  <si>
    <t xml:space="preserve"> 京土整储挂(延)[2021]028号 </t>
  </si>
  <si>
    <t xml:space="preserve"> 延庆新城07街区 </t>
  </si>
  <si>
    <t xml:space="preserve"> r2≤1.9 </t>
  </si>
  <si>
    <t xml:space="preserve"> ≤30米 </t>
  </si>
  <si>
    <t xml:space="preserve"> 北京住总山澜阙府  </t>
  </si>
  <si>
    <t>北京市怀柔区怀柔新城08街区HR00-0008-6029等地块R2二类居住用地、B1商业用地、F3其他类多功能用地、A334基础教育用地、S4社会停车场用地</t>
  </si>
  <si>
    <t xml:space="preserve"> 杨宋镇 </t>
  </si>
  <si>
    <t xml:space="preserve"> 京土整储挂(怀)[2020]041号 </t>
  </si>
  <si>
    <t xml:space="preserve"> 怀柔区杨宋镇怀柔新城08街区 </t>
  </si>
  <si>
    <t xml:space="preserve"> R2二类居住用地、B1商业用地、F3其他类多功能用地、A334基础教育用地、S4社会停车场用地 </t>
  </si>
  <si>
    <t xml:space="preserve"> A33基础教育用地、S42社会停车场用地、B1商业设施用地、R2二类居住用地 </t>
  </si>
  <si>
    <t xml:space="preserve"> hr00-0008-6029≤2;hr00-0008-6031,hr00-0008-6033≤2.6;hr00-0008-6040,hr00-0008-6043,hr00-0008-6035,hr00-0008-6042,hr00-0008-6045≤2.5;hr00-0008-6044≤0.8 </t>
  </si>
  <si>
    <t xml:space="preserve"> B1≤40%;F3≤45%;R2,A334≤30% </t>
  </si>
  <si>
    <t xml:space="preserve"> B1≤18米;F3≤60米;A334≤12米 </t>
  </si>
  <si>
    <t xml:space="preserve"> 限地价,竞自持,报高标准商品住宅建设方案 </t>
  </si>
  <si>
    <t xml:space="preserve"> 北京建工地产有限责任公司  </t>
  </si>
  <si>
    <t xml:space="preserve"> 北京建工·璟玥林汐  </t>
  </si>
  <si>
    <t>北京市平谷区王辛庄镇(二号地三期)PG00-0002-6006地块R2二类居住用地</t>
  </si>
  <si>
    <t xml:space="preserve"> 王辛庄镇 </t>
  </si>
  <si>
    <t xml:space="preserve"> 京土整储挂(平)[2020]036号 </t>
  </si>
  <si>
    <t xml:space="preserve"> 平谷区王辛庄镇 </t>
  </si>
  <si>
    <t xml:space="preserve"> ≤2.35 </t>
  </si>
  <si>
    <t xml:space="preserve"> ≤60米 </t>
  </si>
  <si>
    <t xml:space="preserve"> 北京城建房地产开发有限公司  </t>
  </si>
  <si>
    <t xml:space="preserve"> 北京城建集团 </t>
  </si>
  <si>
    <t xml:space="preserve"> 北京城建·樂知筑  </t>
  </si>
  <si>
    <t>北京市怀柔区雁栖镇陈各庄村HR00-0010-6040地块R2二类居住用地</t>
  </si>
  <si>
    <t xml:space="preserve"> 京土整储挂(怀)[2020]031号 </t>
  </si>
  <si>
    <t xml:space="preserve"> 怀柔区雁栖镇陈各庄村 </t>
  </si>
  <si>
    <t xml:space="preserve"> 北京科控置地有限公司  </t>
  </si>
  <si>
    <t xml:space="preserve"> 北科建集团,北京北控,怀柔科学城 </t>
  </si>
  <si>
    <t>平谷中心城区棚户区改造项目A地块〔平谷区府前街旧城棚户区改造项目(二期)〕的北小区地块、C地块(住宅及幼儿园用地部分)</t>
  </si>
  <si>
    <t xml:space="preserve"> 京土棚改招(平)[2020]001号 </t>
  </si>
  <si>
    <t xml:space="preserve"> 北京市平谷区府前街 </t>
  </si>
  <si>
    <t xml:space="preserve"> R2二类居住用地、A33基础教育用地 </t>
  </si>
  <si>
    <t xml:space="preserve"> A33基础教育用地、R2二类居住用地 </t>
  </si>
  <si>
    <t xml:space="preserve"> 居住70年,商业40年,综合50年 </t>
  </si>
  <si>
    <t xml:space="preserve"> ≤1.47 </t>
  </si>
  <si>
    <t xml:space="preserve"> 限价商品房 </t>
  </si>
  <si>
    <t xml:space="preserve"> 北京城谷恒泰房地产开发有限公司  </t>
  </si>
  <si>
    <t>北京市密云区密云经济开发区三期A1地块MY00-0302-6010等地块R2二类居住用地、A33基础教育用地</t>
  </si>
  <si>
    <t xml:space="preserve"> 河南寨镇 </t>
  </si>
  <si>
    <t xml:space="preserve"> 京土整储挂(密)[2020]006号 </t>
  </si>
  <si>
    <t xml:space="preserve"> 密云新城0302街区 </t>
  </si>
  <si>
    <t xml:space="preserve"> r2≤1.62,a33≤0.8 </t>
  </si>
  <si>
    <t xml:space="preserve"> R2≤18米(局部30米),A33≤12米 </t>
  </si>
  <si>
    <t xml:space="preserve"> 恒大地产集团北京有限公司  </t>
  </si>
  <si>
    <t xml:space="preserve"> 中国恒大 </t>
  </si>
  <si>
    <t xml:space="preserve"> 北京上河院  </t>
  </si>
  <si>
    <t>北京市密云区檀营乡6023地块R2二类居住用地、6024地块A33基础教育用地</t>
  </si>
  <si>
    <t xml:space="preserve"> 京土整储挂(密)[2020]007号 </t>
  </si>
  <si>
    <t xml:space="preserve"> 居住70年、教育50年 </t>
  </si>
  <si>
    <t xml:space="preserve"> r2≤2,a33≤0.8 </t>
  </si>
  <si>
    <t xml:space="preserve"> R2≤30%,A33≤35% </t>
  </si>
  <si>
    <t xml:space="preserve"> R2≤30米(局部45米),A33≤9米 </t>
  </si>
  <si>
    <t xml:space="preserve"> 北京祥业房地产有限公司 、北京首都开发股份有限公司 、北京盛通房地产有限公司 、天津花创房地产开发有限公司联合体  </t>
  </si>
  <si>
    <t xml:space="preserve"> 旭辉集团,花样年,北京住总集团,首开股份 </t>
  </si>
  <si>
    <t xml:space="preserve"> 民营企业，民营企业，地方国有企业，地方国有企业 </t>
  </si>
  <si>
    <t xml:space="preserve"> 国祥府  </t>
  </si>
  <si>
    <t>北京市怀柔区雁栖镇陈各庄村HR00-0010-6047地块R2二类居住用地、HR00-0010-6045和HR00-0010-6054地块S4社会停车场用地</t>
  </si>
  <si>
    <t xml:space="preserve"> 京土整储挂(怀)[2019]040号 </t>
  </si>
  <si>
    <t xml:space="preserve"> R2二类居住用地、S4社会停车场用地 </t>
  </si>
  <si>
    <t xml:space="preserve"> S42社会停车场用地、R2二类居住用地 </t>
  </si>
  <si>
    <t xml:space="preserve"> r2≤1.55,s4≤0.1 </t>
  </si>
  <si>
    <t xml:space="preserve"> R2≤30%,S4≤5% </t>
  </si>
  <si>
    <t xml:space="preserve"> R2≤18米,S4≤9米 </t>
  </si>
  <si>
    <t xml:space="preserve"> 北京科技园建设(集团)股份有限公司 、北京京雁置业有限责任公司 、北京北控城市开发有限公司 、北京市长城伟业投资开发总公司联合体  </t>
  </si>
  <si>
    <t xml:space="preserve"> 北控置业,怀柔科学城,北科建集团 </t>
  </si>
  <si>
    <t xml:space="preserve"> --，城投企业，城投企业 </t>
  </si>
  <si>
    <t xml:space="preserve"> 北科建翡翠华府  </t>
  </si>
  <si>
    <t>北京市怀柔区怀柔新城07街区(杨宋镇凤翔一园10号)HR00-0007-6006地块R2二类居住用地</t>
  </si>
  <si>
    <t xml:space="preserve"> 京土整储招(怀)[2019]028号 </t>
  </si>
  <si>
    <t xml:space="preserve"> 怀柔新城07街区 </t>
  </si>
  <si>
    <t xml:space="preserve"> ≤2.2 </t>
  </si>
  <si>
    <t xml:space="preserve"> ≤45米 </t>
  </si>
  <si>
    <t xml:space="preserve"> 自住房/共有产权房 </t>
  </si>
  <si>
    <t xml:space="preserve"> 北京怀胜城市建设开发有限公司 、北京怀胜青春广场置业有限公司联合体  </t>
  </si>
  <si>
    <t xml:space="preserve"> 北京怀胜 </t>
  </si>
  <si>
    <t>北京市平谷区金海湖镇PG06-0100-6014地块R2二类居住用地</t>
  </si>
  <si>
    <t xml:space="preserve"> 金海湖 </t>
  </si>
  <si>
    <t xml:space="preserve"> 京土整储挂(平)[2019]014号 </t>
  </si>
  <si>
    <t xml:space="preserve"> 平谷区金海湖镇 </t>
  </si>
  <si>
    <t xml:space="preserve"> ≤1.01 </t>
  </si>
  <si>
    <t xml:space="preserve"> ≤18米 </t>
  </si>
  <si>
    <t xml:space="preserve"> 首金合创(天津)置业发展有限公司 、北京金第房地产开发有限责任公司 、北京首都开发股份有限公司联合体  </t>
  </si>
  <si>
    <t xml:space="preserve"> 首创城发,北京住总集团,首开股份 </t>
  </si>
  <si>
    <t xml:space="preserve"> --，城投企业，-- </t>
  </si>
  <si>
    <t xml:space="preserve"> 2180元/㎡(十一级住宅用途2021-01-01) </t>
  </si>
  <si>
    <t xml:space="preserve"> 国风金海  </t>
  </si>
  <si>
    <t>北京市怀柔区怀柔新城03街区HR00-0003-6004等地块A33基础教育用地、R2二类居住用地、F1住宅混合公建用地、F3其他类多功能用地</t>
  </si>
  <si>
    <t xml:space="preserve"> 京土整储挂(怀)[2019]009号 </t>
  </si>
  <si>
    <t xml:space="preserve"> 怀柔区怀柔新城03街区 </t>
  </si>
  <si>
    <t xml:space="preserve"> R2二类居住用地、F1住宅混合公建用地、F3其他类多功能用地、A33基础教育用地 </t>
  </si>
  <si>
    <t xml:space="preserve"> ≤2.05 </t>
  </si>
  <si>
    <t xml:space="preserve"> F3≤45%,A33、F1、R2≤30% </t>
  </si>
  <si>
    <t xml:space="preserve"> 北京城建投资发展股份有限公司 、北京怀胜城市建设开发有限公司联合体  </t>
  </si>
  <si>
    <t xml:space="preserve"> 北京城建 </t>
  </si>
  <si>
    <t xml:space="preserve"> 北京城建·府前龙樾  </t>
  </si>
  <si>
    <t>北京市平谷区金海湖镇PG06-0100-6019等地块R2二类居住用地、B1商业用地、A33基础教育用地</t>
  </si>
  <si>
    <t xml:space="preserve"> 京土整储挂(平)[2019]003号 </t>
  </si>
  <si>
    <t xml:space="preserve"> R2二类居住用地、B1商业用地、A33基础教育用地 </t>
  </si>
  <si>
    <t xml:space="preserve"> A33基础教育用地、R2二类居住用地、B1商业设施用地 </t>
  </si>
  <si>
    <t xml:space="preserve"> b1\r2=1.01,a33=0.8 </t>
  </si>
  <si>
    <t xml:space="preserve"> B1≤35%,R2、A33≤30% </t>
  </si>
  <si>
    <t xml:space="preserve"> R2≤18米,A33≤12米 </t>
  </si>
  <si>
    <t xml:space="preserve"> 首金隆创(天津)置业发展有限公司 、北京金第房地产开发有限责任公司联合体  </t>
  </si>
  <si>
    <t xml:space="preserve"> 北京住总集团,万科,首创城发 </t>
  </si>
  <si>
    <t xml:space="preserve"> 地方国有企业，混合所有制，地方国有企业 </t>
  </si>
  <si>
    <t xml:space="preserve"> 城投企业，--，-- </t>
  </si>
  <si>
    <t xml:space="preserve"> 首创住总·禧瑞金海  </t>
  </si>
  <si>
    <t>北京市密云区溪翁庄MY02-0201-6001地块(原圆明三园C地块)R2二类居住用地</t>
  </si>
  <si>
    <t xml:space="preserve"> 溪翁庄镇 </t>
  </si>
  <si>
    <t xml:space="preserve"> 京土整储挂(密)[2018]066号 </t>
  </si>
  <si>
    <t xml:space="preserve"> 密云区溪翁庄 </t>
  </si>
  <si>
    <t xml:space="preserve"> 曲水鹏盛天创业投资管理有限公司  </t>
  </si>
  <si>
    <t xml:space="preserve"> 阳光城 </t>
  </si>
  <si>
    <t xml:space="preserve"> 阳光城·溪山悦  </t>
  </si>
  <si>
    <t>北京市怀柔区雁栖镇陈各庄村HR00-0010-6037地块R2二类居住用地、HR00-0010-6043地块A33基础教育用地</t>
  </si>
  <si>
    <t xml:space="preserve"> 京土整储挂(怀)[2018]054号 </t>
  </si>
  <si>
    <t xml:space="preserve"> R2≤30;A33≤15 </t>
  </si>
  <si>
    <t>北京市密云区李各庄路0602、0603地块二类居住及基础教育用地</t>
  </si>
  <si>
    <t xml:space="preserve"> 密云镇 </t>
  </si>
  <si>
    <t xml:space="preserve"> 京土整储挂(密)[2018]051号 </t>
  </si>
  <si>
    <t xml:space="preserve"> 密云区李各庄路 </t>
  </si>
  <si>
    <t xml:space="preserve"> R2≤36;A33≤12 </t>
  </si>
  <si>
    <t xml:space="preserve"> 北京隽成房地产开发有限公司  </t>
  </si>
  <si>
    <t xml:space="preserve"> 路劲集团 </t>
  </si>
  <si>
    <t>北京市怀柔区庙城HR00-0014-6019等地块R2二类居住用地、B1商业用地、S4社会停车场用地、A33基础教育用地、U22环卫设施用地</t>
  </si>
  <si>
    <t xml:space="preserve"> 庙城 </t>
  </si>
  <si>
    <t xml:space="preserve"> 京土整储挂(怀)[2018]046号 </t>
  </si>
  <si>
    <t xml:space="preserve"> 怀柔区庙城镇庙城村 </t>
  </si>
  <si>
    <t xml:space="preserve"> R2二类居住用地、B1商业用地、S4社会停车场用地、A33基础教育用地、U22环卫设施用地 </t>
  </si>
  <si>
    <t xml:space="preserve"> A33基础教育用地、S42社会停车场用地、U22环卫设施用地、R2二类居住用地、B1商业设施用地 </t>
  </si>
  <si>
    <t xml:space="preserve"> 限地价,限房价,竞自持,报高标准商品住宅建设方案,90/70 </t>
  </si>
  <si>
    <t xml:space="preserve"> 限地价,限房价,90/70 </t>
  </si>
  <si>
    <t xml:space="preserve"> 北京银地房地产开发有限责任公司 、北京京粮置业有限公司 、北京三元嘉业房地产开发有限公司联合体  </t>
  </si>
  <si>
    <t xml:space="preserve"> 首农发展,菜篮子集团,三元嘉业 </t>
  </si>
  <si>
    <t xml:space="preserve"> --，--，城投企业 </t>
  </si>
  <si>
    <t xml:space="preserve"> 山水首府  </t>
  </si>
  <si>
    <t>延庆住总山澜樾府在建项目，评估范围为全部未售住宅、地下仓储、地下车库用房，分摊土地面积17355.12平方米，建筑面积40498.95平方米，评估价值约5.6亿</t>
    <phoneticPr fontId="134" type="noConversion"/>
  </si>
  <si>
    <t>https://j.map.baidu.com/cb/FRCi</t>
    <phoneticPr fontId="134" type="noConversion"/>
  </si>
  <si>
    <t>住宅</t>
    <phoneticPr fontId="30" type="noConversion"/>
  </si>
  <si>
    <t>限价</t>
    <phoneticPr fontId="30" type="noConversion"/>
  </si>
  <si>
    <t>较规则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</si>
  <si>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</si>
  <si>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</si>
  <si>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</si>
  <si>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</si>
  <si>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</si>
  <si>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0" type="noConversion"/>
  </si>
  <si>
    <t>六通</t>
  </si>
  <si>
    <t>四通</t>
  </si>
  <si>
    <t>五通</t>
  </si>
  <si>
    <t>较差</t>
  </si>
  <si>
    <t>七通</t>
  </si>
  <si>
    <r>
      <rPr>
        <sz val="10"/>
        <color theme="9" tint="-0.249977111117893"/>
        <rFont val="宋体"/>
        <family val="3"/>
        <charset val="134"/>
      </rPr>
      <t>延庆区世园村中路</t>
    </r>
    <r>
      <rPr>
        <sz val="10"/>
        <color theme="9" tint="-0.249977111117893"/>
        <rFont val="Arial"/>
        <family val="2"/>
      </rPr>
      <t>1</t>
    </r>
    <r>
      <rPr>
        <sz val="10"/>
        <color theme="9" tint="-0.249977111117893"/>
        <rFont val="宋体"/>
        <family val="3"/>
        <charset val="134"/>
      </rPr>
      <t>号院</t>
    </r>
    <r>
      <rPr>
        <sz val="10"/>
        <color theme="9" tint="-0.249977111117893"/>
        <rFont val="Arial"/>
        <family val="2"/>
      </rPr>
      <t>1-4</t>
    </r>
    <r>
      <rPr>
        <sz val="10"/>
        <color theme="9" tint="-0.249977111117893"/>
        <rFont val="宋体"/>
        <family val="3"/>
        <charset val="134"/>
      </rPr>
      <t>号楼共</t>
    </r>
    <r>
      <rPr>
        <sz val="10"/>
        <color theme="9" tint="-0.249977111117893"/>
        <rFont val="Arial"/>
        <family val="2"/>
      </rPr>
      <t>41</t>
    </r>
    <r>
      <rPr>
        <sz val="10"/>
        <color theme="9" tint="-0.249977111117893"/>
        <rFont val="宋体"/>
        <family val="3"/>
        <charset val="134"/>
      </rPr>
      <t>套住宅用房</t>
    </r>
    <phoneticPr fontId="6" type="noConversion"/>
  </si>
  <si>
    <t>收益法</t>
  </si>
  <si>
    <t>月租金</t>
    <phoneticPr fontId="3" type="noConversion"/>
  </si>
  <si>
    <t>押一</t>
  </si>
  <si>
    <t>钢混</t>
  </si>
  <si>
    <t>非生产用房</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</si>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</sst>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宋体"/>
      <family val="3"/>
      <charset val="134"/>
      <scheme val="minor"/>
    </font>
    <font>
      <u/>
      <sz val="11"/>
      <color theme="10"/>
      <name val="宋体"/>
      <family val="3"/>
      <charset val="134"/>
      <scheme val="minor"/>
    </font>
    <font>
      <sz val="11"/>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applyNumberFormat="0" applyFill="0" applyBorder="0" applyAlignment="0" applyProtection="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1" xfId="0" applyNumberFormat="1" applyFont="1" applyBorder="1" applyAlignment="1">
      <alignment horizontal="left" vertical="center"/>
    </xf>
    <xf numFmtId="0" fontId="0" fillId="0" borderId="1" xfId="0" applyNumberFormat="1" applyBorder="1" applyAlignment="1">
      <alignment horizontal="left" vertical="center"/>
    </xf>
    <xf numFmtId="0" fontId="77" fillId="0" borderId="1" xfId="0" applyFont="1" applyBorder="1" applyAlignment="1" applyProtection="1">
      <alignment vertical="center" wrapText="1"/>
      <protection locked="0"/>
    </xf>
    <xf numFmtId="0" fontId="77" fillId="12" borderId="0" xfId="0"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51" fillId="12" borderId="0" xfId="0" applyNumberFormat="1" applyFont="1" applyFill="1" applyAlignment="1" applyProtection="1">
      <alignment horizontal="center" vertical="center"/>
      <protection locked="0"/>
    </xf>
    <xf numFmtId="0" fontId="107" fillId="0" borderId="0" xfId="10" applyFont="1" applyAlignment="1">
      <alignment horizontal="left" vertical="center"/>
    </xf>
    <xf numFmtId="14" fontId="107" fillId="0" borderId="0" xfId="10" applyNumberFormat="1" applyFont="1" applyAlignment="1">
      <alignment horizontal="left" vertical="center"/>
    </xf>
    <xf numFmtId="0" fontId="269" fillId="0" borderId="0" xfId="10" applyFont="1" applyAlignment="1">
      <alignment horizontal="left" vertical="center"/>
    </xf>
    <xf numFmtId="14" fontId="269" fillId="0" borderId="0" xfId="10" applyNumberFormat="1" applyFont="1" applyAlignment="1">
      <alignment horizontal="left" vertical="center"/>
    </xf>
    <xf numFmtId="0" fontId="107" fillId="9" borderId="0" xfId="10" applyFont="1" applyFill="1" applyAlignment="1">
      <alignment horizontal="left" vertical="center"/>
    </xf>
    <xf numFmtId="14" fontId="107" fillId="9" borderId="0" xfId="10" applyNumberFormat="1" applyFont="1" applyFill="1" applyAlignment="1">
      <alignment horizontal="left" vertical="center"/>
    </xf>
    <xf numFmtId="0" fontId="107" fillId="5" borderId="0" xfId="10" applyFont="1" applyFill="1" applyAlignment="1">
      <alignment horizontal="left" vertical="center"/>
    </xf>
    <xf numFmtId="14" fontId="107" fillId="5" borderId="0" xfId="10" applyNumberFormat="1" applyFont="1" applyFill="1" applyAlignment="1">
      <alignment horizontal="left" vertical="center"/>
    </xf>
    <xf numFmtId="0" fontId="270" fillId="0" borderId="0" xfId="19" applyAlignment="1">
      <alignment horizontal="left" vertical="center"/>
    </xf>
    <xf numFmtId="0" fontId="51" fillId="0" borderId="1"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128" fillId="0" borderId="46" xfId="0" applyFont="1" applyFill="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1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0" fillId="0" borderId="1" xfId="0" applyNumberFormat="1" applyBorder="1" applyAlignment="1">
      <alignment horizontal="left" vertical="center"/>
    </xf>
    <xf numFmtId="0" fontId="0" fillId="0" borderId="13" xfId="0" applyNumberFormat="1" applyBorder="1" applyAlignment="1">
      <alignment horizontal="left" vertical="center"/>
    </xf>
    <xf numFmtId="0" fontId="0" fillId="0" borderId="15" xfId="0" applyNumberFormat="1" applyBorder="1" applyAlignment="1">
      <alignment horizontal="left" vertical="center"/>
    </xf>
    <xf numFmtId="0" fontId="0" fillId="0" borderId="2" xfId="0" applyNumberFormat="1" applyBorder="1" applyAlignment="1">
      <alignment horizontal="left" vertical="center"/>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232">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46</xdr:col>
      <xdr:colOff>798717</xdr:colOff>
      <xdr:row>98</xdr:row>
      <xdr:rowOff>75581</xdr:rowOff>
    </xdr:to>
    <xdr:pic>
      <xdr:nvPicPr>
        <xdr:cNvPr id="12" name="图片 11"/>
        <xdr:cNvPicPr>
          <a:picLocks noChangeAspect="1"/>
        </xdr:cNvPicPr>
      </xdr:nvPicPr>
      <xdr:blipFill>
        <a:blip xmlns:r="http://schemas.openxmlformats.org/officeDocument/2006/relationships" r:embed="rId1"/>
        <a:stretch>
          <a:fillRect/>
        </a:stretch>
      </xdr:blipFill>
      <xdr:spPr>
        <a:xfrm>
          <a:off x="0" y="5962650"/>
          <a:ext cx="11066667" cy="4952381"/>
        </a:xfrm>
        <a:prstGeom prst="rect">
          <a:avLst/>
        </a:prstGeom>
      </xdr:spPr>
    </xdr:pic>
    <xdr:clientData/>
  </xdr:twoCellAnchor>
  <xdr:twoCellAnchor editAs="oneCell">
    <xdr:from>
      <xdr:col>0</xdr:col>
      <xdr:colOff>0</xdr:colOff>
      <xdr:row>99</xdr:row>
      <xdr:rowOff>0</xdr:rowOff>
    </xdr:from>
    <xdr:to>
      <xdr:col>46</xdr:col>
      <xdr:colOff>608241</xdr:colOff>
      <xdr:row>122</xdr:row>
      <xdr:rowOff>37657</xdr:rowOff>
    </xdr:to>
    <xdr:pic>
      <xdr:nvPicPr>
        <xdr:cNvPr id="13" name="图片 12"/>
        <xdr:cNvPicPr>
          <a:picLocks noChangeAspect="1"/>
        </xdr:cNvPicPr>
      </xdr:nvPicPr>
      <xdr:blipFill>
        <a:blip xmlns:r="http://schemas.openxmlformats.org/officeDocument/2006/relationships" r:embed="rId2"/>
        <a:stretch>
          <a:fillRect/>
        </a:stretch>
      </xdr:blipFill>
      <xdr:spPr>
        <a:xfrm>
          <a:off x="0" y="10991850"/>
          <a:ext cx="10876191" cy="3542857"/>
        </a:xfrm>
        <a:prstGeom prst="rect">
          <a:avLst/>
        </a:prstGeom>
      </xdr:spPr>
    </xdr:pic>
    <xdr:clientData/>
  </xdr:twoCellAnchor>
  <xdr:twoCellAnchor editAs="oneCell">
    <xdr:from>
      <xdr:col>0</xdr:col>
      <xdr:colOff>0</xdr:colOff>
      <xdr:row>123</xdr:row>
      <xdr:rowOff>0</xdr:rowOff>
    </xdr:from>
    <xdr:to>
      <xdr:col>46</xdr:col>
      <xdr:colOff>636813</xdr:colOff>
      <xdr:row>151</xdr:row>
      <xdr:rowOff>75657</xdr:rowOff>
    </xdr:to>
    <xdr:pic>
      <xdr:nvPicPr>
        <xdr:cNvPr id="14" name="图片 13"/>
        <xdr:cNvPicPr>
          <a:picLocks noChangeAspect="1"/>
        </xdr:cNvPicPr>
      </xdr:nvPicPr>
      <xdr:blipFill>
        <a:blip xmlns:r="http://schemas.openxmlformats.org/officeDocument/2006/relationships" r:embed="rId3"/>
        <a:stretch>
          <a:fillRect/>
        </a:stretch>
      </xdr:blipFill>
      <xdr:spPr>
        <a:xfrm>
          <a:off x="0" y="14649450"/>
          <a:ext cx="10904763" cy="4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131963</xdr:colOff>
      <xdr:row>23</xdr:row>
      <xdr:rowOff>47148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71450"/>
          <a:ext cx="11104763" cy="3819048"/>
        </a:xfrm>
        <a:prstGeom prst="rect">
          <a:avLst/>
        </a:prstGeom>
      </xdr:spPr>
    </xdr:pic>
    <xdr:clientData/>
  </xdr:twoCellAnchor>
  <xdr:twoCellAnchor editAs="oneCell">
    <xdr:from>
      <xdr:col>0</xdr:col>
      <xdr:colOff>0</xdr:colOff>
      <xdr:row>24</xdr:row>
      <xdr:rowOff>0</xdr:rowOff>
    </xdr:from>
    <xdr:to>
      <xdr:col>15</xdr:col>
      <xdr:colOff>579667</xdr:colOff>
      <xdr:row>49</xdr:row>
      <xdr:rowOff>8988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4114800"/>
          <a:ext cx="10866667" cy="4295238"/>
        </a:xfrm>
        <a:prstGeom prst="rect">
          <a:avLst/>
        </a:prstGeom>
      </xdr:spPr>
    </xdr:pic>
    <xdr:clientData/>
  </xdr:twoCellAnchor>
  <xdr:twoCellAnchor editAs="oneCell">
    <xdr:from>
      <xdr:col>0</xdr:col>
      <xdr:colOff>0</xdr:colOff>
      <xdr:row>49</xdr:row>
      <xdr:rowOff>0</xdr:rowOff>
    </xdr:from>
    <xdr:to>
      <xdr:col>15</xdr:col>
      <xdr:colOff>636810</xdr:colOff>
      <xdr:row>56</xdr:row>
      <xdr:rowOff>171279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8401050"/>
          <a:ext cx="10923810" cy="1371429"/>
        </a:xfrm>
        <a:prstGeom prst="rect">
          <a:avLst/>
        </a:prstGeom>
      </xdr:spPr>
    </xdr:pic>
    <xdr:clientData/>
  </xdr:twoCellAnchor>
  <xdr:twoCellAnchor editAs="oneCell">
    <xdr:from>
      <xdr:col>0</xdr:col>
      <xdr:colOff>0</xdr:colOff>
      <xdr:row>58</xdr:row>
      <xdr:rowOff>0</xdr:rowOff>
    </xdr:from>
    <xdr:to>
      <xdr:col>16</xdr:col>
      <xdr:colOff>27201</xdr:colOff>
      <xdr:row>65</xdr:row>
      <xdr:rowOff>123660</xdr:rowOff>
    </xdr:to>
    <xdr:pic>
      <xdr:nvPicPr>
        <xdr:cNvPr id="6" name="图片 5"/>
        <xdr:cNvPicPr>
          <a:picLocks noChangeAspect="1"/>
        </xdr:cNvPicPr>
      </xdr:nvPicPr>
      <xdr:blipFill>
        <a:blip xmlns:r="http://schemas.openxmlformats.org/officeDocument/2006/relationships" r:embed="rId4"/>
        <a:stretch>
          <a:fillRect/>
        </a:stretch>
      </xdr:blipFill>
      <xdr:spPr>
        <a:xfrm>
          <a:off x="0" y="9944100"/>
          <a:ext cx="11000001" cy="1323810"/>
        </a:xfrm>
        <a:prstGeom prst="rect">
          <a:avLst/>
        </a:prstGeom>
      </xdr:spPr>
    </xdr:pic>
    <xdr:clientData/>
  </xdr:twoCellAnchor>
  <xdr:twoCellAnchor editAs="oneCell">
    <xdr:from>
      <xdr:col>0</xdr:col>
      <xdr:colOff>0</xdr:colOff>
      <xdr:row>66</xdr:row>
      <xdr:rowOff>0</xdr:rowOff>
    </xdr:from>
    <xdr:to>
      <xdr:col>15</xdr:col>
      <xdr:colOff>579667</xdr:colOff>
      <xdr:row>73</xdr:row>
      <xdr:rowOff>171279</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1315700"/>
          <a:ext cx="10866667" cy="1371429"/>
        </a:xfrm>
        <a:prstGeom prst="rect">
          <a:avLst/>
        </a:prstGeom>
      </xdr:spPr>
    </xdr:pic>
    <xdr:clientData/>
  </xdr:twoCellAnchor>
  <xdr:twoCellAnchor editAs="oneCell">
    <xdr:from>
      <xdr:col>0</xdr:col>
      <xdr:colOff>0</xdr:colOff>
      <xdr:row>74</xdr:row>
      <xdr:rowOff>0</xdr:rowOff>
    </xdr:from>
    <xdr:to>
      <xdr:col>15</xdr:col>
      <xdr:colOff>636810</xdr:colOff>
      <xdr:row>83</xdr:row>
      <xdr:rowOff>66474</xdr:rowOff>
    </xdr:to>
    <xdr:pic>
      <xdr:nvPicPr>
        <xdr:cNvPr id="8" name="图片 7"/>
        <xdr:cNvPicPr>
          <a:picLocks noChangeAspect="1"/>
        </xdr:cNvPicPr>
      </xdr:nvPicPr>
      <xdr:blipFill>
        <a:blip xmlns:r="http://schemas.openxmlformats.org/officeDocument/2006/relationships" r:embed="rId6"/>
        <a:stretch>
          <a:fillRect/>
        </a:stretch>
      </xdr:blipFill>
      <xdr:spPr>
        <a:xfrm>
          <a:off x="0" y="12687300"/>
          <a:ext cx="10923810" cy="1609524"/>
        </a:xfrm>
        <a:prstGeom prst="rect">
          <a:avLst/>
        </a:prstGeom>
      </xdr:spPr>
    </xdr:pic>
    <xdr:clientData/>
  </xdr:twoCellAnchor>
  <xdr:twoCellAnchor editAs="oneCell">
    <xdr:from>
      <xdr:col>0</xdr:col>
      <xdr:colOff>0</xdr:colOff>
      <xdr:row>84</xdr:row>
      <xdr:rowOff>0</xdr:rowOff>
    </xdr:from>
    <xdr:to>
      <xdr:col>15</xdr:col>
      <xdr:colOff>636810</xdr:colOff>
      <xdr:row>91</xdr:row>
      <xdr:rowOff>95088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4401800"/>
          <a:ext cx="10923810" cy="1295238"/>
        </a:xfrm>
        <a:prstGeom prst="rect">
          <a:avLst/>
        </a:prstGeom>
      </xdr:spPr>
    </xdr:pic>
    <xdr:clientData/>
  </xdr:twoCellAnchor>
  <xdr:twoCellAnchor editAs="oneCell">
    <xdr:from>
      <xdr:col>0</xdr:col>
      <xdr:colOff>0</xdr:colOff>
      <xdr:row>92</xdr:row>
      <xdr:rowOff>0</xdr:rowOff>
    </xdr:from>
    <xdr:to>
      <xdr:col>15</xdr:col>
      <xdr:colOff>684429</xdr:colOff>
      <xdr:row>101</xdr:row>
      <xdr:rowOff>114093</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15773400"/>
          <a:ext cx="10971429" cy="1657143"/>
        </a:xfrm>
        <a:prstGeom prst="rect">
          <a:avLst/>
        </a:prstGeom>
      </xdr:spPr>
    </xdr:pic>
    <xdr:clientData/>
  </xdr:twoCellAnchor>
  <xdr:twoCellAnchor editAs="oneCell">
    <xdr:from>
      <xdr:col>0</xdr:col>
      <xdr:colOff>0</xdr:colOff>
      <xdr:row>102</xdr:row>
      <xdr:rowOff>0</xdr:rowOff>
    </xdr:from>
    <xdr:to>
      <xdr:col>16</xdr:col>
      <xdr:colOff>27201</xdr:colOff>
      <xdr:row>111</xdr:row>
      <xdr:rowOff>85522</xdr:rowOff>
    </xdr:to>
    <xdr:pic>
      <xdr:nvPicPr>
        <xdr:cNvPr id="11" name="图片 10"/>
        <xdr:cNvPicPr>
          <a:picLocks noChangeAspect="1"/>
        </xdr:cNvPicPr>
      </xdr:nvPicPr>
      <xdr:blipFill>
        <a:blip xmlns:r="http://schemas.openxmlformats.org/officeDocument/2006/relationships" r:embed="rId9"/>
        <a:stretch>
          <a:fillRect/>
        </a:stretch>
      </xdr:blipFill>
      <xdr:spPr>
        <a:xfrm>
          <a:off x="0" y="17487900"/>
          <a:ext cx="11000001" cy="1628572"/>
        </a:xfrm>
        <a:prstGeom prst="rect">
          <a:avLst/>
        </a:prstGeom>
      </xdr:spPr>
    </xdr:pic>
    <xdr:clientData/>
  </xdr:twoCellAnchor>
  <xdr:twoCellAnchor editAs="oneCell">
    <xdr:from>
      <xdr:col>0</xdr:col>
      <xdr:colOff>0</xdr:colOff>
      <xdr:row>112</xdr:row>
      <xdr:rowOff>0</xdr:rowOff>
    </xdr:from>
    <xdr:to>
      <xdr:col>15</xdr:col>
      <xdr:colOff>608239</xdr:colOff>
      <xdr:row>126</xdr:row>
      <xdr:rowOff>142557</xdr:rowOff>
    </xdr:to>
    <xdr:pic>
      <xdr:nvPicPr>
        <xdr:cNvPr id="12" name="图片 11"/>
        <xdr:cNvPicPr>
          <a:picLocks noChangeAspect="1"/>
        </xdr:cNvPicPr>
      </xdr:nvPicPr>
      <xdr:blipFill>
        <a:blip xmlns:r="http://schemas.openxmlformats.org/officeDocument/2006/relationships" r:embed="rId10"/>
        <a:stretch>
          <a:fillRect/>
        </a:stretch>
      </xdr:blipFill>
      <xdr:spPr>
        <a:xfrm>
          <a:off x="0" y="19202400"/>
          <a:ext cx="10895239" cy="2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389106</xdr:colOff>
      <xdr:row>32</xdr:row>
      <xdr:rowOff>18362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361906" cy="55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484943</xdr:colOff>
      <xdr:row>28</xdr:row>
      <xdr:rowOff>37496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657143" cy="4838096"/>
        </a:xfrm>
        <a:prstGeom prst="rect">
          <a:avLst/>
        </a:prstGeom>
      </xdr:spPr>
    </xdr:pic>
    <xdr:clientData/>
  </xdr:twoCellAnchor>
  <xdr:twoCellAnchor editAs="oneCell">
    <xdr:from>
      <xdr:col>0</xdr:col>
      <xdr:colOff>0</xdr:colOff>
      <xdr:row>29</xdr:row>
      <xdr:rowOff>0</xdr:rowOff>
    </xdr:from>
    <xdr:to>
      <xdr:col>10</xdr:col>
      <xdr:colOff>265810</xdr:colOff>
      <xdr:row>60</xdr:row>
      <xdr:rowOff>18384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972050"/>
          <a:ext cx="7123810" cy="5333334"/>
        </a:xfrm>
        <a:prstGeom prst="rect">
          <a:avLst/>
        </a:prstGeom>
      </xdr:spPr>
    </xdr:pic>
    <xdr:clientData/>
  </xdr:twoCellAnchor>
  <xdr:twoCellAnchor editAs="oneCell">
    <xdr:from>
      <xdr:col>0</xdr:col>
      <xdr:colOff>0</xdr:colOff>
      <xdr:row>60</xdr:row>
      <xdr:rowOff>0</xdr:rowOff>
    </xdr:from>
    <xdr:to>
      <xdr:col>10</xdr:col>
      <xdr:colOff>122953</xdr:colOff>
      <xdr:row>77</xdr:row>
      <xdr:rowOff>113922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287000"/>
          <a:ext cx="6980953" cy="30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6.bin"/><Relationship Id="rId1" Type="http://schemas.openxmlformats.org/officeDocument/2006/relationships/hyperlink" Target="https://j.map.baidu.com/cb/FRCi"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北京市延庆区世园村中路1号院1-4号楼共41套住宅用房房地产抵押价值预评估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受贵公司委托，我公司对北京市延庆区世园村中路1号院1-4号楼共41套住宅用房房地产抵押价值进行了预评估。</v>
      </c>
    </row>
    <row r="7" spans="1:2" s="1201" customFormat="1">
      <c r="A7" s="1199" t="s">
        <v>566</v>
      </c>
      <c r="B7" s="1200" t="str">
        <f>'预评函-1'!A7</f>
        <v>估价对象为北京市延庆区世园村中路1号院1-4号楼共41套住宅用房房地产，为所有。根据《国有土地使用证》[]，估价对象（分摊）出让国有建设用地使用权面积为0平方米，建筑面积为3643.61平方米。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延庆区世园村中路1号院1-4号楼共41套住宅用房房地产,属开发建设的居住项目，该项目尚在开发建设中。根据《国有土地使用证》[]，估价对象（分摊）出让国有建设用地使用权面积为0平方米，规划建筑面积为3643.61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延庆区世园村中路1号院1-4号楼共41套住宅用房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2024年10月16日（评估专业人员实地查勘之日）</v>
      </c>
    </row>
    <row r="13" spans="1:2" s="1201" customFormat="1">
      <c r="A13" s="1199" t="s">
        <v>529</v>
      </c>
      <c r="B13" s="1200" t="str">
        <f>'预评函-1'!A18</f>
        <v>本次估价的“房地产价值”是指在正常市场情况下，在价值时点2024年10月16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#REF!</v>
      </c>
    </row>
    <row r="21" spans="1:2" s="1201" customFormat="1">
      <c r="A21" s="1199" t="s">
        <v>537</v>
      </c>
      <c r="B21" s="1200" t="e">
        <f ca="1">'预评函-2'!D7</f>
        <v>#REF!</v>
      </c>
    </row>
    <row r="22" spans="1:2" s="1201" customFormat="1">
      <c r="A22" s="1199" t="s">
        <v>538</v>
      </c>
      <c r="B22" s="1200" t="e">
        <f ca="1">'预评函-2'!D6</f>
        <v>#REF!</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#REF!</v>
      </c>
    </row>
    <row r="31" spans="1:2" s="1201" customFormat="1">
      <c r="A31" s="1199" t="s">
        <v>576</v>
      </c>
      <c r="B31" s="1200" t="e">
        <f ca="1">'预评函-2'!D15</f>
        <v>#REF!</v>
      </c>
    </row>
    <row r="32" spans="1:2" s="1201" customFormat="1">
      <c r="A32" s="1199" t="s">
        <v>543</v>
      </c>
      <c r="B32" s="1200" t="e">
        <f ca="1">'预评函-2'!D14</f>
        <v>#REF!</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北京市延庆区世园村中路1号院1-4号楼共41套住宅用房房地产</v>
      </c>
    </row>
    <row r="42" spans="1:2" s="1201" customFormat="1">
      <c r="A42" s="1199" t="s">
        <v>590</v>
      </c>
      <c r="B42" s="1200" t="str">
        <f>'预评函-3'!B2</f>
        <v>建筑面积</v>
      </c>
    </row>
    <row r="43" spans="1:2" s="1201" customFormat="1">
      <c r="A43" s="1199" t="s">
        <v>591</v>
      </c>
      <c r="B43" s="1200">
        <f>'预评函-3'!B4</f>
        <v>3643.6099999999992</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#REF!</v>
      </c>
    </row>
    <row r="48" spans="1:2" s="1201" customFormat="1">
      <c r="A48" s="1199" t="s">
        <v>549</v>
      </c>
      <c r="B48" s="1200" t="e">
        <f ca="1">'预评函-3'!E4</f>
        <v>#REF!</v>
      </c>
    </row>
    <row r="49" spans="1:2" s="1201" customFormat="1">
      <c r="A49" s="1199" t="s">
        <v>550</v>
      </c>
      <c r="B49" s="1200" t="e">
        <f ca="1">'预评函-3'!D5</f>
        <v>#REF!</v>
      </c>
    </row>
    <row r="50" spans="1:2" s="1201" customFormat="1">
      <c r="A50" s="1199" t="s">
        <v>574</v>
      </c>
      <c r="B50" s="1200" t="str">
        <f>'预评函-3'!F2</f>
        <v>在建建筑物价值</v>
      </c>
    </row>
    <row r="51" spans="1:2" s="1201" customFormat="1">
      <c r="A51" s="1199" t="s">
        <v>551</v>
      </c>
      <c r="B51" s="1200" t="e">
        <f ca="1">'预评函-3'!F4</f>
        <v>#REF!</v>
      </c>
    </row>
    <row r="52" spans="1:2" s="1201" customFormat="1">
      <c r="A52" s="1199" t="s">
        <v>552</v>
      </c>
      <c r="B52" s="1200" t="e">
        <f ca="1">'预评函-3'!G4</f>
        <v>#REF!</v>
      </c>
    </row>
    <row r="53" spans="1:2" s="1201" customFormat="1">
      <c r="A53" s="1199" t="s">
        <v>580</v>
      </c>
      <c r="B53" s="1200" t="e">
        <f ca="1">'预评函-3'!F5</f>
        <v>#REF!</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75" t="str">
        <f>项目基本情况!B1</f>
        <v>北京市延庆区世园村中路1号院1-4号楼共41套住宅用房房地产抵押价值预评估</v>
      </c>
      <c r="C37" s="3475"/>
      <c r="D37" s="3475"/>
      <c r="E37" s="3475"/>
      <c r="F37" s="3475"/>
      <c r="G37" s="3475"/>
      <c r="H37" s="3475"/>
      <c r="I37" s="3475"/>
    </row>
    <row r="38" spans="1:9">
      <c r="A38" s="843"/>
      <c r="B38" s="843"/>
    </row>
    <row r="39" spans="1:9">
      <c r="A39" s="841" t="s">
        <v>371</v>
      </c>
      <c r="B39" s="841" t="s">
        <v>373</v>
      </c>
    </row>
    <row r="40" spans="1:9">
      <c r="A40" s="841"/>
      <c r="B40" s="1472">
        <f>项目基本情况!B5</f>
        <v>0</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ht="12.75">
      <c r="B46" s="1472" t="str">
        <f>项目基本情况!K4</f>
        <v>（注册号：0)、（注册号：0)</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受贵公司委托，我公司对北京市延庆区世园村中路1号院1-4号楼共41套住宅用房房地产抵押价值进行了预评估。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估价对象为北京市延庆区世园村中路1号院1-4号楼共41套住宅用房房地产，为所有。根据《国有土地使用证》[]，估价对象（分摊）出让国有建设用地使用权面积为0平方米，建筑面积为3643.61平方米。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区世园村中路1号院1-4号楼共41套住宅用房房地产,属开发建设的居住项目，该项目尚在开发建设中。根据《国有土地使用证》[]，估价对象（分摊）出让国有建设用地使用权面积为0平方米，规划建筑面积为3643.61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延庆区世园村中路1号院1-4号楼共41套住宅用房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2024年10月16日（评估专业人员实地查勘之日）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16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491"/>
      <c r="B4" s="3479" t="s">
        <v>917</v>
      </c>
      <c r="C4" s="3479"/>
      <c r="D4" s="3479"/>
      <c r="E4" s="1491"/>
    </row>
    <row r="5" spans="1:5" ht="16.5" thickTop="1">
      <c r="A5" s="1489"/>
      <c r="B5" s="3477" t="s">
        <v>909</v>
      </c>
      <c r="C5" s="1492" t="s">
        <v>910</v>
      </c>
      <c r="D5" s="849" t="e">
        <f ca="1">结果表!H101</f>
        <v>#REF!</v>
      </c>
      <c r="E5" s="1489"/>
    </row>
    <row r="6" spans="1:5" ht="15.75">
      <c r="A6" s="1489"/>
      <c r="B6" s="3477"/>
      <c r="C6" s="1492" t="s">
        <v>911</v>
      </c>
      <c r="D6" s="849" t="e">
        <f ca="1">NUMBERSTRING(INT(D5*10000),2)&amp;"元整"</f>
        <v>#REF!</v>
      </c>
      <c r="E6" s="1489"/>
    </row>
    <row r="7" spans="1:5" ht="15.75">
      <c r="A7" s="1489"/>
      <c r="B7" s="3482"/>
      <c r="C7" s="1493" t="s">
        <v>912</v>
      </c>
      <c r="D7" s="850" t="e">
        <f ca="1">结果表!H102</f>
        <v>#REF!</v>
      </c>
      <c r="E7" s="1489"/>
    </row>
    <row r="8" spans="1:5" ht="15.75">
      <c r="A8" s="1489"/>
      <c r="B8" s="3483" t="str">
        <f>结果表!E103</f>
        <v>2.估价师知悉的法定优先受偿款</v>
      </c>
      <c r="C8" s="1494" t="s">
        <v>913</v>
      </c>
      <c r="D8" s="850">
        <f>结果表!H103</f>
        <v>0</v>
      </c>
      <c r="E8" s="1489"/>
    </row>
    <row r="9" spans="1:5" ht="15.75">
      <c r="A9" s="1489"/>
      <c r="B9" s="3485"/>
      <c r="C9" s="1492" t="s">
        <v>911</v>
      </c>
      <c r="D9" s="849" t="str">
        <f>NUMBERSTRING(INT(D8*10000),2)&amp;"元整"</f>
        <v>零元整</v>
      </c>
      <c r="E9" s="1489"/>
    </row>
    <row r="10" spans="1:5" ht="15">
      <c r="A10" s="1489"/>
      <c r="B10" s="1495" t="s">
        <v>916</v>
      </c>
      <c r="C10" s="1496" t="s">
        <v>914</v>
      </c>
      <c r="D10" s="851">
        <f>结果表!H104</f>
        <v>0</v>
      </c>
      <c r="E10" s="1489"/>
    </row>
    <row r="11" spans="1:5" ht="15">
      <c r="A11" s="1489"/>
      <c r="B11" s="1495" t="s">
        <v>918</v>
      </c>
      <c r="C11" s="1496" t="s">
        <v>919</v>
      </c>
      <c r="D11" s="851">
        <f>结果表!H105</f>
        <v>0</v>
      </c>
      <c r="E11" s="1489"/>
    </row>
    <row r="12" spans="1:5" ht="15">
      <c r="A12" s="1489"/>
      <c r="B12" s="1495" t="s">
        <v>920</v>
      </c>
      <c r="C12" s="1496" t="s">
        <v>919</v>
      </c>
      <c r="D12" s="851">
        <f>结果表!H106</f>
        <v>0</v>
      </c>
      <c r="E12" s="1489"/>
    </row>
    <row r="13" spans="1:5" ht="15.75">
      <c r="A13" s="1489"/>
      <c r="B13" s="3476" t="str">
        <f>结果表!E107</f>
        <v>3.房地产抵押价值</v>
      </c>
      <c r="C13" s="1497" t="s">
        <v>910</v>
      </c>
      <c r="D13" s="852" t="e">
        <f ca="1">结果表!H107</f>
        <v>#REF!</v>
      </c>
      <c r="E13" s="1489"/>
    </row>
    <row r="14" spans="1:5" ht="15.75">
      <c r="A14" s="1489"/>
      <c r="B14" s="3477"/>
      <c r="C14" s="1492" t="s">
        <v>911</v>
      </c>
      <c r="D14" s="849" t="e">
        <f ca="1">NUMBERSTRING(INT(D13*10000),2)&amp;"元整"</f>
        <v>#REF!</v>
      </c>
      <c r="E14" s="1489"/>
    </row>
    <row r="15" spans="1:5" ht="15">
      <c r="A15" s="1489"/>
      <c r="B15" s="3482"/>
      <c r="C15" s="1493" t="s">
        <v>921</v>
      </c>
      <c r="D15" s="858" t="e">
        <f ca="1">结果表!H108</f>
        <v>#REF!</v>
      </c>
      <c r="E15" s="1489"/>
    </row>
    <row r="16" spans="1:5" ht="15">
      <c r="A16" s="1489"/>
      <c r="B16" s="3483" t="str">
        <f>结果表!E109</f>
        <v>——</v>
      </c>
      <c r="C16" s="1497" t="s">
        <v>922</v>
      </c>
      <c r="D16" s="1498" t="str">
        <f>结果表!H109</f>
        <v>——</v>
      </c>
      <c r="E16" s="1489"/>
    </row>
    <row r="17" spans="1:5" ht="15.75">
      <c r="A17" s="1489"/>
      <c r="B17" s="3484"/>
      <c r="C17" s="1492" t="s">
        <v>923</v>
      </c>
      <c r="D17" s="849" t="e">
        <f>NUMBERSTRING(INT(D16*10000),2)&amp;"元整"</f>
        <v>#VALUE!</v>
      </c>
      <c r="E17" s="1489"/>
    </row>
    <row r="18" spans="1:5" ht="15">
      <c r="A18" s="1489"/>
      <c r="B18" s="3485"/>
      <c r="C18" s="1493" t="s">
        <v>912</v>
      </c>
      <c r="D18" s="858" t="str">
        <f>结果表!H110</f>
        <v>——</v>
      </c>
      <c r="E18" s="1489"/>
    </row>
    <row r="19" spans="1:5" ht="15.75">
      <c r="A19" s="1489"/>
      <c r="B19" s="3476" t="str">
        <f>结果表!E111</f>
        <v>——</v>
      </c>
      <c r="C19" s="1497" t="s">
        <v>910</v>
      </c>
      <c r="D19" s="850" t="str">
        <f>结果表!H111</f>
        <v>——</v>
      </c>
      <c r="E19" s="1489"/>
    </row>
    <row r="20" spans="1:5" ht="15.75">
      <c r="A20" s="1489"/>
      <c r="B20" s="3477"/>
      <c r="C20" s="1492" t="s">
        <v>923</v>
      </c>
      <c r="D20" s="849" t="e">
        <f>NUMBERSTRING(INT(D19*10000),2)&amp;"元整"</f>
        <v>#VALUE!</v>
      </c>
      <c r="E20" s="1489"/>
    </row>
    <row r="21" spans="1:5" ht="15.75" thickBot="1">
      <c r="A21" s="1489"/>
      <c r="B21" s="3478"/>
      <c r="C21" s="1499" t="s">
        <v>921</v>
      </c>
      <c r="D21" s="859"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93" t="str">
        <f>IF(项目基本情况!B9="房地产市场价值","估价结果一览表","结果表-2")</f>
        <v>结果表-2</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spans="1:9" ht="15">
      <c r="A3" s="3489"/>
      <c r="B3" s="3489"/>
      <c r="C3" s="3489"/>
      <c r="D3" s="853" t="s">
        <v>925</v>
      </c>
      <c r="E3" s="853" t="s">
        <v>931</v>
      </c>
      <c r="F3" s="853" t="s">
        <v>925</v>
      </c>
      <c r="G3" s="853" t="s">
        <v>926</v>
      </c>
      <c r="H3" s="853" t="s">
        <v>925</v>
      </c>
      <c r="I3" s="853" t="s">
        <v>926</v>
      </c>
    </row>
    <row r="4" spans="1:9" ht="45">
      <c r="A4" s="1503" t="str">
        <f>项目基本情况!S2</f>
        <v>北京市延庆区世园村中路1号院1-4号楼共41套住宅用房房地产</v>
      </c>
      <c r="B4" s="853">
        <f>项目基本情况!C17</f>
        <v>3643.6099999999992</v>
      </c>
      <c r="C4" s="853">
        <f>项目基本情况!C18</f>
        <v>0</v>
      </c>
      <c r="D4" s="853" t="e">
        <f ca="1">结果表!D118</f>
        <v>#REF!</v>
      </c>
      <c r="E4" s="853" t="e">
        <f ca="1">结果表!E118</f>
        <v>#REF!</v>
      </c>
      <c r="F4" s="853" t="e">
        <f ca="1">结果表!F118</f>
        <v>#REF!</v>
      </c>
      <c r="G4" s="853" t="e">
        <f ca="1">结果表!G118</f>
        <v>#REF!</v>
      </c>
      <c r="H4" s="853" t="e">
        <f ca="1">结果表!H118</f>
        <v>#REF!</v>
      </c>
      <c r="I4" s="853" t="e">
        <f ca="1">结果表!I118</f>
        <v>#REF!</v>
      </c>
    </row>
    <row r="5" spans="1:9" ht="30" customHeight="1">
      <c r="A5" s="3489" t="s">
        <v>927</v>
      </c>
      <c r="B5" s="3489"/>
      <c r="C5" s="3489"/>
      <c r="D5" s="3489" t="e">
        <f ca="1">结果表!D119</f>
        <v>#REF!</v>
      </c>
      <c r="E5" s="3489"/>
      <c r="F5" s="3489" t="e">
        <f ca="1">结果表!F119</f>
        <v>#REF!</v>
      </c>
      <c r="G5" s="3489"/>
      <c r="H5" s="3489" t="e">
        <f ca="1">结果表!H119</f>
        <v>#REF!</v>
      </c>
      <c r="I5" s="3489"/>
    </row>
    <row r="6" spans="1:9" ht="15.75">
      <c r="A6" s="3488" t="str">
        <f>结果表!A120</f>
        <v>估价师知悉的法定优先受偿款</v>
      </c>
      <c r="B6" s="3488"/>
      <c r="C6" s="3488"/>
      <c r="D6" s="3488">
        <f>结果表!D120</f>
        <v>0</v>
      </c>
      <c r="E6" s="3488"/>
      <c r="F6" s="3488"/>
      <c r="G6" s="3488"/>
      <c r="H6" s="3488"/>
      <c r="I6" s="3488"/>
    </row>
    <row r="7" spans="1:9" ht="15">
      <c r="A7" s="3489" t="s">
        <v>927</v>
      </c>
      <c r="B7" s="3489"/>
      <c r="C7" s="3489"/>
      <c r="D7" s="3490" t="str">
        <f>结果表!D121</f>
        <v>零元整</v>
      </c>
      <c r="E7" s="3491"/>
      <c r="F7" s="3491"/>
      <c r="G7" s="3491"/>
      <c r="H7" s="3491"/>
      <c r="I7" s="3492"/>
    </row>
    <row r="8" spans="1:9" ht="15.75">
      <c r="A8" s="3488" t="str">
        <f>结果表!A122</f>
        <v>房地产抵押价值</v>
      </c>
      <c r="B8" s="3488"/>
      <c r="C8" s="3488"/>
      <c r="D8" s="3488" t="e">
        <f ca="1">结果表!D122</f>
        <v>#REF!</v>
      </c>
      <c r="E8" s="3488"/>
      <c r="F8" s="3488"/>
      <c r="G8" s="3488"/>
      <c r="H8" s="3488"/>
      <c r="I8" s="3488"/>
    </row>
    <row r="9" spans="1:9" ht="15">
      <c r="A9" s="3489" t="s">
        <v>927</v>
      </c>
      <c r="B9" s="3489"/>
      <c r="C9" s="3489"/>
      <c r="D9" s="3489" t="e">
        <f ca="1">结果表!D123</f>
        <v>#REF!</v>
      </c>
      <c r="E9" s="3489"/>
      <c r="F9" s="3489"/>
      <c r="G9" s="3489"/>
      <c r="H9" s="3489"/>
      <c r="I9" s="3489"/>
    </row>
    <row r="10" spans="1:9" ht="15.75">
      <c r="A10" s="3488" t="str">
        <f>结果表!A124</f>
        <v/>
      </c>
      <c r="B10" s="3488"/>
      <c r="C10" s="3488"/>
      <c r="D10" s="3488" t="str">
        <f>结果表!D124</f>
        <v>——</v>
      </c>
      <c r="E10" s="3488"/>
      <c r="F10" s="3488"/>
      <c r="G10" s="3488"/>
      <c r="H10" s="3488"/>
      <c r="I10" s="3488"/>
    </row>
    <row r="11" spans="1:9" ht="15">
      <c r="A11" s="3489" t="s">
        <v>927</v>
      </c>
      <c r="B11" s="3489"/>
      <c r="C11" s="3489"/>
      <c r="D11" s="3489" t="e">
        <f>结果表!D125</f>
        <v>#VALUE!</v>
      </c>
      <c r="E11" s="3489"/>
      <c r="F11" s="3489"/>
      <c r="G11" s="3489"/>
      <c r="H11" s="3489"/>
      <c r="I11" s="3489"/>
    </row>
    <row r="12" spans="1:9" ht="15.75">
      <c r="A12" s="3488" t="str">
        <f>结果表!A126</f>
        <v/>
      </c>
      <c r="B12" s="3488"/>
      <c r="C12" s="3488"/>
      <c r="D12" s="3488" t="str">
        <f>结果表!D126</f>
        <v>——</v>
      </c>
      <c r="E12" s="3488"/>
      <c r="F12" s="3488"/>
      <c r="G12" s="3488"/>
      <c r="H12" s="3488"/>
      <c r="I12" s="3488"/>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01" t="s">
        <v>949</v>
      </c>
      <c r="B1" s="3501"/>
      <c r="C1" s="3501"/>
      <c r="D1" s="3501"/>
    </row>
    <row r="2" spans="1:4" ht="18">
      <c r="A2" s="3502" t="s">
        <v>933</v>
      </c>
      <c r="B2" s="3502"/>
      <c r="C2" s="3502"/>
      <c r="D2" s="350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02" t="s">
        <v>939</v>
      </c>
      <c r="B6" s="3502"/>
      <c r="C6" s="3502"/>
      <c r="D6" s="3502"/>
    </row>
    <row r="7" spans="1:4" ht="18.75">
      <c r="A7" s="1507" t="s">
        <v>934</v>
      </c>
      <c r="B7" s="1509" t="s">
        <v>940</v>
      </c>
      <c r="C7" s="1507" t="s">
        <v>936</v>
      </c>
      <c r="D7" s="1507" t="s">
        <v>937</v>
      </c>
    </row>
    <row r="8" spans="1:4" ht="56.25" customHeight="1">
      <c r="A8" s="1513" t="s">
        <v>390</v>
      </c>
      <c r="B8" s="1513" t="s">
        <v>0</v>
      </c>
      <c r="C8" s="1510"/>
      <c r="D8" s="1511" t="s">
        <v>938</v>
      </c>
    </row>
    <row r="9" spans="1:4">
      <c r="A9" s="674"/>
      <c r="B9" s="674"/>
      <c r="C9" s="674"/>
      <c r="D9" s="674"/>
    </row>
    <row r="10" spans="1:4" ht="18.75">
      <c r="A10" s="1514" t="s">
        <v>941</v>
      </c>
      <c r="B10" s="674"/>
      <c r="C10" s="674"/>
      <c r="D10" s="674"/>
    </row>
    <row r="11" spans="1:4" ht="30" customHeight="1">
      <c r="A11" s="3503" t="s">
        <v>942</v>
      </c>
      <c r="B11" s="3495"/>
      <c r="C11" s="3495"/>
      <c r="D11" s="3495"/>
    </row>
    <row r="12" spans="1:4" ht="15.75">
      <c r="A12" s="349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5" t="str">
        <f>IF(项目基本情况!B8="抵押","4.本次评估估价师所知悉的法定优先受偿款情况说明如下：","——")</f>
        <v>4.本次评估估价师所知悉的法定优先受偿款情况说明如下：</v>
      </c>
      <c r="B14" s="3500"/>
      <c r="C14" s="3500"/>
      <c r="D14" s="3500"/>
    </row>
    <row r="15" spans="1:4" ht="42" customHeight="1">
      <c r="A15" s="349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5"/>
      <c r="C15" s="3495"/>
      <c r="D15" s="3495"/>
    </row>
    <row r="16" spans="1:4" ht="30" customHeight="1">
      <c r="A16" s="3497" t="s">
        <v>943</v>
      </c>
      <c r="B16" s="3497"/>
      <c r="C16" s="3497"/>
      <c r="D16" s="3497"/>
    </row>
    <row r="17" spans="1:4" ht="144" customHeight="1">
      <c r="A17" s="3497" t="s">
        <v>944</v>
      </c>
      <c r="B17" s="3497"/>
      <c r="C17" s="3497"/>
      <c r="D17" s="3497"/>
    </row>
    <row r="18" spans="1:4" ht="15.75" customHeight="1">
      <c r="A18" s="3495" t="str">
        <f>IF(项目基本情况!B8="抵押",结果表!K120,"——")</f>
        <v>故，本次评估不存在估价师知悉的法定优先受偿款</v>
      </c>
      <c r="B18" s="3495"/>
      <c r="C18" s="3495"/>
      <c r="D18" s="3495"/>
    </row>
    <row r="19" spans="1:4" ht="46.5" customHeight="1">
      <c r="A19" s="349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5"/>
      <c r="C19" s="3495"/>
      <c r="D19" s="3495"/>
    </row>
    <row r="20" spans="1:4" ht="57.75" customHeight="1">
      <c r="A20" s="349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5"/>
      <c r="C20" s="3495"/>
      <c r="D20" s="3495"/>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8"/>
      <c r="C21" s="3498"/>
      <c r="D21" s="3498"/>
    </row>
    <row r="22" spans="1:4" ht="18.75" customHeight="1">
      <c r="A22" s="3499" t="s">
        <v>945</v>
      </c>
      <c r="B22" s="3499"/>
      <c r="C22" s="3499"/>
      <c r="D22" s="349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09" t="s">
        <v>956</v>
      </c>
      <c r="B15" s="3504" t="s">
        <v>109</v>
      </c>
      <c r="C15" s="3505"/>
    </row>
    <row r="16" spans="1:7" ht="13.5">
      <c r="A16" s="3510"/>
      <c r="B16" s="3504" t="s">
        <v>42</v>
      </c>
      <c r="C16" s="3505"/>
    </row>
    <row r="17" spans="1:3" ht="13.5">
      <c r="A17" s="3510"/>
      <c r="B17" s="3507" t="s">
        <v>957</v>
      </c>
      <c r="C17" s="1530" t="s">
        <v>956</v>
      </c>
    </row>
    <row r="18" spans="1:3" ht="13.5">
      <c r="A18" s="3510"/>
      <c r="B18" s="3507"/>
      <c r="C18" s="1530" t="s">
        <v>958</v>
      </c>
    </row>
    <row r="19" spans="1:3" ht="13.5">
      <c r="A19" s="3510"/>
      <c r="B19" s="3507"/>
      <c r="C19" s="1530" t="s">
        <v>959</v>
      </c>
    </row>
    <row r="20" spans="1:3" ht="13.5">
      <c r="A20" s="3511"/>
      <c r="B20" s="3506" t="s">
        <v>960</v>
      </c>
      <c r="C20" s="3505"/>
    </row>
    <row r="21" spans="1:3" ht="13.5">
      <c r="A21" s="1531" t="s">
        <v>961</v>
      </c>
      <c r="B21" s="1532"/>
      <c r="C21" s="1533"/>
    </row>
    <row r="22" spans="1:3" ht="13.5">
      <c r="A22" s="3508" t="s">
        <v>962</v>
      </c>
      <c r="B22" s="3506" t="s">
        <v>963</v>
      </c>
      <c r="C22" s="3505"/>
    </row>
    <row r="23" spans="1:3" ht="13.5">
      <c r="A23" s="3508"/>
      <c r="B23" s="3506" t="s">
        <v>964</v>
      </c>
      <c r="C23" s="3505"/>
    </row>
    <row r="24" spans="1:3" ht="13.5">
      <c r="A24" s="3508"/>
      <c r="B24" s="3506" t="s">
        <v>965</v>
      </c>
      <c r="C24" s="3505"/>
    </row>
    <row r="25" spans="1:3" ht="13.5">
      <c r="A25" s="3508"/>
      <c r="B25" s="3507" t="s">
        <v>966</v>
      </c>
      <c r="C25" s="1530" t="s">
        <v>967</v>
      </c>
    </row>
    <row r="26" spans="1:3" ht="13.5">
      <c r="A26" s="3508"/>
      <c r="B26" s="3507"/>
      <c r="C26" s="1530" t="s">
        <v>968</v>
      </c>
    </row>
    <row r="27" spans="1:3" ht="13.5">
      <c r="A27" s="3508"/>
      <c r="B27" s="3507"/>
      <c r="C27" s="1530" t="s">
        <v>969</v>
      </c>
    </row>
    <row r="28" spans="1:3" ht="13.5">
      <c r="A28" s="3508"/>
      <c r="B28" s="3507"/>
      <c r="C28" s="1530" t="s">
        <v>970</v>
      </c>
    </row>
    <row r="29" spans="1:3" ht="13.5">
      <c r="A29" s="3508"/>
      <c r="B29" s="3507"/>
      <c r="C29" s="1530" t="s">
        <v>971</v>
      </c>
    </row>
    <row r="30" spans="1:3" ht="13.5">
      <c r="A30" s="3508"/>
      <c r="B30" s="3507"/>
      <c r="C30" s="1530" t="s">
        <v>972</v>
      </c>
    </row>
    <row r="31" spans="1:3" ht="13.5">
      <c r="A31" s="3508"/>
      <c r="B31" s="3507"/>
      <c r="C31" s="1530" t="s">
        <v>973</v>
      </c>
    </row>
    <row r="32" spans="1:3" ht="13.5">
      <c r="A32" s="3508"/>
      <c r="B32" s="3507"/>
      <c r="C32" s="1530" t="s">
        <v>974</v>
      </c>
    </row>
    <row r="33" spans="1:3" ht="13.5">
      <c r="A33" s="3508"/>
      <c r="B33" s="350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45582</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2438</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12" t="s">
        <v>2159</v>
      </c>
      <c r="B17" s="3512"/>
      <c r="C17" s="3512"/>
      <c r="D17" s="3512"/>
      <c r="E17" s="3512"/>
      <c r="F17" s="3512"/>
      <c r="G17" s="3512"/>
      <c r="H17" s="3512"/>
    </row>
    <row r="18" spans="1:8" ht="24" customHeight="1">
      <c r="A18" s="3513" t="s">
        <v>2160</v>
      </c>
      <c r="B18" s="3513"/>
      <c r="C18" s="3513"/>
      <c r="D18" s="2341"/>
      <c r="E18" s="3514" t="s">
        <v>2161</v>
      </c>
      <c r="F18" s="3513"/>
      <c r="G18" s="3513"/>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2439</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2578</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2579</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2434</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区世园村中路1号院1-4号楼共41套住宅用房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1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5"/>
      <c r="B54" s="1552" t="s">
        <v>385</v>
      </c>
      <c r="C54" s="1549" t="s">
        <v>583</v>
      </c>
    </row>
    <row r="55" spans="1:4">
      <c r="A55" s="3515"/>
      <c r="B55" s="1552" t="s">
        <v>386</v>
      </c>
      <c r="C55" s="1549" t="s">
        <v>584</v>
      </c>
    </row>
    <row r="56" spans="1:4">
      <c r="A56" s="3515"/>
      <c r="B56" s="1552" t="s">
        <v>387</v>
      </c>
      <c r="C56" s="1549" t="s">
        <v>588</v>
      </c>
    </row>
    <row r="57" spans="1:4">
      <c r="A57" s="351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2501</v>
      </c>
      <c r="B1" s="3012"/>
      <c r="C1" s="3012"/>
      <c r="D1" s="3012"/>
      <c r="E1" s="3012"/>
      <c r="F1" s="3013"/>
      <c r="I1" s="3435" t="s">
        <v>2594</v>
      </c>
      <c r="J1" s="3224"/>
      <c r="K1" s="3224"/>
      <c r="L1" s="3224"/>
      <c r="M1" s="3224"/>
      <c r="N1" s="3436"/>
      <c r="O1" s="3436"/>
      <c r="P1" s="3436"/>
      <c r="Q1" s="3436"/>
      <c r="R1" s="3436"/>
    </row>
    <row r="2" spans="1:18">
      <c r="A2" s="3015"/>
      <c r="B2" s="3016"/>
      <c r="C2" s="3016"/>
      <c r="D2" s="3016"/>
      <c r="E2" s="3016"/>
      <c r="F2" s="3017"/>
      <c r="I2" s="3516" t="s">
        <v>2581</v>
      </c>
      <c r="J2" s="3516"/>
      <c r="K2" s="3516"/>
      <c r="L2" s="3516"/>
      <c r="M2" s="3516"/>
      <c r="N2" s="3516"/>
      <c r="O2" s="3516"/>
      <c r="P2" s="3516"/>
      <c r="Q2" s="3516"/>
      <c r="R2" s="3516"/>
    </row>
    <row r="3" spans="1:18">
      <c r="A3" s="3018" t="s">
        <v>2502</v>
      </c>
      <c r="B3" s="3019">
        <f>项目基本情况!D3</f>
        <v>45581</v>
      </c>
      <c r="C3" s="3021"/>
      <c r="D3" s="3021"/>
      <c r="E3" s="3021"/>
      <c r="F3" s="3017"/>
      <c r="I3" s="3437"/>
      <c r="J3" s="3437" t="s">
        <v>2585</v>
      </c>
      <c r="K3" s="3437" t="s">
        <v>2586</v>
      </c>
      <c r="L3" s="3437" t="s">
        <v>2587</v>
      </c>
      <c r="M3" s="3437" t="s">
        <v>2588</v>
      </c>
      <c r="N3" s="3438" t="s">
        <v>2589</v>
      </c>
      <c r="O3" s="3438" t="s">
        <v>2590</v>
      </c>
      <c r="P3" s="3438" t="s">
        <v>2591</v>
      </c>
      <c r="Q3" s="3438" t="s">
        <v>2592</v>
      </c>
      <c r="R3" s="3438" t="s">
        <v>2593</v>
      </c>
    </row>
    <row r="4" spans="1:18">
      <c r="A4" s="3018" t="s">
        <v>2503</v>
      </c>
      <c r="B4" s="3021" t="s">
        <v>2504</v>
      </c>
      <c r="C4" s="3021" t="s">
        <v>2505</v>
      </c>
      <c r="D4" s="3021" t="s">
        <v>2506</v>
      </c>
      <c r="E4" s="3021" t="s">
        <v>2507</v>
      </c>
      <c r="F4" s="3017"/>
      <c r="I4" s="3437" t="s">
        <v>2582</v>
      </c>
      <c r="J4" s="3437">
        <v>80</v>
      </c>
      <c r="K4" s="3437">
        <v>70</v>
      </c>
      <c r="L4" s="3437">
        <v>20</v>
      </c>
      <c r="M4" s="3437">
        <v>30</v>
      </c>
      <c r="N4" s="3021">
        <v>45</v>
      </c>
      <c r="O4" s="3021">
        <v>60</v>
      </c>
      <c r="P4" s="3021">
        <v>50</v>
      </c>
      <c r="Q4" s="3021">
        <v>20</v>
      </c>
      <c r="R4" s="3021">
        <v>375</v>
      </c>
    </row>
    <row r="5" spans="1:18">
      <c r="A5" s="3022">
        <v>40</v>
      </c>
      <c r="B5" s="3019">
        <v>46375</v>
      </c>
      <c r="C5" s="3021">
        <f>ROUNDDOWN(MIN((B5-B3)/365,A5),2)</f>
        <v>2.17</v>
      </c>
      <c r="D5" s="3023">
        <f>IF(ISERROR(ROUND(POWER(1+E5,A5-C5)*(POWER(1+E5,C5)-1)/(POWER(1+E5,A5)-1),3)),0,ROUND(POWER(1+E5,A5-C5)*(POWER(1+E5,C5)-1)/(POWER(1+E5,A5)-1),4))</f>
        <v>0.1031</v>
      </c>
      <c r="E5" s="3024">
        <v>0.04</v>
      </c>
      <c r="F5" s="3017"/>
      <c r="I5" s="3437" t="s">
        <v>2583</v>
      </c>
      <c r="J5" s="3437">
        <v>70</v>
      </c>
      <c r="K5" s="3437">
        <v>60</v>
      </c>
      <c r="L5" s="3437">
        <v>15</v>
      </c>
      <c r="M5" s="3437">
        <v>25</v>
      </c>
      <c r="N5" s="3021">
        <v>40</v>
      </c>
      <c r="O5" s="3021">
        <v>50</v>
      </c>
      <c r="P5" s="3021">
        <v>40</v>
      </c>
      <c r="Q5" s="3021">
        <v>15</v>
      </c>
      <c r="R5" s="3021">
        <v>315</v>
      </c>
    </row>
    <row r="6" spans="1:18">
      <c r="A6" s="3022">
        <v>50</v>
      </c>
      <c r="B6" s="3019">
        <v>50028</v>
      </c>
      <c r="C6" s="3021">
        <f>ROUNDDOWN(MIN((B6-B3)/365,A6),2)</f>
        <v>12.18</v>
      </c>
      <c r="D6" s="3023">
        <f>IF(ISERROR(ROUND(POWER(1+E6,A6-C6)*(POWER(1+E6,C6)-1)/(POWER(1+E6,A6)-1),3)),0,ROUND(POWER(1+E6,A6-C6)*(POWER(1+E6,C6)-1)/(POWER(1+E6,A6)-1),4))</f>
        <v>0.442</v>
      </c>
      <c r="E6" s="3024">
        <v>0.04</v>
      </c>
      <c r="F6" s="3017"/>
      <c r="I6" s="3437" t="s">
        <v>2584</v>
      </c>
      <c r="J6" s="3437">
        <v>60</v>
      </c>
      <c r="K6" s="3437">
        <v>50</v>
      </c>
      <c r="L6" s="3437">
        <v>10</v>
      </c>
      <c r="M6" s="3437">
        <v>20</v>
      </c>
      <c r="N6" s="3021">
        <v>35</v>
      </c>
      <c r="O6" s="3021">
        <v>40</v>
      </c>
      <c r="P6" s="3021">
        <v>30</v>
      </c>
      <c r="Q6" s="3021">
        <v>10</v>
      </c>
      <c r="R6" s="3021">
        <v>255</v>
      </c>
    </row>
    <row r="7" spans="1:18">
      <c r="A7" s="3022">
        <v>70</v>
      </c>
      <c r="B7" s="3019">
        <v>57333</v>
      </c>
      <c r="C7" s="3021">
        <f>ROUNDDOWN(MIN((B7-B3)/365,A7),2)</f>
        <v>32.19</v>
      </c>
      <c r="D7" s="3023">
        <f>IF(ISERROR(ROUND(POWER(1+E7,A7-C7)*(POWER(1+E7,C7)-1)/(POWER(1+E7,A7)-1),3)),0,ROUND(POWER(1+E7,A7-C7)*(POWER(1+E7,C7)-1)/(POWER(1+E7,A7)-1),4))</f>
        <v>0.76629999999999998</v>
      </c>
      <c r="E7" s="3024">
        <v>0.04</v>
      </c>
      <c r="F7" s="3017"/>
    </row>
    <row r="8" spans="1:18">
      <c r="A8" s="3015"/>
      <c r="B8" s="3016"/>
      <c r="C8" s="3016"/>
      <c r="D8" s="3016"/>
      <c r="E8" s="3016"/>
      <c r="F8" s="3017"/>
    </row>
    <row r="9" spans="1:18">
      <c r="A9" s="3018" t="s">
        <v>2508</v>
      </c>
      <c r="B9" s="3021"/>
      <c r="C9" s="3021"/>
      <c r="D9" s="3021"/>
      <c r="E9" s="3021"/>
      <c r="F9" s="3025"/>
    </row>
    <row r="10" spans="1:18">
      <c r="A10" s="3018" t="s">
        <v>2509</v>
      </c>
      <c r="B10" s="3021"/>
      <c r="C10" s="3021"/>
      <c r="D10" s="3021" t="s">
        <v>2507</v>
      </c>
      <c r="E10" s="3021"/>
      <c r="F10" s="3025" t="s">
        <v>2506</v>
      </c>
    </row>
    <row r="11" spans="1:18">
      <c r="A11" s="3018" t="s">
        <v>2510</v>
      </c>
      <c r="B11" s="3026">
        <v>70</v>
      </c>
      <c r="C11" s="3021" t="s">
        <v>2511</v>
      </c>
      <c r="D11" s="3027">
        <v>4.4999999999999998E-2</v>
      </c>
      <c r="E11" s="3021" t="s">
        <v>2512</v>
      </c>
      <c r="F11" s="3028">
        <f>ROUND(1-(1/(POWER(1+D11,B11))),4)</f>
        <v>0.95409999999999995</v>
      </c>
    </row>
    <row r="12" spans="1:18">
      <c r="A12" s="3018" t="s">
        <v>2513</v>
      </c>
      <c r="B12" s="3026">
        <v>40</v>
      </c>
      <c r="C12" s="3021" t="s">
        <v>2514</v>
      </c>
      <c r="D12" s="3027">
        <v>4.4999999999999998E-2</v>
      </c>
      <c r="E12" s="3021" t="s">
        <v>2515</v>
      </c>
      <c r="F12" s="3028">
        <f>ROUND(1-(1/(POWER(1+D12,B12))),4)</f>
        <v>0.82809999999999995</v>
      </c>
    </row>
    <row r="13" spans="1:18">
      <c r="A13" s="3018" t="s">
        <v>2516</v>
      </c>
      <c r="B13" s="3021"/>
      <c r="C13" s="3021"/>
      <c r="D13" s="3016"/>
      <c r="E13" s="3016"/>
      <c r="F13" s="3017"/>
    </row>
    <row r="14" spans="1:18">
      <c r="A14" s="3018" t="s">
        <v>2517</v>
      </c>
      <c r="B14" s="3026">
        <v>5000</v>
      </c>
      <c r="C14" s="3020"/>
      <c r="D14" s="3016"/>
      <c r="E14" s="3016"/>
      <c r="F14" s="3017"/>
    </row>
    <row r="15" spans="1:18">
      <c r="A15" s="3018" t="s">
        <v>2518</v>
      </c>
      <c r="B15" s="3021">
        <f>ROUND(B14*F12/F11,2)</f>
        <v>4339.6899999999996</v>
      </c>
      <c r="C15" s="3021">
        <f>ROUND(F12/F11,4)</f>
        <v>0.8679</v>
      </c>
      <c r="D15" s="3016"/>
      <c r="E15" s="3016"/>
      <c r="F15" s="3017"/>
    </row>
    <row r="16" spans="1:18">
      <c r="A16" s="3018" t="s">
        <v>2519</v>
      </c>
      <c r="B16" s="3021"/>
      <c r="C16" s="3021"/>
      <c r="D16" s="3016"/>
      <c r="E16" s="3016"/>
      <c r="F16" s="3017"/>
    </row>
    <row r="17" spans="1:13">
      <c r="A17" s="3018" t="s">
        <v>2518</v>
      </c>
      <c r="B17" s="3027">
        <v>4810</v>
      </c>
      <c r="C17" s="3020"/>
      <c r="D17" s="3016"/>
      <c r="E17" s="3016"/>
      <c r="F17" s="3017"/>
    </row>
    <row r="18" spans="1:13" ht="14.25" thickBot="1">
      <c r="A18" s="3029" t="s">
        <v>2517</v>
      </c>
      <c r="B18" s="3030">
        <f>ROUND(B17*F11/F12,2)</f>
        <v>5541.87</v>
      </c>
      <c r="C18" s="3030">
        <f>ROUND(F11/F12,4)</f>
        <v>1.1521999999999999</v>
      </c>
      <c r="D18" s="3031"/>
      <c r="E18" s="3031"/>
      <c r="F18" s="3032"/>
    </row>
    <row r="19" spans="1:13" ht="14.25" thickBot="1"/>
    <row r="20" spans="1:13" s="3067" customFormat="1" ht="14.25" thickTop="1">
      <c r="A20" s="3064" t="s">
        <v>2520</v>
      </c>
      <c r="B20" s="3065"/>
      <c r="C20" s="3065"/>
      <c r="D20" s="3065"/>
      <c r="E20" s="3065"/>
      <c r="F20" s="3065"/>
      <c r="G20" s="3066"/>
      <c r="I20" s="3068" t="s">
        <v>2565</v>
      </c>
      <c r="J20" s="3068" t="s">
        <v>2570</v>
      </c>
      <c r="K20" s="3068"/>
      <c r="L20" s="3068"/>
      <c r="M20" s="3068"/>
    </row>
    <row r="21" spans="1:13">
      <c r="A21" s="3033"/>
      <c r="B21" s="3034" t="s">
        <v>2521</v>
      </c>
      <c r="C21" s="3034" t="s">
        <v>2522</v>
      </c>
      <c r="D21" s="3034" t="s">
        <v>2523</v>
      </c>
      <c r="E21" s="3034" t="s">
        <v>2524</v>
      </c>
      <c r="F21" s="3034" t="s">
        <v>2525</v>
      </c>
      <c r="G21" s="3035" t="s">
        <v>2526</v>
      </c>
      <c r="I21" s="3056">
        <v>5</v>
      </c>
      <c r="J21" s="3056">
        <v>54.2</v>
      </c>
    </row>
    <row r="22" spans="1:13">
      <c r="A22" s="3033" t="s">
        <v>2527</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2528</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2568</v>
      </c>
      <c r="M23" s="3056" t="s">
        <v>2569</v>
      </c>
    </row>
    <row r="24" spans="1:13">
      <c r="A24" s="3033" t="s">
        <v>2529</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2567</v>
      </c>
      <c r="M24" s="3056">
        <v>10</v>
      </c>
    </row>
    <row r="25" spans="1:13">
      <c r="A25" s="3033" t="s">
        <v>2530</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2571</v>
      </c>
      <c r="M25" s="3056">
        <v>8</v>
      </c>
    </row>
    <row r="26" spans="1:13">
      <c r="A26" s="3038"/>
      <c r="B26" s="3039"/>
      <c r="C26" s="3039"/>
      <c r="D26" s="3039"/>
      <c r="E26" s="3039"/>
      <c r="F26" s="3039"/>
      <c r="G26" s="3040"/>
      <c r="I26" s="3056">
        <v>30</v>
      </c>
      <c r="J26" s="3056">
        <v>90.5</v>
      </c>
      <c r="K26" s="3056">
        <f t="shared" si="2"/>
        <v>4.2000000000000028</v>
      </c>
      <c r="L26" s="3056" t="s">
        <v>2572</v>
      </c>
      <c r="M26" s="3056">
        <v>5</v>
      </c>
    </row>
    <row r="27" spans="1:13">
      <c r="A27" s="3038" t="s">
        <v>2531</v>
      </c>
      <c r="B27" s="3039"/>
      <c r="C27" s="3039"/>
      <c r="D27" s="3039"/>
      <c r="E27" s="3039"/>
      <c r="F27" s="3039"/>
      <c r="G27" s="3040"/>
      <c r="I27" s="3056">
        <v>35</v>
      </c>
      <c r="J27" s="3056">
        <v>93.8</v>
      </c>
      <c r="K27" s="3056">
        <f t="shared" si="2"/>
        <v>3.2999999999999972</v>
      </c>
      <c r="L27" s="3056" t="s">
        <v>2573</v>
      </c>
      <c r="M27" s="3056">
        <v>3</v>
      </c>
    </row>
    <row r="28" spans="1:13">
      <c r="A28" s="3038" t="s">
        <v>2532</v>
      </c>
      <c r="B28" s="3039"/>
      <c r="C28" s="3039"/>
      <c r="D28" s="3039"/>
      <c r="E28" s="3039"/>
      <c r="F28" s="3039"/>
      <c r="G28" s="3040"/>
      <c r="I28" s="3056">
        <v>40</v>
      </c>
      <c r="J28" s="3056">
        <v>96.4</v>
      </c>
      <c r="K28" s="3056">
        <f t="shared" si="2"/>
        <v>2.6000000000000085</v>
      </c>
      <c r="L28" s="3056" t="s">
        <v>2574</v>
      </c>
      <c r="M28" s="3056">
        <v>2</v>
      </c>
    </row>
    <row r="29" spans="1:13">
      <c r="A29" s="3038" t="s">
        <v>2533</v>
      </c>
      <c r="B29" s="3039"/>
      <c r="C29" s="3039"/>
      <c r="D29" s="3039"/>
      <c r="E29" s="3039"/>
      <c r="F29" s="3039"/>
      <c r="G29" s="3040"/>
      <c r="I29" s="3056">
        <v>45</v>
      </c>
      <c r="J29" s="3056">
        <v>98.4</v>
      </c>
      <c r="K29" s="3056">
        <f t="shared" si="2"/>
        <v>2</v>
      </c>
    </row>
    <row r="30" spans="1:13">
      <c r="A30" s="3038" t="s">
        <v>2534</v>
      </c>
      <c r="B30" s="3039"/>
      <c r="C30" s="3039"/>
      <c r="D30" s="3039"/>
      <c r="E30" s="3039"/>
      <c r="F30" s="3039"/>
      <c r="G30" s="3040"/>
      <c r="I30" s="3056">
        <v>50</v>
      </c>
      <c r="J30" s="3056">
        <v>100</v>
      </c>
      <c r="K30" s="3056">
        <f t="shared" si="2"/>
        <v>1.5999999999999943</v>
      </c>
    </row>
    <row r="31" spans="1:13">
      <c r="A31" s="3038" t="s">
        <v>2535</v>
      </c>
      <c r="B31" s="3039"/>
      <c r="C31" s="3039"/>
      <c r="D31" s="3039"/>
      <c r="E31" s="3039"/>
      <c r="F31" s="3039"/>
      <c r="G31" s="3040"/>
      <c r="I31" s="3056" t="s">
        <v>2566</v>
      </c>
    </row>
    <row r="32" spans="1:13">
      <c r="A32" s="3038" t="s">
        <v>2536</v>
      </c>
      <c r="B32" s="3039"/>
      <c r="C32" s="3039"/>
      <c r="D32" s="3039"/>
      <c r="E32" s="3039"/>
      <c r="F32" s="3039"/>
      <c r="G32" s="3040"/>
    </row>
    <row r="33" spans="1:13">
      <c r="A33" s="3038" t="s">
        <v>2537</v>
      </c>
      <c r="B33" s="3039"/>
      <c r="C33" s="3039"/>
      <c r="D33" s="3039"/>
      <c r="E33" s="3039"/>
      <c r="F33" s="3039"/>
      <c r="G33" s="3040"/>
      <c r="I33" s="3056" t="s">
        <v>2565</v>
      </c>
      <c r="J33" s="3056" t="s">
        <v>2575</v>
      </c>
    </row>
    <row r="34" spans="1:13">
      <c r="A34" s="3038" t="s">
        <v>2538</v>
      </c>
      <c r="B34" s="3039"/>
      <c r="C34" s="3039"/>
      <c r="D34" s="3039"/>
      <c r="E34" s="3039"/>
      <c r="F34" s="3039"/>
      <c r="G34" s="3040"/>
      <c r="I34" s="3056">
        <v>5</v>
      </c>
      <c r="J34" s="3056">
        <v>55.1</v>
      </c>
    </row>
    <row r="35" spans="1:13">
      <c r="A35" s="3038" t="s">
        <v>2539</v>
      </c>
      <c r="B35" s="3039"/>
      <c r="C35" s="3039"/>
      <c r="D35" s="3039"/>
      <c r="E35" s="3039"/>
      <c r="F35" s="3039"/>
      <c r="G35" s="3040"/>
      <c r="I35" s="3056">
        <v>10</v>
      </c>
      <c r="J35" s="3056">
        <v>67</v>
      </c>
      <c r="K35" s="3056">
        <f>J35-J34</f>
        <v>11.899999999999999</v>
      </c>
    </row>
    <row r="36" spans="1:13">
      <c r="A36" s="3038" t="s">
        <v>2540</v>
      </c>
      <c r="B36" s="3039"/>
      <c r="C36" s="3039"/>
      <c r="D36" s="3039"/>
      <c r="E36" s="3039"/>
      <c r="F36" s="3039"/>
      <c r="G36" s="3040"/>
      <c r="I36" s="3056">
        <v>15</v>
      </c>
      <c r="J36" s="3056">
        <v>76.3</v>
      </c>
      <c r="K36" s="3056">
        <f t="shared" ref="K36:K41" si="3">J36-J35</f>
        <v>9.2999999999999972</v>
      </c>
      <c r="L36" s="3056" t="s">
        <v>2568</v>
      </c>
      <c r="M36" s="3056" t="s">
        <v>2569</v>
      </c>
    </row>
    <row r="37" spans="1:13">
      <c r="A37" s="3038" t="s">
        <v>2541</v>
      </c>
      <c r="B37" s="3039"/>
      <c r="C37" s="3039"/>
      <c r="D37" s="3039"/>
      <c r="E37" s="3039"/>
      <c r="F37" s="3039"/>
      <c r="G37" s="3040"/>
      <c r="I37" s="3056">
        <v>20</v>
      </c>
      <c r="J37" s="3056">
        <v>83.6</v>
      </c>
      <c r="K37" s="3056">
        <f t="shared" si="3"/>
        <v>7.2999999999999972</v>
      </c>
      <c r="L37" s="3056" t="s">
        <v>2567</v>
      </c>
      <c r="M37" s="3056">
        <v>10</v>
      </c>
    </row>
    <row r="38" spans="1:13">
      <c r="A38" s="3038" t="s">
        <v>2542</v>
      </c>
      <c r="B38" s="3039"/>
      <c r="C38" s="3039"/>
      <c r="D38" s="3039"/>
      <c r="E38" s="3039"/>
      <c r="F38" s="3039"/>
      <c r="G38" s="3040"/>
      <c r="I38" s="3056">
        <v>25</v>
      </c>
      <c r="J38" s="3056">
        <v>89.3</v>
      </c>
      <c r="K38" s="3056">
        <f t="shared" si="3"/>
        <v>5.7000000000000028</v>
      </c>
      <c r="L38" s="3056" t="s">
        <v>2571</v>
      </c>
      <c r="M38" s="3056">
        <v>8</v>
      </c>
    </row>
    <row r="39" spans="1:13">
      <c r="A39" s="3038"/>
      <c r="B39" s="3039"/>
      <c r="C39" s="3039"/>
      <c r="D39" s="3039"/>
      <c r="E39" s="3039"/>
      <c r="F39" s="3039"/>
      <c r="G39" s="3040"/>
      <c r="I39" s="3056">
        <v>30</v>
      </c>
      <c r="J39" s="3056">
        <v>93.8</v>
      </c>
      <c r="K39" s="3056">
        <f t="shared" si="3"/>
        <v>4.5</v>
      </c>
      <c r="L39" s="3056" t="s">
        <v>2572</v>
      </c>
      <c r="M39" s="3056">
        <v>6</v>
      </c>
    </row>
    <row r="40" spans="1:13">
      <c r="A40" s="3041" t="s">
        <v>2543</v>
      </c>
      <c r="B40" s="3042"/>
      <c r="C40" s="3042"/>
      <c r="D40" s="3042"/>
      <c r="E40" s="3042"/>
      <c r="F40" s="3042"/>
      <c r="G40" s="3043"/>
      <c r="I40" s="3056">
        <v>35</v>
      </c>
      <c r="J40" s="3056">
        <v>97.2</v>
      </c>
      <c r="K40" s="3056">
        <f t="shared" si="3"/>
        <v>3.4000000000000057</v>
      </c>
      <c r="L40" s="3056" t="s">
        <v>2573</v>
      </c>
      <c r="M40" s="3056">
        <v>3</v>
      </c>
    </row>
    <row r="41" spans="1:13">
      <c r="A41" s="3044" t="s">
        <v>2544</v>
      </c>
      <c r="B41" s="3045" t="s">
        <v>2545</v>
      </c>
      <c r="C41" s="3046" t="s">
        <v>2546</v>
      </c>
      <c r="D41" s="3046" t="s">
        <v>2547</v>
      </c>
      <c r="E41" s="3047"/>
      <c r="F41" s="3048"/>
      <c r="G41" s="3049"/>
      <c r="I41" s="3056">
        <v>40</v>
      </c>
      <c r="J41" s="3056">
        <v>100</v>
      </c>
      <c r="K41" s="3056">
        <f t="shared" si="3"/>
        <v>2.7999999999999972</v>
      </c>
    </row>
    <row r="42" spans="1:13">
      <c r="A42" s="3044" t="s">
        <v>2548</v>
      </c>
      <c r="B42" s="3045" t="s">
        <v>2549</v>
      </c>
      <c r="C42" s="3046" t="s">
        <v>2550</v>
      </c>
      <c r="D42" s="3050" t="s">
        <v>2551</v>
      </c>
      <c r="E42" s="3042" t="s">
        <v>2552</v>
      </c>
      <c r="F42" s="3042"/>
      <c r="G42" s="3043"/>
    </row>
    <row r="43" spans="1:13">
      <c r="A43" s="3044" t="s">
        <v>2553</v>
      </c>
      <c r="B43" s="3045" t="s">
        <v>2554</v>
      </c>
      <c r="C43" s="3046" t="s">
        <v>2555</v>
      </c>
      <c r="D43" s="3046" t="s">
        <v>2556</v>
      </c>
      <c r="E43" s="3047" t="s">
        <v>2557</v>
      </c>
      <c r="F43" s="3048"/>
      <c r="G43" s="3049"/>
      <c r="I43" s="3056" t="s">
        <v>2565</v>
      </c>
      <c r="J43" s="3056" t="s">
        <v>2576</v>
      </c>
    </row>
    <row r="44" spans="1:13">
      <c r="A44" s="3044" t="s">
        <v>2558</v>
      </c>
      <c r="B44" s="3045" t="s">
        <v>2559</v>
      </c>
      <c r="C44" s="3046" t="s">
        <v>2560</v>
      </c>
      <c r="D44" s="3050">
        <v>0.5</v>
      </c>
      <c r="E44" s="3047" t="s">
        <v>2561</v>
      </c>
      <c r="F44" s="3048"/>
      <c r="G44" s="3049"/>
      <c r="I44" s="3056">
        <v>30</v>
      </c>
      <c r="J44" s="3056">
        <v>81.7</v>
      </c>
    </row>
    <row r="45" spans="1:13" ht="14.25" thickBot="1">
      <c r="A45" s="3051" t="s">
        <v>2562</v>
      </c>
      <c r="B45" s="3052" t="s">
        <v>2549</v>
      </c>
      <c r="C45" s="3053" t="s">
        <v>2549</v>
      </c>
      <c r="D45" s="3053" t="s">
        <v>2563</v>
      </c>
      <c r="E45" s="3054" t="s">
        <v>2564</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M25" sqref="M25"/>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25" t="str">
        <f>IF(B10="北京市","北京市",C10)&amp;F10&amp;IF(结果表!G1="在建","出让国有建设用地使用权及在建建筑物",IF(结果表!G1="土地","出让国有建设用地使用权",))&amp;B9&amp;"预评估"</f>
        <v>北京市延庆区世园村中路1号院1-4号楼共41套住宅用房房地产抵押价值预评估</v>
      </c>
      <c r="C1" s="3526"/>
      <c r="D1" s="3526"/>
      <c r="E1" s="3526"/>
      <c r="F1" s="3526"/>
      <c r="G1" s="3526"/>
      <c r="H1" s="3526"/>
      <c r="I1" s="3527"/>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北京市延庆区世园村中路1号院1-4号楼共41套住宅用房房地产抵押价值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北京市延庆区世园村中路1号院1-4号楼共41套住宅用房房地产</v>
      </c>
      <c r="T2" s="1743"/>
      <c r="U2" s="1743"/>
      <c r="V2" s="1743"/>
      <c r="W2" s="1743"/>
      <c r="X2" s="1743"/>
      <c r="Y2" s="1743"/>
      <c r="Z2" s="1743"/>
      <c r="AA2" s="1743"/>
      <c r="AB2" s="1743"/>
    </row>
    <row r="3" spans="1:30">
      <c r="A3" s="302" t="s">
        <v>2169</v>
      </c>
      <c r="B3" s="2371">
        <v>45581</v>
      </c>
      <c r="C3" s="2372" t="s">
        <v>2170</v>
      </c>
      <c r="D3" s="2371">
        <f>B3</f>
        <v>45581</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9"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3387</v>
      </c>
      <c r="C8" s="2388"/>
      <c r="D8" s="3528" t="s">
        <v>2176</v>
      </c>
      <c r="E8" s="2389" t="s">
        <v>3388</v>
      </c>
      <c r="F8" s="2390"/>
      <c r="G8" s="2661"/>
      <c r="H8" s="2661"/>
      <c r="I8" s="2661"/>
      <c r="J8" s="2437"/>
      <c r="K8" s="2612"/>
      <c r="L8" s="2611"/>
      <c r="M8" s="2611"/>
      <c r="N8" s="2437"/>
      <c r="O8" s="2448"/>
      <c r="P8" s="2437"/>
      <c r="Q8" s="2437"/>
      <c r="R8" s="2437"/>
    </row>
    <row r="9" spans="1:30" ht="13.5" thickBot="1">
      <c r="A9" s="2391" t="s">
        <v>2177</v>
      </c>
      <c r="B9" s="2392" t="s">
        <v>3388</v>
      </c>
      <c r="C9" s="2393"/>
      <c r="D9" s="3529"/>
      <c r="E9" s="2392"/>
      <c r="F9" s="2394"/>
      <c r="G9" s="2663"/>
      <c r="H9" s="2663"/>
      <c r="I9" s="2663"/>
      <c r="J9" s="2437"/>
      <c r="K9" s="2614"/>
      <c r="L9" s="2611"/>
      <c r="M9" s="2611"/>
      <c r="N9" s="2437"/>
      <c r="O9" s="2448"/>
      <c r="P9" s="2437"/>
      <c r="Q9" s="2437"/>
      <c r="R9" s="2437"/>
    </row>
    <row r="10" spans="1:30" ht="13.5" thickTop="1">
      <c r="A10" s="2395" t="s">
        <v>2178</v>
      </c>
      <c r="B10" s="2396" t="s">
        <v>3389</v>
      </c>
      <c r="C10" s="2397"/>
      <c r="D10" s="2380"/>
      <c r="E10" s="2398" t="s">
        <v>2179</v>
      </c>
      <c r="F10" s="2664" t="s">
        <v>3902</v>
      </c>
      <c r="G10" s="2665"/>
      <c r="H10" s="2666"/>
      <c r="I10" s="2667"/>
      <c r="J10" s="2437"/>
      <c r="K10" s="2614"/>
      <c r="L10" s="2611"/>
      <c r="M10" s="2611"/>
      <c r="N10" s="2437"/>
      <c r="O10" s="2448"/>
      <c r="P10" s="2437"/>
      <c r="Q10" s="2437"/>
      <c r="R10" s="2437"/>
    </row>
    <row r="11" spans="1:30">
      <c r="A11" s="2399" t="s">
        <v>2180</v>
      </c>
      <c r="B11" s="2400" t="s">
        <v>3390</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2577</v>
      </c>
      <c r="J12" s="3060"/>
      <c r="K12" s="2611"/>
      <c r="L12" s="2611"/>
      <c r="M12" s="2437"/>
      <c r="N12" s="2448"/>
      <c r="O12" s="2437"/>
      <c r="P12" s="2437"/>
      <c r="Q12" s="2437"/>
      <c r="AD12" s="1743"/>
    </row>
    <row r="13" spans="1:30">
      <c r="A13" s="3421" t="s">
        <v>3332</v>
      </c>
      <c r="B13" s="2405" t="s">
        <v>2189</v>
      </c>
      <c r="C13" s="855">
        <v>68586</v>
      </c>
      <c r="D13" s="855"/>
      <c r="E13" s="855"/>
      <c r="F13" s="855"/>
      <c r="G13" s="855"/>
      <c r="H13" s="855"/>
      <c r="I13" s="855"/>
      <c r="J13" s="3060"/>
      <c r="K13" s="2611"/>
      <c r="L13" s="2611"/>
      <c r="M13" s="2437"/>
      <c r="N13" s="2448"/>
      <c r="O13" s="2437"/>
      <c r="P13" s="2437"/>
      <c r="Q13" s="2437"/>
      <c r="AD13" s="1743"/>
    </row>
    <row r="14" spans="1:30">
      <c r="A14" s="1080"/>
      <c r="B14" s="2405" t="s">
        <v>2190</v>
      </c>
      <c r="C14" s="2406">
        <v>70</v>
      </c>
      <c r="D14" s="2406"/>
      <c r="E14" s="2406"/>
      <c r="F14" s="2406"/>
      <c r="G14" s="2406"/>
      <c r="H14" s="2406"/>
      <c r="I14" s="2406"/>
      <c r="J14" s="3061"/>
      <c r="K14" s="2611"/>
      <c r="L14" s="2611"/>
      <c r="M14" s="2437"/>
      <c r="N14" s="2448"/>
      <c r="O14" s="2437"/>
      <c r="P14" s="2437"/>
      <c r="Q14" s="2437"/>
      <c r="AD14" s="1743"/>
    </row>
    <row r="15" spans="1:30">
      <c r="A15" s="320"/>
      <c r="B15" s="2407" t="s">
        <v>2191</v>
      </c>
      <c r="C15" s="2408">
        <f>IF(A13="出让",IF(C13="","",ROUNDDOWN(MIN((C13-$D$3)/365,C14),2)),C14)</f>
        <v>63.02</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35"/>
      <c r="C16" s="3536"/>
      <c r="D16" s="3537"/>
      <c r="E16" s="2411" t="s">
        <v>2193</v>
      </c>
      <c r="F16" s="3538"/>
      <c r="G16" s="3539"/>
      <c r="H16" s="3539"/>
      <c r="I16" s="3540"/>
      <c r="J16" s="2437"/>
      <c r="K16" s="2615"/>
      <c r="L16" s="2449"/>
      <c r="M16" s="2449"/>
      <c r="N16" s="2507"/>
      <c r="O16" s="2449"/>
      <c r="P16" s="2507"/>
      <c r="Q16" s="2437"/>
      <c r="R16" s="2437"/>
    </row>
    <row r="17" spans="1:28">
      <c r="A17" s="313" t="s">
        <v>2194</v>
      </c>
      <c r="B17" s="302" t="s">
        <v>2195</v>
      </c>
      <c r="C17" s="8">
        <f>'数据-汇总表'!E3</f>
        <v>3643.6099999999992</v>
      </c>
      <c r="D17" s="2320" t="s">
        <v>2196</v>
      </c>
      <c r="E17" s="3541" t="s">
        <v>2197</v>
      </c>
      <c r="F17" s="3542"/>
      <c r="G17" s="3542"/>
      <c r="H17" s="3542"/>
      <c r="I17" s="3543"/>
      <c r="J17" s="2437"/>
      <c r="K17" s="2616"/>
      <c r="L17" s="2449"/>
      <c r="M17" s="2449"/>
      <c r="N17" s="2507"/>
      <c r="O17" s="2449"/>
      <c r="P17" s="2507"/>
      <c r="Q17" s="2437"/>
      <c r="R17" s="2437"/>
      <c r="S17" s="2437"/>
      <c r="T17" s="2437"/>
      <c r="U17" s="2437"/>
      <c r="V17" s="2437"/>
    </row>
    <row r="18" spans="1:28" ht="24.75" thickBot="1">
      <c r="A18" s="2412" t="s">
        <v>2198</v>
      </c>
      <c r="B18" s="1089" t="s">
        <v>2199</v>
      </c>
      <c r="C18" s="2413">
        <f>'数据-汇总表'!D3</f>
        <v>0</v>
      </c>
      <c r="D18" s="1091" t="s">
        <v>2200</v>
      </c>
      <c r="E18" s="3544" t="s">
        <v>2201</v>
      </c>
      <c r="F18" s="3545"/>
      <c r="G18" s="3545"/>
      <c r="H18" s="3545"/>
      <c r="I18" s="3546"/>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31" t="s">
        <v>2205</v>
      </c>
      <c r="C20" s="3532"/>
      <c r="D20" s="3533" t="s">
        <v>2206</v>
      </c>
      <c r="E20" s="3534"/>
      <c r="F20" s="2645" t="s">
        <v>1056</v>
      </c>
      <c r="G20" s="2662"/>
      <c r="H20" s="2662"/>
      <c r="I20" s="2662"/>
      <c r="J20" s="2437"/>
      <c r="K20" s="3530"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30"/>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30"/>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8" t="s">
        <v>2213</v>
      </c>
      <c r="B27" s="320" t="s">
        <v>2214</v>
      </c>
      <c r="C27" s="2414" t="s">
        <v>3391</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8"/>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8"/>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9"/>
      <c r="B30" s="302" t="s">
        <v>2217</v>
      </c>
      <c r="C30" s="3520"/>
      <c r="D30" s="3521"/>
      <c r="E30" s="2662"/>
      <c r="F30" s="2662"/>
      <c r="G30" s="2662"/>
      <c r="H30" s="2662"/>
      <c r="I30" s="2662"/>
      <c r="J30" s="2437"/>
      <c r="K30" s="2614"/>
      <c r="L30" s="2611"/>
      <c r="M30" s="2611"/>
      <c r="N30" s="2437"/>
      <c r="O30" s="2448"/>
      <c r="P30" s="2437"/>
      <c r="Q30" s="2437"/>
      <c r="R30" s="2437"/>
      <c r="S30" s="2437"/>
      <c r="T30" s="2437"/>
      <c r="U30" s="2437"/>
      <c r="V30" s="2437"/>
    </row>
    <row r="31" spans="1:28">
      <c r="A31" s="3522"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23"/>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23"/>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17" t="s">
        <v>2227</v>
      </c>
      <c r="T34" s="2426" t="str">
        <f>NUMBERSTRING(7-K34,1)&amp;"通"</f>
        <v>七通</v>
      </c>
      <c r="U34" s="2437"/>
      <c r="V34" s="2437"/>
    </row>
    <row r="35" spans="1:30">
      <c r="A35" s="2427"/>
      <c r="B35" s="3524" t="s">
        <v>2228</v>
      </c>
      <c r="C35" s="3524"/>
      <c r="D35" s="3524"/>
      <c r="E35" s="3524"/>
      <c r="F35" s="663">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7"/>
      <c r="T35" s="329" t="str">
        <f>IF(T34="一通",L35,IF(T34="二通",M35,IF(T34="三通",N35,IF(T34="四通",O35,IF(T34="五通",P35,IF(T34="六通",Q35,R35))))))</f>
        <v>、、、、、、</v>
      </c>
      <c r="U35" s="2437"/>
      <c r="V35" s="2437"/>
    </row>
    <row r="36" spans="1:30">
      <c r="A36" s="2428"/>
      <c r="B36" s="663" t="s">
        <v>2184</v>
      </c>
      <c r="C36" s="663" t="s">
        <v>2185</v>
      </c>
      <c r="D36" s="663" t="s">
        <v>2183</v>
      </c>
      <c r="E36" s="663" t="s">
        <v>2188</v>
      </c>
      <c r="F36" s="3063" t="s">
        <v>2580</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t="s">
        <v>306</v>
      </c>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t="s">
        <v>2996</v>
      </c>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1" customFormat="1">
      <c r="A44" s="1568"/>
      <c r="B44" s="1568"/>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1" customFormat="1">
      <c r="A45" s="1568"/>
      <c r="B45" s="1568"/>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1" customFormat="1">
      <c r="A46" s="1568"/>
      <c r="B46" s="1568"/>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1" customFormat="1">
      <c r="A47" s="1568"/>
      <c r="B47" s="1568"/>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1" customFormat="1">
      <c r="A48" s="1568"/>
      <c r="B48" s="1568"/>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1" customFormat="1">
      <c r="A49" s="1568"/>
      <c r="B49" s="1568"/>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1" customFormat="1">
      <c r="A50" s="1568"/>
      <c r="B50" s="1568"/>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1" customFormat="1">
      <c r="A51" s="1568"/>
      <c r="B51" s="1568"/>
      <c r="C51" s="1050"/>
      <c r="D51" s="1050"/>
      <c r="E51" s="1050"/>
      <c r="F51" s="1050"/>
      <c r="G51" s="1050"/>
      <c r="H51" s="1050"/>
      <c r="I51" s="1050"/>
      <c r="J51" s="2435"/>
      <c r="K51" s="2436"/>
      <c r="L51" s="2436"/>
      <c r="M51" s="1050"/>
      <c r="N51" s="1050"/>
      <c r="O51" s="1050"/>
      <c r="P51" s="1050"/>
      <c r="Q51" s="1050"/>
      <c r="R51" s="1050"/>
    </row>
    <row r="52" spans="1:22" s="1741" customFormat="1">
      <c r="A52" s="1568"/>
      <c r="B52" s="1568"/>
      <c r="C52" s="1568"/>
      <c r="D52" s="1568"/>
      <c r="E52" s="1568"/>
      <c r="F52" s="1050"/>
      <c r="G52" s="1568"/>
      <c r="H52" s="1568"/>
      <c r="I52" s="1568"/>
      <c r="J52" s="2438"/>
      <c r="K52" s="2436"/>
      <c r="L52" s="2436"/>
      <c r="M52" s="2436"/>
      <c r="N52" s="1568"/>
      <c r="O52" s="1568"/>
      <c r="P52" s="1568"/>
      <c r="Q52" s="1568"/>
      <c r="R52" s="1568"/>
    </row>
    <row r="53" spans="1:22" s="1741" customFormat="1">
      <c r="A53" s="1568"/>
      <c r="B53" s="1568"/>
      <c r="C53" s="1568"/>
      <c r="D53" s="1568"/>
      <c r="E53" s="1568"/>
      <c r="F53" s="1050"/>
      <c r="G53" s="1568"/>
      <c r="H53" s="1568"/>
      <c r="I53" s="1568"/>
      <c r="J53" s="2438"/>
      <c r="K53" s="2436"/>
      <c r="L53" s="2436"/>
      <c r="M53" s="2436"/>
      <c r="N53" s="1568"/>
      <c r="O53" s="1568"/>
      <c r="P53" s="1568"/>
      <c r="Q53" s="1568"/>
      <c r="R53" s="1568"/>
    </row>
    <row r="54" spans="1:22" s="1741" customFormat="1">
      <c r="A54" s="1568"/>
      <c r="B54" s="1568"/>
      <c r="C54" s="1568"/>
      <c r="D54" s="1568"/>
      <c r="E54" s="1568"/>
      <c r="F54" s="1050"/>
      <c r="G54" s="1568"/>
      <c r="H54" s="1568"/>
      <c r="I54" s="1568"/>
      <c r="J54" s="2438"/>
      <c r="K54" s="2436"/>
      <c r="L54" s="2436"/>
      <c r="M54" s="2436"/>
      <c r="N54" s="1568"/>
      <c r="O54" s="1568"/>
      <c r="P54" s="1568"/>
      <c r="Q54" s="1568"/>
      <c r="R54" s="1568"/>
    </row>
    <row r="55" spans="1:22" s="1741" customFormat="1">
      <c r="A55" s="1568"/>
      <c r="B55" s="1568"/>
      <c r="C55" s="1568"/>
      <c r="D55" s="1568"/>
      <c r="E55" s="1568"/>
      <c r="F55" s="1050"/>
      <c r="G55" s="1568"/>
      <c r="H55" s="1568"/>
      <c r="I55" s="1568"/>
      <c r="J55" s="2438"/>
      <c r="K55" s="2436"/>
      <c r="L55" s="2436"/>
      <c r="M55" s="2436"/>
      <c r="N55" s="1568"/>
      <c r="O55" s="1568"/>
      <c r="P55" s="1568"/>
      <c r="Q55" s="1568"/>
      <c r="R55" s="1568"/>
    </row>
    <row r="56" spans="1:22" s="1741" customFormat="1">
      <c r="A56" s="1568"/>
      <c r="B56" s="1568"/>
      <c r="C56" s="1568"/>
      <c r="D56" s="1568"/>
      <c r="E56" s="1568"/>
      <c r="F56" s="1050"/>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1067</v>
      </c>
      <c r="AZ2" s="1048"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3643.6099999999992</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3643.6099999999992</v>
      </c>
      <c r="H5" s="13">
        <f t="shared" ref="H5:AT5" si="0">SUM(H13:H656)</f>
        <v>3643.6099999999992</v>
      </c>
      <c r="I5" s="13">
        <f t="shared" si="0"/>
        <v>3643.6099999999992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3643.6099999999992</v>
      </c>
      <c r="BA5" s="15">
        <f t="shared" si="1"/>
        <v>3643.6099999999992</v>
      </c>
      <c r="BB5" s="15">
        <f t="shared" si="1"/>
        <v>3643.6099999999992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8" t="s">
        <v>1086</v>
      </c>
      <c r="AD8" s="1598"/>
      <c r="AE8" s="1590"/>
      <c r="AF8" s="1358"/>
      <c r="AG8" s="1358"/>
      <c r="AH8" s="1358"/>
      <c r="AI8" s="1358"/>
      <c r="AJ8" s="1358"/>
      <c r="AK8" s="1358"/>
      <c r="AL8" s="1358"/>
      <c r="AM8" s="1358"/>
      <c r="AN8" s="1358"/>
      <c r="AO8" s="1358"/>
      <c r="AP8" s="1358"/>
      <c r="AQ8" s="1358"/>
      <c r="AR8" s="1358"/>
      <c r="AS8" s="1358"/>
      <c r="AT8" s="1069" t="s">
        <v>1087</v>
      </c>
      <c r="AU8" s="1592" t="s">
        <v>1088</v>
      </c>
      <c r="AV8" s="1069"/>
      <c r="AW8" s="1575"/>
      <c r="AX8" s="1069"/>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9"/>
      <c r="H9" s="1600" t="s">
        <v>1091</v>
      </c>
      <c r="I9" s="1601" t="s">
        <v>3394</v>
      </c>
      <c r="J9" s="808"/>
      <c r="K9" s="1601"/>
      <c r="L9" s="808"/>
      <c r="M9" s="1601"/>
      <c r="N9" s="808"/>
      <c r="O9" s="1601"/>
      <c r="P9" s="808"/>
      <c r="Q9" s="1601"/>
      <c r="R9" s="808"/>
      <c r="S9" s="1601"/>
      <c r="T9" s="808"/>
      <c r="U9" s="1601"/>
      <c r="V9" s="808"/>
      <c r="W9" s="1601"/>
      <c r="X9" s="1602"/>
      <c r="Y9" s="1601"/>
      <c r="Z9" s="808"/>
      <c r="AA9" s="1601"/>
      <c r="AB9" s="808"/>
      <c r="AC9" s="1593"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3"/>
      <c r="AT9" s="1592"/>
      <c r="AU9" s="1592" t="s">
        <v>1094</v>
      </c>
      <c r="AV9" s="1069"/>
      <c r="AW9" s="1575"/>
      <c r="AX9" s="1069"/>
      <c r="AY9" s="25"/>
      <c r="AZ9" s="25" t="s">
        <v>1084</v>
      </c>
      <c r="BA9" s="1604" t="s">
        <v>1095</v>
      </c>
      <c r="BB9" s="1605"/>
      <c r="BC9" s="1087"/>
      <c r="BD9" s="1087"/>
      <c r="BE9" s="1087"/>
      <c r="BF9" s="1087"/>
      <c r="BG9" s="1087"/>
      <c r="BH9" s="1087"/>
      <c r="BI9" s="1087"/>
      <c r="BJ9" s="1087"/>
      <c r="BK9" s="1606"/>
      <c r="BL9" s="12" t="s">
        <v>1096</v>
      </c>
      <c r="BM9" s="1358"/>
      <c r="BN9" s="1595"/>
      <c r="BO9" s="1358"/>
      <c r="BP9" s="1358"/>
      <c r="BQ9" s="1358"/>
      <c r="BR9" s="1358"/>
      <c r="BS9" s="1358"/>
      <c r="BT9" s="23"/>
    </row>
    <row r="10" spans="1:72" s="1599" customFormat="1" ht="12.75">
      <c r="A10" s="1592"/>
      <c r="B10" s="1592"/>
      <c r="C10" s="1592"/>
      <c r="D10" s="1592"/>
      <c r="E10" s="1592"/>
      <c r="F10" s="1592"/>
      <c r="G10" s="1069"/>
      <c r="H10" s="25"/>
      <c r="I10" s="1601" t="s">
        <v>3395</v>
      </c>
      <c r="J10" s="808"/>
      <c r="K10" s="1607"/>
      <c r="L10" s="808"/>
      <c r="M10" s="1607"/>
      <c r="N10" s="808"/>
      <c r="O10" s="1607"/>
      <c r="P10" s="808"/>
      <c r="Q10" s="1607"/>
      <c r="R10" s="808"/>
      <c r="S10" s="1607"/>
      <c r="T10" s="808"/>
      <c r="U10" s="1607"/>
      <c r="V10" s="808"/>
      <c r="W10" s="1607"/>
      <c r="X10" s="808"/>
      <c r="Y10" s="1607"/>
      <c r="Z10" s="808"/>
      <c r="AA10" s="1607"/>
      <c r="AB10" s="808"/>
      <c r="AC10" s="1069"/>
      <c r="AD10" s="12" t="s">
        <v>1097</v>
      </c>
      <c r="AE10" s="1608"/>
      <c r="AF10" s="12" t="s">
        <v>1097</v>
      </c>
      <c r="AG10" s="1608"/>
      <c r="AH10" s="12" t="s">
        <v>1098</v>
      </c>
      <c r="AI10" s="1608"/>
      <c r="AJ10" s="12" t="s">
        <v>1098</v>
      </c>
      <c r="AK10" s="1608"/>
      <c r="AL10" s="12" t="s">
        <v>1099</v>
      </c>
      <c r="AM10" s="1075"/>
      <c r="AN10" s="12" t="s">
        <v>1099</v>
      </c>
      <c r="AO10" s="1075"/>
      <c r="AP10" s="12" t="s">
        <v>1100</v>
      </c>
      <c r="AQ10" s="1075"/>
      <c r="AR10" s="12" t="s">
        <v>1100</v>
      </c>
      <c r="AS10" s="1075"/>
      <c r="AT10" s="1592"/>
      <c r="AU10" s="1592"/>
      <c r="AV10" s="1069"/>
      <c r="AW10" s="1575"/>
      <c r="AX10" s="1069"/>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9"/>
      <c r="AW11" s="1575"/>
      <c r="AX11" s="1069"/>
      <c r="AY11" s="25"/>
      <c r="AZ11" s="25"/>
      <c r="BA11" s="25"/>
      <c r="BB11" s="1597" t="str">
        <f>I10</f>
        <v>住宅</v>
      </c>
      <c r="BC11" s="1597">
        <f>K10</f>
        <v>0</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25.5">
      <c r="A13" s="1050"/>
      <c r="B13" s="1050"/>
      <c r="C13" s="1050" t="s">
        <v>3438</v>
      </c>
      <c r="D13" s="1623" t="s">
        <v>3393</v>
      </c>
      <c r="E13" s="13">
        <f>IF($C$3="是",ROUND($A$3*G13/$B$3,2),ROUND($A$3*(G13-AT13)/$B$3,2))</f>
        <v>0</v>
      </c>
      <c r="F13" s="29"/>
      <c r="G13" s="30">
        <f>H13+AC13+AT13</f>
        <v>89.64</v>
      </c>
      <c r="H13" s="17">
        <f>SUMIF(I$12:AB$12,"总值",I13:AB13)</f>
        <v>89.64</v>
      </c>
      <c r="I13" s="1624">
        <f>清单!E4</f>
        <v>89.64</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1号楼一单元201</v>
      </c>
      <c r="AY13" s="1347">
        <f>ROUND($AY$6*AZ13/$AZ$5,2)</f>
        <v>0</v>
      </c>
      <c r="AZ13" s="13">
        <f>BA13+BL13</f>
        <v>89.64</v>
      </c>
      <c r="BA13" s="13">
        <f>SUM(BB13:BK13)</f>
        <v>89.64</v>
      </c>
      <c r="BB13" s="13">
        <f>IF($D13="是",I13-J13,0)</f>
        <v>89.64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50"/>
      <c r="B14" s="1050"/>
      <c r="C14" s="3449" t="s">
        <v>3439</v>
      </c>
      <c r="D14" s="1623" t="s">
        <v>3393</v>
      </c>
      <c r="E14" s="13">
        <f>IF($C$3="是",ROUND($A$3*G14/$B$3,2),ROUND($A$3*(G14-AT14)/$B$3,2))</f>
        <v>0</v>
      </c>
      <c r="F14" s="29"/>
      <c r="G14" s="30">
        <f>H14+AC14+AT14</f>
        <v>3553.9699999999993</v>
      </c>
      <c r="H14" s="17">
        <f>SUMIF(I$12:AB$12,"总值",I14:AB14)</f>
        <v>3553.9699999999993</v>
      </c>
      <c r="I14" s="1624">
        <f>清单!E45-I13</f>
        <v>3553.9699999999993</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t="str">
        <f t="shared" si="6"/>
        <v>剩余住宅</v>
      </c>
      <c r="AY14" s="1347">
        <f>ROUND($AY$6*AZ14/$AZ$5,2)</f>
        <v>0</v>
      </c>
      <c r="AZ14" s="13">
        <f>BA14+BL14</f>
        <v>3553.9699999999993</v>
      </c>
      <c r="BA14" s="13">
        <f>SUM(BB14:BK14)</f>
        <v>3553.9699999999993</v>
      </c>
      <c r="BB14" s="13">
        <f>IF($D14="是",I14-J14,0)</f>
        <v>3553.9699999999993</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50"/>
      <c r="B15" s="1050"/>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50"/>
      <c r="B16" s="1050"/>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50"/>
      <c r="B17" s="1050"/>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J9" sqref="J9"/>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8"/>
      <c r="C1" s="1138"/>
      <c r="D1" s="1138"/>
      <c r="E1" s="1138"/>
      <c r="F1" s="1138"/>
      <c r="G1" s="1138"/>
      <c r="H1" s="1138"/>
      <c r="I1" s="1138"/>
      <c r="J1" s="1138"/>
      <c r="K1" s="1138"/>
      <c r="L1" s="1138"/>
      <c r="M1" s="1138"/>
      <c r="N1" s="1138"/>
      <c r="O1" s="1138"/>
      <c r="P1" s="1138"/>
    </row>
    <row r="2" spans="1:16" ht="15">
      <c r="A2" s="3556" t="s">
        <v>1131</v>
      </c>
      <c r="B2" s="3556"/>
      <c r="C2" s="3556"/>
      <c r="D2" s="795" t="s">
        <v>1107</v>
      </c>
      <c r="E2" s="1637" t="s">
        <v>1108</v>
      </c>
      <c r="F2" s="2657"/>
      <c r="G2" s="2648"/>
      <c r="H2" s="2649"/>
      <c r="I2" s="2323" t="s">
        <v>1132</v>
      </c>
      <c r="J2" s="2657"/>
      <c r="K2" s="2657"/>
      <c r="L2" s="2657"/>
      <c r="M2" s="2657"/>
      <c r="N2" s="2659"/>
      <c r="O2" s="2657"/>
      <c r="P2" s="2657"/>
    </row>
    <row r="3" spans="1:16" ht="15.75" thickBot="1">
      <c r="A3" s="3557" t="s">
        <v>1105</v>
      </c>
      <c r="B3" s="3557"/>
      <c r="C3" s="3557"/>
      <c r="D3" s="43">
        <f>'数据-基础表'!AY6</f>
        <v>0</v>
      </c>
      <c r="E3" s="43">
        <f>'数据-基础表'!AZ5</f>
        <v>3643.6099999999992</v>
      </c>
      <c r="F3" s="2657"/>
      <c r="G3" s="1144"/>
      <c r="H3" s="1025" t="s">
        <v>1106</v>
      </c>
      <c r="I3" s="854" t="e">
        <f>ROUND('数据-基础表'!B3/'数据-基础表'!A3,2)</f>
        <v>#DIV/0!</v>
      </c>
      <c r="J3" s="2657"/>
      <c r="K3" s="2657"/>
      <c r="L3" s="2657"/>
      <c r="M3" s="2657"/>
      <c r="N3" s="2659"/>
      <c r="O3" s="2657"/>
      <c r="P3" s="2657"/>
    </row>
    <row r="4" spans="1:16" ht="15">
      <c r="A4" s="3558"/>
      <c r="B4" s="3559"/>
      <c r="C4" s="3560"/>
      <c r="D4" s="1639" t="s">
        <v>1107</v>
      </c>
      <c r="E4" s="1640" t="s">
        <v>1108</v>
      </c>
      <c r="F4" s="2657"/>
      <c r="G4" s="2650" t="s">
        <v>1133</v>
      </c>
      <c r="H4" s="1025" t="s">
        <v>1113</v>
      </c>
      <c r="I4" s="854" t="e">
        <f>ROUND(SUMIF('数据-基础表'!I9:AS9,"地上",'数据-基础表'!I5:AS5)/'数据-基础表'!A3,2)</f>
        <v>#DIV/0!</v>
      </c>
      <c r="J4" s="2657"/>
      <c r="K4" s="2657"/>
      <c r="L4" s="2657"/>
      <c r="M4" s="2657"/>
      <c r="N4" s="2659"/>
      <c r="O4" s="2657"/>
      <c r="P4" s="2657"/>
    </row>
    <row r="5" spans="1:16">
      <c r="A5" s="44" t="s">
        <v>1109</v>
      </c>
      <c r="B5" s="3561" t="s">
        <v>1110</v>
      </c>
      <c r="C5" s="3561"/>
      <c r="D5" s="45">
        <f>ROUND($D$3*E5/$E$3,2)</f>
        <v>0</v>
      </c>
      <c r="E5" s="46">
        <f>SUMIF('数据-基础表'!$11:$11,"住宅",'数据-基础表'!$5:$5)</f>
        <v>3643.6099999999992</v>
      </c>
      <c r="F5" s="2657"/>
      <c r="G5" s="1144"/>
      <c r="H5" s="1025" t="s">
        <v>1106</v>
      </c>
      <c r="I5" s="854" t="e">
        <f>ROUND(E31/D31,2)</f>
        <v>#DIV/0!</v>
      </c>
      <c r="J5" s="2657"/>
      <c r="K5" s="2657"/>
      <c r="L5" s="2657"/>
      <c r="M5" s="2657"/>
      <c r="N5" s="2657"/>
      <c r="O5" s="2657"/>
      <c r="P5" s="2657"/>
    </row>
    <row r="6" spans="1:16" ht="15" thickBot="1">
      <c r="A6" s="1642"/>
      <c r="B6" s="3561" t="s">
        <v>1111</v>
      </c>
      <c r="C6" s="3561"/>
      <c r="D6" s="45">
        <f>ROUND($D$3*E6/$E$3,2)</f>
        <v>0</v>
      </c>
      <c r="E6" s="46">
        <f>E3-E5</f>
        <v>0</v>
      </c>
      <c r="F6" s="2657"/>
      <c r="G6" s="2651" t="s">
        <v>1112</v>
      </c>
      <c r="H6" s="1145" t="s">
        <v>1113</v>
      </c>
      <c r="I6" s="2652" t="e">
        <f>ROUND(F31/D31,2)</f>
        <v>#DIV/0!</v>
      </c>
      <c r="J6" s="2657"/>
      <c r="K6" s="2657"/>
      <c r="L6" s="2657"/>
      <c r="M6" s="2657"/>
      <c r="N6" s="2657"/>
      <c r="O6" s="2657"/>
      <c r="P6" s="2657"/>
    </row>
    <row r="7" spans="1:16" ht="15.75" thickBot="1">
      <c r="A7" s="3553"/>
      <c r="B7" s="3554"/>
      <c r="C7" s="3555"/>
      <c r="D7" s="1639" t="s">
        <v>1107</v>
      </c>
      <c r="E7" s="1643" t="s">
        <v>1114</v>
      </c>
      <c r="F7" s="2657"/>
      <c r="G7" s="2653" t="s">
        <v>1115</v>
      </c>
      <c r="H7" s="2654"/>
      <c r="I7" s="2655">
        <v>1.6</v>
      </c>
      <c r="J7" s="2657"/>
      <c r="K7" s="2657">
        <v>1.1599999999999999</v>
      </c>
      <c r="L7" s="2657"/>
      <c r="M7" s="2657"/>
      <c r="N7" s="2657"/>
      <c r="O7" s="2657"/>
      <c r="P7" s="2657"/>
    </row>
    <row r="8" spans="1:16">
      <c r="A8" s="44" t="s">
        <v>1116</v>
      </c>
      <c r="B8" s="47" t="s">
        <v>1117</v>
      </c>
      <c r="C8" s="45" t="s">
        <v>1118</v>
      </c>
      <c r="D8" s="45">
        <f t="shared" ref="D8:D15" si="0">ROUND($D$3*E8/$E$3,2)</f>
        <v>0</v>
      </c>
      <c r="E8" s="48">
        <f>SUMIF('数据-基础表'!BB10:BK10,"地上",'数据-基础表'!BB5:BK5)</f>
        <v>3643.6099999999992</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3643.6099999999992</v>
      </c>
      <c r="F16" s="2657"/>
      <c r="G16" s="2658"/>
      <c r="H16" s="1646" t="s">
        <v>1135</v>
      </c>
      <c r="I16" s="1647"/>
      <c r="J16" s="1138"/>
      <c r="K16" s="3550" t="s">
        <v>1135</v>
      </c>
      <c r="L16" s="3551"/>
      <c r="M16" s="3551"/>
      <c r="N16" s="3551"/>
      <c r="O16" s="3551"/>
      <c r="P16" s="3552"/>
    </row>
    <row r="17" spans="1:19" ht="15">
      <c r="A17" s="1648" t="s">
        <v>1136</v>
      </c>
      <c r="B17" s="1649" t="s">
        <v>1137</v>
      </c>
      <c r="C17" s="1650" t="s">
        <v>1138</v>
      </c>
      <c r="D17" s="1651" t="s">
        <v>1126</v>
      </c>
      <c r="E17" s="1652" t="s">
        <v>1127</v>
      </c>
      <c r="F17" s="1653"/>
      <c r="G17" s="1654"/>
      <c r="H17" s="1655" t="s">
        <v>1139</v>
      </c>
      <c r="I17" s="1656" t="s">
        <v>1124</v>
      </c>
      <c r="J17" s="1138"/>
      <c r="K17" s="3547" t="s">
        <v>1140</v>
      </c>
      <c r="L17" s="3548"/>
      <c r="M17" s="3549"/>
      <c r="N17" s="3547" t="s">
        <v>1141</v>
      </c>
      <c r="O17" s="3548"/>
      <c r="P17" s="3549"/>
      <c r="R17" s="1638" t="s">
        <v>1142</v>
      </c>
      <c r="S17" s="56"/>
    </row>
    <row r="18" spans="1:19" ht="15">
      <c r="A18" s="1644"/>
      <c r="B18" s="1657"/>
      <c r="C18" s="1658"/>
      <c r="D18" s="1659"/>
      <c r="E18" s="1660" t="s">
        <v>1143</v>
      </c>
      <c r="F18" s="1661" t="s">
        <v>1144</v>
      </c>
      <c r="G18" s="1662" t="s">
        <v>1145</v>
      </c>
      <c r="H18" s="1040" t="s">
        <v>1146</v>
      </c>
      <c r="I18" s="1663" t="s">
        <v>1147</v>
      </c>
      <c r="J18" s="1138"/>
      <c r="K18" s="1040" t="s">
        <v>1148</v>
      </c>
      <c r="L18" s="1664" t="s">
        <v>1149</v>
      </c>
      <c r="M18" s="854" t="s">
        <v>1150</v>
      </c>
      <c r="N18" s="1040" t="s">
        <v>1148</v>
      </c>
      <c r="O18" s="1664" t="s">
        <v>1149</v>
      </c>
      <c r="P18" s="854" t="s">
        <v>1150</v>
      </c>
      <c r="R18" s="1025" t="s">
        <v>1151</v>
      </c>
      <c r="S18" s="1025" t="s">
        <v>1152</v>
      </c>
    </row>
    <row r="19" spans="1:19">
      <c r="A19" s="1665"/>
      <c r="B19" s="47" t="s">
        <v>1125</v>
      </c>
      <c r="C19" s="3415" t="s">
        <v>3436</v>
      </c>
      <c r="D19" s="45">
        <f>ROUND($D$3*E19/$E$3,2)</f>
        <v>0</v>
      </c>
      <c r="E19" s="53">
        <f t="shared" ref="E19:E26" si="1">SUM(F19:G19)</f>
        <v>89.64</v>
      </c>
      <c r="F19" s="2793">
        <f>'数据-基础表'!I13</f>
        <v>89.64</v>
      </c>
      <c r="G19" s="2794"/>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6"/>
      <c r="O19" s="1667"/>
      <c r="P19" s="1149">
        <f>N19+O19</f>
        <v>0</v>
      </c>
      <c r="R19" s="1025">
        <f t="shared" ref="R19:S26" si="5">D19+H19</f>
        <v>0</v>
      </c>
      <c r="S19" s="1026">
        <f t="shared" si="5"/>
        <v>89.64</v>
      </c>
    </row>
    <row r="20" spans="1:19">
      <c r="A20" s="1668"/>
      <c r="B20" s="47" t="s">
        <v>1153</v>
      </c>
      <c r="C20" s="3415" t="s">
        <v>3440</v>
      </c>
      <c r="D20" s="45">
        <f t="shared" ref="D20:D26" si="6">ROUND($D$3*E20/$E$3,2)</f>
        <v>0</v>
      </c>
      <c r="E20" s="53">
        <f t="shared" si="1"/>
        <v>3553.9699999999993</v>
      </c>
      <c r="F20" s="2793">
        <f>'数据-基础表'!I14</f>
        <v>3553.9699999999993</v>
      </c>
      <c r="G20" s="2794"/>
      <c r="H20" s="669">
        <f t="shared" ref="H20:H26" si="7">ROUND($D$3*I20/$E$3,2)</f>
        <v>0</v>
      </c>
      <c r="I20" s="48">
        <f t="shared" si="2"/>
        <v>0</v>
      </c>
      <c r="J20" s="1138"/>
      <c r="K20" s="1137">
        <f t="shared" si="3"/>
        <v>0</v>
      </c>
      <c r="L20" s="1025">
        <f t="shared" si="4"/>
        <v>0</v>
      </c>
      <c r="M20" s="1149">
        <f t="shared" ref="M20:M26" si="8">K20+L20</f>
        <v>0</v>
      </c>
      <c r="N20" s="1666"/>
      <c r="O20" s="1667"/>
      <c r="P20" s="1149">
        <f t="shared" ref="P20:P26" si="9">N20+O20</f>
        <v>0</v>
      </c>
      <c r="R20" s="1025">
        <f t="shared" si="5"/>
        <v>0</v>
      </c>
      <c r="S20" s="1026">
        <f t="shared" si="5"/>
        <v>3553.9699999999993</v>
      </c>
    </row>
    <row r="21" spans="1:19">
      <c r="A21" s="1668"/>
      <c r="B21" s="47" t="s">
        <v>1153</v>
      </c>
      <c r="C21" s="3415"/>
      <c r="D21" s="45">
        <f t="shared" si="6"/>
        <v>0</v>
      </c>
      <c r="E21" s="53">
        <f t="shared" si="1"/>
        <v>0</v>
      </c>
      <c r="F21" s="2793"/>
      <c r="G21" s="2794"/>
      <c r="H21" s="669">
        <f t="shared" si="7"/>
        <v>0</v>
      </c>
      <c r="I21" s="48">
        <f t="shared" si="2"/>
        <v>0</v>
      </c>
      <c r="J21" s="1138"/>
      <c r="K21" s="1137">
        <f t="shared" si="3"/>
        <v>0</v>
      </c>
      <c r="L21" s="1025">
        <f t="shared" si="4"/>
        <v>0</v>
      </c>
      <c r="M21" s="1149">
        <f t="shared" si="8"/>
        <v>0</v>
      </c>
      <c r="N21" s="1666"/>
      <c r="O21" s="1667"/>
      <c r="P21" s="1149">
        <f t="shared" si="9"/>
        <v>0</v>
      </c>
      <c r="R21" s="1025">
        <f t="shared" si="5"/>
        <v>0</v>
      </c>
      <c r="S21" s="1026">
        <f t="shared" si="5"/>
        <v>0</v>
      </c>
    </row>
    <row r="22" spans="1:19">
      <c r="A22" s="1668"/>
      <c r="B22" s="47" t="s">
        <v>1153</v>
      </c>
      <c r="C22" s="3416"/>
      <c r="D22" s="45">
        <f t="shared" si="6"/>
        <v>0</v>
      </c>
      <c r="E22" s="53">
        <f t="shared" si="1"/>
        <v>0</v>
      </c>
      <c r="F22" s="2795"/>
      <c r="G22" s="2796"/>
      <c r="H22" s="669">
        <f t="shared" si="7"/>
        <v>0</v>
      </c>
      <c r="I22" s="48">
        <f t="shared" si="2"/>
        <v>0</v>
      </c>
      <c r="J22" s="1138"/>
      <c r="K22" s="1137">
        <f t="shared" si="3"/>
        <v>0</v>
      </c>
      <c r="L22" s="1025">
        <f t="shared" si="4"/>
        <v>0</v>
      </c>
      <c r="M22" s="1149">
        <f t="shared" si="8"/>
        <v>0</v>
      </c>
      <c r="N22" s="1666"/>
      <c r="O22" s="1667"/>
      <c r="P22" s="1149">
        <f t="shared" si="9"/>
        <v>0</v>
      </c>
      <c r="R22" s="1025">
        <f t="shared" si="5"/>
        <v>0</v>
      </c>
      <c r="S22" s="1026">
        <f t="shared" si="5"/>
        <v>0</v>
      </c>
    </row>
    <row r="23" spans="1:19">
      <c r="A23" s="1668"/>
      <c r="B23" s="47" t="s">
        <v>1153</v>
      </c>
      <c r="C23" s="3416"/>
      <c r="D23" s="45">
        <f>ROUND($D$3*E23/$E$3,2)</f>
        <v>0</v>
      </c>
      <c r="E23" s="53">
        <f>SUM(F23:G23)</f>
        <v>0</v>
      </c>
      <c r="F23" s="2795"/>
      <c r="G23" s="2796"/>
      <c r="H23" s="669">
        <f>ROUND($D$3*I23/$E$3,2)</f>
        <v>0</v>
      </c>
      <c r="I23" s="48">
        <f t="shared" si="2"/>
        <v>0</v>
      </c>
      <c r="J23" s="1138"/>
      <c r="K23" s="1137">
        <f t="shared" si="3"/>
        <v>0</v>
      </c>
      <c r="L23" s="1025">
        <f t="shared" si="4"/>
        <v>0</v>
      </c>
      <c r="M23" s="1149">
        <f t="shared" si="8"/>
        <v>0</v>
      </c>
      <c r="N23" s="1666"/>
      <c r="O23" s="1667"/>
      <c r="P23" s="1149">
        <f t="shared" si="9"/>
        <v>0</v>
      </c>
      <c r="R23" s="1025">
        <f t="shared" si="5"/>
        <v>0</v>
      </c>
      <c r="S23" s="1026">
        <f t="shared" si="5"/>
        <v>0</v>
      </c>
    </row>
    <row r="24" spans="1:19">
      <c r="A24" s="1668"/>
      <c r="B24" s="47" t="s">
        <v>1153</v>
      </c>
      <c r="C24" s="3416"/>
      <c r="D24" s="45">
        <f>ROUND($D$3*E24/$E$3,2)</f>
        <v>0</v>
      </c>
      <c r="E24" s="53">
        <f>SUM(F24:G24)</f>
        <v>0</v>
      </c>
      <c r="F24" s="2795"/>
      <c r="G24" s="2796"/>
      <c r="H24" s="669">
        <f>ROUND($D$3*I24/$E$3,2)</f>
        <v>0</v>
      </c>
      <c r="I24" s="48">
        <f t="shared" si="2"/>
        <v>0</v>
      </c>
      <c r="J24" s="1138"/>
      <c r="K24" s="1137">
        <f t="shared" si="3"/>
        <v>0</v>
      </c>
      <c r="L24" s="1025">
        <f t="shared" si="4"/>
        <v>0</v>
      </c>
      <c r="M24" s="1149">
        <f t="shared" si="8"/>
        <v>0</v>
      </c>
      <c r="N24" s="1666"/>
      <c r="O24" s="1667"/>
      <c r="P24" s="1149">
        <f t="shared" si="9"/>
        <v>0</v>
      </c>
      <c r="R24" s="1025">
        <f t="shared" si="5"/>
        <v>0</v>
      </c>
      <c r="S24" s="1026">
        <f t="shared" si="5"/>
        <v>0</v>
      </c>
    </row>
    <row r="25" spans="1:19">
      <c r="A25" s="1668"/>
      <c r="B25" s="47" t="s">
        <v>1153</v>
      </c>
      <c r="C25" s="3416"/>
      <c r="D25" s="45">
        <f t="shared" si="6"/>
        <v>0</v>
      </c>
      <c r="E25" s="53">
        <f t="shared" si="1"/>
        <v>0</v>
      </c>
      <c r="F25" s="2795"/>
      <c r="G25" s="2796"/>
      <c r="H25" s="44">
        <f t="shared" si="7"/>
        <v>0</v>
      </c>
      <c r="I25" s="48">
        <f t="shared" si="2"/>
        <v>0</v>
      </c>
      <c r="J25" s="1138"/>
      <c r="K25" s="1137">
        <f t="shared" si="3"/>
        <v>0</v>
      </c>
      <c r="L25" s="1025">
        <f t="shared" si="4"/>
        <v>0</v>
      </c>
      <c r="M25" s="1149">
        <f t="shared" si="8"/>
        <v>0</v>
      </c>
      <c r="N25" s="1666"/>
      <c r="O25" s="1667"/>
      <c r="P25" s="1149">
        <f t="shared" si="9"/>
        <v>0</v>
      </c>
      <c r="R25" s="1025">
        <f t="shared" si="5"/>
        <v>0</v>
      </c>
      <c r="S25" s="1026">
        <f t="shared" si="5"/>
        <v>0</v>
      </c>
    </row>
    <row r="26" spans="1:19">
      <c r="A26" s="1668"/>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69"/>
      <c r="O26" s="1670"/>
      <c r="P26" s="59">
        <f t="shared" si="9"/>
        <v>0</v>
      </c>
      <c r="R26" s="1025">
        <f t="shared" si="5"/>
        <v>0</v>
      </c>
      <c r="S26" s="1026">
        <f t="shared" si="5"/>
        <v>0</v>
      </c>
    </row>
    <row r="27" spans="1:19" ht="15.75" thickBot="1">
      <c r="A27" s="1668"/>
      <c r="B27" s="45"/>
      <c r="C27" s="1671" t="s">
        <v>1154</v>
      </c>
      <c r="D27" s="1139">
        <f>SUM(D19:D26)</f>
        <v>0</v>
      </c>
      <c r="E27" s="1140">
        <f>IF(SUM(E19:E26)='数据-基础表'!BA5,SUM(E19:E26),IF(F27="地上面积有误","面积有误","地下面积有误"))</f>
        <v>3643.6099999999992</v>
      </c>
      <c r="F27" s="1139">
        <f>IF(SUM(F19:F26)=E8,SUM(F19:F26),"地上面积有误")</f>
        <v>3643.6099999999992</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3643.6099999999992</v>
      </c>
    </row>
    <row r="28" spans="1:19">
      <c r="A28" s="1668"/>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4"/>
      <c r="B31" s="1675"/>
      <c r="C31" s="834" t="s">
        <v>1158</v>
      </c>
      <c r="D31" s="675">
        <f>D27+D30</f>
        <v>0</v>
      </c>
      <c r="E31" s="675">
        <f>E27+E30</f>
        <v>3643.6099999999992</v>
      </c>
      <c r="F31" s="676">
        <f>F27+F30</f>
        <v>3643.6099999999992</v>
      </c>
      <c r="G31" s="677">
        <f>G27+G30</f>
        <v>0</v>
      </c>
      <c r="H31" s="2657"/>
      <c r="I31" s="2657"/>
      <c r="J31" s="2657"/>
      <c r="K31" s="2657"/>
      <c r="L31" s="2657"/>
      <c r="M31" s="2657"/>
      <c r="N31" s="2657"/>
      <c r="O31" s="2657"/>
      <c r="P31" s="2657"/>
    </row>
    <row r="32" spans="1:19">
      <c r="A32" s="1641"/>
      <c r="B32" s="1641" t="s">
        <v>1159</v>
      </c>
      <c r="C32" s="1641"/>
      <c r="D32" s="1641"/>
      <c r="E32" s="1052">
        <f>SUMIF(C19:C26,"*住宅*",E19:E26)</f>
        <v>3643.6099999999992</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AE19" sqref="AE19"/>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9.62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8"/>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4">
        <f>项目基本情况!D3</f>
        <v>45581</v>
      </c>
      <c r="C2" s="1682"/>
      <c r="D2" s="1683"/>
      <c r="E2" s="1682"/>
      <c r="F2" s="1682"/>
      <c r="G2" s="1682"/>
      <c r="H2" s="1682"/>
      <c r="I2" s="1682"/>
      <c r="J2" s="1682"/>
      <c r="K2" s="1167"/>
      <c r="L2" s="1167"/>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7"/>
      <c r="L3" s="1167"/>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6" t="s">
        <v>1172</v>
      </c>
      <c r="F5" s="1697" t="s">
        <v>1173</v>
      </c>
      <c r="G5" s="1046" t="s">
        <v>1174</v>
      </c>
      <c r="H5" s="1046" t="s">
        <v>1175</v>
      </c>
      <c r="I5" s="1046" t="s">
        <v>1176</v>
      </c>
      <c r="J5" s="1698" t="s">
        <v>1177</v>
      </c>
      <c r="K5" s="1699" t="s">
        <v>1178</v>
      </c>
      <c r="L5" s="1700" t="s">
        <v>1179</v>
      </c>
      <c r="M5" s="1701" t="s">
        <v>1180</v>
      </c>
      <c r="N5" s="1702" t="s">
        <v>3437</v>
      </c>
      <c r="O5" s="1700" t="s">
        <v>1181</v>
      </c>
      <c r="P5" s="1703" t="s">
        <v>1182</v>
      </c>
      <c r="Q5" s="61" t="s">
        <v>1183</v>
      </c>
      <c r="R5" s="1704" t="s">
        <v>1184</v>
      </c>
      <c r="S5" s="1705" t="s">
        <v>1185</v>
      </c>
      <c r="T5" s="1706" t="s">
        <v>1186</v>
      </c>
      <c r="U5" s="1045" t="s">
        <v>1187</v>
      </c>
      <c r="V5" s="1046" t="s">
        <v>1188</v>
      </c>
      <c r="W5" s="1046" t="s">
        <v>1189</v>
      </c>
      <c r="X5" s="63"/>
      <c r="Y5" s="62" t="s">
        <v>1190</v>
      </c>
      <c r="Z5" s="1707" t="s">
        <v>1187</v>
      </c>
      <c r="AA5" s="1046" t="s">
        <v>1188</v>
      </c>
      <c r="AB5" s="1046" t="s">
        <v>1189</v>
      </c>
      <c r="AC5" s="63"/>
      <c r="AD5" s="63" t="s">
        <v>1190</v>
      </c>
      <c r="AE5" s="1045" t="s">
        <v>1191</v>
      </c>
      <c r="AF5" s="1046" t="s">
        <v>1192</v>
      </c>
      <c r="AG5" s="62" t="s">
        <v>1193</v>
      </c>
      <c r="AH5" s="1045" t="s">
        <v>1194</v>
      </c>
      <c r="AI5" s="1707" t="s">
        <v>1195</v>
      </c>
      <c r="AJ5" s="1707" t="s">
        <v>1196</v>
      </c>
      <c r="AK5" s="1046" t="s">
        <v>1197</v>
      </c>
      <c r="AL5" s="1046" t="s">
        <v>1198</v>
      </c>
      <c r="AM5" s="62" t="s">
        <v>1199</v>
      </c>
      <c r="AN5" s="1708" t="s">
        <v>1200</v>
      </c>
      <c r="AO5" s="1560" t="s">
        <v>1201</v>
      </c>
      <c r="AP5" s="1027"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住宅-1号楼一单元201</v>
      </c>
      <c r="B6" s="1711" t="str">
        <f>IF(A6=0,"","经营性")</f>
        <v>经营性</v>
      </c>
      <c r="C6" s="1712" t="s">
        <v>3395</v>
      </c>
      <c r="D6" s="857">
        <f>SUMIF(项目基本情况!C$12:I$12,C6,项目基本情况!C$14:I$14)</f>
        <v>70</v>
      </c>
      <c r="E6" s="856">
        <f>IF(B6="","",SUMIF(项目基本情况!C$12:I$12,C6,项目基本情况!C$13:I$13))</f>
        <v>68586</v>
      </c>
      <c r="F6" s="64">
        <f>SUMIF(项目基本情况!C$12:I$12,C6,项目基本情况!C$15:I$15)</f>
        <v>63.02</v>
      </c>
      <c r="G6" s="65">
        <f>IF(ISERROR(ROUND(POWER(1+H6,D6-F6)*(POWER(1+H6,F6)-1)/(POWER(1+H6,D6)-1),3)),0,ROUND(POWER(1+H6,D6-F6)*(POWER(1+H6,F6)-1)/(POWER(1+H6,D6)-1),3))</f>
        <v>0.98299999999999998</v>
      </c>
      <c r="H6" s="731">
        <v>4.4999999999999998E-2</v>
      </c>
      <c r="I6" s="731">
        <v>0.05</v>
      </c>
      <c r="J6" s="66">
        <v>7.0000000000000007E-2</v>
      </c>
      <c r="K6" s="1029">
        <f>SUMIF('数据-汇总表'!C$19:C$33,A6,'数据-汇总表'!E$19:E$33)</f>
        <v>89.64</v>
      </c>
      <c r="L6" s="732">
        <v>4500</v>
      </c>
      <c r="M6" s="67">
        <f t="shared" ref="M6:M14" si="0">ROUND(K6*L6/10000,0)</f>
        <v>40</v>
      </c>
      <c r="N6" s="730">
        <f>ROUND(1-(1-0%)*(2024-N19)/60,2)</f>
        <v>0.95</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26">
        <v>2000</v>
      </c>
      <c r="V6" s="70">
        <v>0.01</v>
      </c>
      <c r="W6" s="70">
        <v>0.1</v>
      </c>
      <c r="X6" s="1039"/>
      <c r="Y6" s="71">
        <f>N6</f>
        <v>0.95</v>
      </c>
      <c r="Z6" s="72"/>
      <c r="AA6" s="66"/>
      <c r="AB6" s="66"/>
      <c r="AC6" s="1039"/>
      <c r="AD6" s="73"/>
      <c r="AE6" s="1040">
        <f ca="1">IF(AN6="",0,SUMIF(INDIRECT("'"&amp;AN6&amp;"'"&amp;"!E:E"),$AE$5,INDIRECT("'"&amp;AN6&amp;"'"&amp;"!F:F")))</f>
        <v>63.02</v>
      </c>
      <c r="AF6" s="1346"/>
      <c r="AG6" s="138">
        <f>IF(AF6="",0,AE6-AF6)</f>
        <v>0</v>
      </c>
      <c r="AH6" s="74">
        <v>1</v>
      </c>
      <c r="AI6" s="76">
        <v>12</v>
      </c>
      <c r="AJ6" s="77"/>
      <c r="AK6" s="78">
        <v>5.0000000000000001E-3</v>
      </c>
      <c r="AL6" s="79">
        <v>1E-3</v>
      </c>
      <c r="AM6" s="80">
        <v>0.01</v>
      </c>
      <c r="AN6" s="1713" t="s">
        <v>3903</v>
      </c>
      <c r="AO6" s="52">
        <f ca="1">SUMIF(INDIRECT("'"&amp;AN6&amp;"'"&amp;"!A:A"),"总价",INDIRECT("'"&amp;AN6&amp;"'"&amp;"!B:B"))</f>
        <v>23</v>
      </c>
      <c r="AP6" s="1714">
        <f>IF(C6="住宅",K6*L6,0)</f>
        <v>403380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t="str">
        <f>'数据-汇总表'!C20</f>
        <v>剩余住宅</v>
      </c>
      <c r="B7" s="1711" t="str">
        <f t="shared" ref="B7:B13" si="1">IF(A7=0,"","经营性")</f>
        <v>经营性</v>
      </c>
      <c r="C7" s="1712" t="s">
        <v>3395</v>
      </c>
      <c r="D7" s="857">
        <f>SUMIF(项目基本情况!C$12:I$12,C7,项目基本情况!C$14:I$14)</f>
        <v>70</v>
      </c>
      <c r="E7" s="856">
        <f>IF(B7="","",SUMIF(项目基本情况!C$12:I$12,C7,项目基本情况!C$13:I$13))</f>
        <v>68586</v>
      </c>
      <c r="F7" s="64">
        <f>SUMIF(项目基本情况!C$12:I$12,C7,项目基本情况!C$15:I$15)</f>
        <v>63.02</v>
      </c>
      <c r="G7" s="65">
        <f t="shared" ref="G7:G11" si="2">IF(ISERROR(ROUND(POWER(1+H7,D7-F7)*(POWER(1+H7,F7)-1)/(POWER(1+H7,D7)-1),3)),0,ROUND(POWER(1+H7,D7-F7)*(POWER(1+H7,F7)-1)/(POWER(1+H7,D7)-1),3))</f>
        <v>0</v>
      </c>
      <c r="H7" s="731"/>
      <c r="I7" s="731"/>
      <c r="J7" s="66"/>
      <c r="K7" s="1029">
        <f>SUMIF('数据-汇总表'!C$19:C$33,A7,'数据-汇总表'!E$19:E$33)</f>
        <v>3553.9699999999993</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7"/>
      <c r="V8" s="734"/>
      <c r="W8" s="734"/>
      <c r="X8" s="1039"/>
      <c r="Y8" s="71"/>
      <c r="Z8" s="72"/>
      <c r="AA8" s="66"/>
      <c r="AB8" s="66"/>
      <c r="AC8" s="1039"/>
      <c r="AD8" s="73"/>
      <c r="AE8" s="1040">
        <f t="shared" ca="1" si="6"/>
        <v>0</v>
      </c>
      <c r="AF8" s="1346"/>
      <c r="AG8" s="138">
        <f t="shared" si="7"/>
        <v>0</v>
      </c>
      <c r="AH8" s="735"/>
      <c r="AI8" s="76"/>
      <c r="AJ8" s="77"/>
      <c r="AK8" s="736"/>
      <c r="AL8" s="737"/>
      <c r="AM8" s="738"/>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5"/>
      <c r="AJ14" s="703"/>
      <c r="AK14" s="1041"/>
      <c r="AL14" s="1042"/>
      <c r="AM14" s="1043"/>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5"/>
      <c r="AJ15" s="703"/>
      <c r="AK15" s="1041"/>
      <c r="AL15" s="1042"/>
      <c r="AM15" s="1043"/>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2"/>
      <c r="D16" s="1718"/>
      <c r="E16" s="88"/>
      <c r="F16" s="88"/>
      <c r="G16" s="89">
        <f>ROUND(SUMPRODUCT(G6:G13,K6:K13)/SUMPRODUCT((G6:G13&gt;0)*(K6:K13)),3)</f>
        <v>0.98299999999999998</v>
      </c>
      <c r="H16" s="90">
        <f>ROUND(SUMPRODUCT(H6:H13,K6:K13)/SUMPRODUCT((H6:H13&gt;0)*(K6:K13)),3)</f>
        <v>4.4999999999999998E-2</v>
      </c>
      <c r="I16" s="91"/>
      <c r="J16" s="91"/>
      <c r="K16" s="92">
        <f>SUM(K6:K15)</f>
        <v>3643.6099999999992</v>
      </c>
      <c r="L16" s="93">
        <f>ROUND(M16*10000/SUM(K6:K14),0)</f>
        <v>110</v>
      </c>
      <c r="M16" s="93">
        <f>SUM(M6:M14)</f>
        <v>40</v>
      </c>
      <c r="N16" s="94">
        <f>ROUND(SUMPRODUCT(M6:M14,N6:N14)/M16,3)</f>
        <v>0.95</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f>Q16/B20</f>
        <v>0.1</v>
      </c>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v>0</v>
      </c>
      <c r="C19" s="2797" t="s">
        <v>2302</v>
      </c>
      <c r="D19" s="2674"/>
      <c r="E19" s="2671"/>
      <c r="F19" s="2671"/>
      <c r="G19" s="2671"/>
      <c r="H19" s="2671"/>
      <c r="I19" s="2671"/>
      <c r="J19" s="2671"/>
      <c r="K19" s="2670"/>
      <c r="L19" s="2670"/>
      <c r="M19" s="2669"/>
      <c r="N19" s="2669">
        <v>2021</v>
      </c>
      <c r="O19" s="2669"/>
      <c r="P19" s="2669"/>
      <c r="Q19" s="2669"/>
      <c r="R19" s="2669"/>
      <c r="S19" s="2669"/>
      <c r="T19" s="3450" t="s">
        <v>3441</v>
      </c>
      <c r="U19" s="2669">
        <v>1279200</v>
      </c>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2300</v>
      </c>
      <c r="D20" s="2674"/>
      <c r="E20" s="2671"/>
      <c r="F20" s="2671"/>
      <c r="G20" s="2671"/>
      <c r="H20" s="2671"/>
      <c r="I20" s="2671"/>
      <c r="J20" s="2671"/>
      <c r="K20" s="2670"/>
      <c r="L20" s="2670"/>
      <c r="M20" s="2669"/>
      <c r="N20" s="2669"/>
      <c r="O20" s="2669"/>
      <c r="P20" s="2669"/>
      <c r="Q20" s="2669"/>
      <c r="R20" s="2669"/>
      <c r="S20" s="2669"/>
      <c r="T20" s="3450" t="s">
        <v>3904</v>
      </c>
      <c r="U20" s="2669">
        <v>2600</v>
      </c>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100</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7.75">
      <c r="A28" s="1727" t="s">
        <v>1221</v>
      </c>
      <c r="B28" s="110">
        <v>150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8.5" thickBot="1">
      <c r="A29" s="1728" t="s">
        <v>1222</v>
      </c>
      <c r="B29" s="112">
        <f ca="1">'成本法 (元)'!C9/10000</f>
        <v>0.89639999999999997</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7">
      <c r="A30" s="1729" t="s">
        <v>1223</v>
      </c>
      <c r="B30" s="670">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7.75" thickBot="1">
      <c r="A32" s="1730" t="s">
        <v>1225</v>
      </c>
      <c r="B32" s="671"/>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25">
      <c r="A33" s="1725" t="s">
        <v>1226</v>
      </c>
      <c r="B33" s="672">
        <v>0.05</v>
      </c>
      <c r="C33" s="2801" t="s">
        <v>3380</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25">
      <c r="A34" s="1727" t="s">
        <v>1227</v>
      </c>
      <c r="B34" s="113">
        <v>0.08</v>
      </c>
      <c r="C34" s="2801" t="s">
        <v>2294</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25">
      <c r="A35" s="1727" t="s">
        <v>1228</v>
      </c>
      <c r="B35" s="110">
        <v>200</v>
      </c>
      <c r="C35" s="2801" t="s">
        <v>2295</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1229</v>
      </c>
      <c r="B36" s="114">
        <v>0.02</v>
      </c>
      <c r="C36" s="2801" t="s">
        <v>3381</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2311</v>
      </c>
      <c r="B40" s="1077">
        <f ca="1">IF(A40="利息：取LPR",存贷款利率!G1,存贷款利率!G1+C40)</f>
        <v>3.3500000000000002E-2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29</v>
      </c>
      <c r="C53" s="2659" t="s">
        <v>1246</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2"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2"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2"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2"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2"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4"/>
  </cols>
  <sheetData>
    <row r="1" spans="1:29" s="2455" customFormat="1" ht="18.75" thickBot="1">
      <c r="A1" s="3562" t="s">
        <v>2285</v>
      </c>
      <c r="B1" s="3563"/>
      <c r="C1" s="3563"/>
      <c r="D1" s="3563"/>
      <c r="E1" s="3563"/>
      <c r="F1" s="3563"/>
      <c r="G1" s="356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8"/>
      <c r="I2" s="798"/>
      <c r="J2" s="798"/>
      <c r="K2" s="798"/>
      <c r="L2" s="798"/>
      <c r="M2" s="798"/>
      <c r="N2" s="798"/>
      <c r="O2" s="798"/>
      <c r="P2" s="798"/>
      <c r="Q2" s="798"/>
      <c r="R2" s="798"/>
    </row>
    <row r="3" spans="1:29" ht="48">
      <c r="A3" s="2439" t="s">
        <v>2282</v>
      </c>
      <c r="B3" s="2461" t="s">
        <v>2251</v>
      </c>
      <c r="C3" s="2462" t="s">
        <v>2283</v>
      </c>
      <c r="D3" s="2463"/>
      <c r="E3" s="2440" t="s">
        <v>2282</v>
      </c>
      <c r="F3" s="2464" t="s">
        <v>2252</v>
      </c>
      <c r="G3" s="2465" t="s">
        <v>2284</v>
      </c>
      <c r="H3" s="798"/>
      <c r="I3" s="798"/>
      <c r="J3" s="798"/>
      <c r="K3" s="798"/>
      <c r="L3" s="798"/>
      <c r="M3" s="798"/>
      <c r="N3" s="798"/>
      <c r="O3" s="798"/>
      <c r="P3" s="798"/>
      <c r="Q3" s="798"/>
      <c r="R3" s="798"/>
    </row>
    <row r="4" spans="1:29" ht="36.75">
      <c r="A4" s="2440"/>
      <c r="B4" s="323" t="s">
        <v>2253</v>
      </c>
      <c r="C4" s="2466" t="s">
        <v>2254</v>
      </c>
      <c r="D4" s="2463"/>
      <c r="E4" s="2467"/>
      <c r="F4" s="1371" t="s">
        <v>2255</v>
      </c>
      <c r="G4" s="2468" t="s">
        <v>2256</v>
      </c>
      <c r="H4" s="798"/>
      <c r="I4" s="798"/>
      <c r="J4" s="798"/>
      <c r="K4" s="798"/>
      <c r="L4" s="798"/>
      <c r="M4" s="798"/>
      <c r="N4" s="798"/>
      <c r="O4" s="798"/>
      <c r="P4" s="798"/>
      <c r="Q4" s="798"/>
      <c r="R4" s="798"/>
    </row>
    <row r="5" spans="1:29" ht="36.75">
      <c r="A5" s="2440"/>
      <c r="B5" s="323" t="s">
        <v>2257</v>
      </c>
      <c r="C5" s="2466" t="s">
        <v>2258</v>
      </c>
      <c r="D5" s="2463"/>
      <c r="E5" s="2467"/>
      <c r="F5" s="323" t="s">
        <v>2259</v>
      </c>
      <c r="G5" s="2468" t="s">
        <v>2260</v>
      </c>
      <c r="H5" s="798"/>
      <c r="I5" s="798"/>
      <c r="J5" s="798"/>
      <c r="K5" s="798"/>
      <c r="L5" s="798"/>
      <c r="M5" s="798"/>
      <c r="N5" s="798"/>
      <c r="O5" s="798"/>
      <c r="P5" s="798"/>
      <c r="Q5" s="798"/>
      <c r="R5" s="798"/>
    </row>
    <row r="6" spans="1:29" ht="36">
      <c r="A6" s="2440"/>
      <c r="B6" s="323" t="s">
        <v>2261</v>
      </c>
      <c r="C6" s="2468" t="s">
        <v>2256</v>
      </c>
      <c r="D6" s="2463"/>
      <c r="E6" s="2467"/>
      <c r="F6" s="323" t="s">
        <v>2262</v>
      </c>
      <c r="G6" s="2468" t="s">
        <v>2263</v>
      </c>
      <c r="H6" s="798"/>
      <c r="I6" s="798"/>
      <c r="J6" s="798"/>
      <c r="K6" s="798"/>
      <c r="L6" s="798"/>
      <c r="M6" s="798"/>
      <c r="N6" s="798"/>
      <c r="O6" s="798"/>
      <c r="P6" s="798"/>
      <c r="Q6" s="798"/>
      <c r="R6" s="798"/>
    </row>
    <row r="7" spans="1:29" ht="24.75" thickBot="1">
      <c r="A7" s="2440"/>
      <c r="B7" s="323" t="s">
        <v>2259</v>
      </c>
      <c r="C7" s="2468" t="s">
        <v>2260</v>
      </c>
      <c r="D7" s="2469"/>
      <c r="E7" s="2470"/>
      <c r="F7" s="2471" t="s">
        <v>2264</v>
      </c>
      <c r="G7" s="2472" t="s">
        <v>2265</v>
      </c>
      <c r="H7" s="798"/>
      <c r="I7" s="798"/>
      <c r="J7" s="798"/>
      <c r="K7" s="798"/>
      <c r="L7" s="798"/>
      <c r="M7" s="798"/>
      <c r="N7" s="798"/>
      <c r="O7" s="798"/>
      <c r="P7" s="798"/>
      <c r="Q7" s="798"/>
      <c r="R7" s="798"/>
    </row>
    <row r="8" spans="1:29">
      <c r="A8" s="2440"/>
      <c r="B8" s="323" t="s">
        <v>2262</v>
      </c>
      <c r="C8" s="2468" t="s">
        <v>2263</v>
      </c>
      <c r="D8" s="2469"/>
      <c r="E8" s="2469"/>
      <c r="F8" s="2473"/>
      <c r="G8" s="2473"/>
      <c r="H8" s="798"/>
      <c r="I8" s="798"/>
      <c r="J8" s="798"/>
      <c r="K8" s="798"/>
      <c r="L8" s="798"/>
      <c r="M8" s="798"/>
      <c r="N8" s="798"/>
      <c r="O8" s="798"/>
      <c r="P8" s="798"/>
      <c r="Q8" s="798"/>
      <c r="R8" s="798"/>
    </row>
    <row r="9" spans="1:29" ht="24">
      <c r="A9" s="2440"/>
      <c r="B9" s="323" t="s">
        <v>2266</v>
      </c>
      <c r="C9" s="2466" t="s">
        <v>2267</v>
      </c>
      <c r="D9" s="2463"/>
      <c r="E9" s="2469"/>
      <c r="F9" s="2473"/>
      <c r="G9" s="2473"/>
      <c r="H9" s="798"/>
      <c r="I9" s="798"/>
      <c r="J9" s="798"/>
      <c r="K9" s="798"/>
      <c r="L9" s="798"/>
      <c r="M9" s="798"/>
      <c r="N9" s="798"/>
      <c r="O9" s="798"/>
      <c r="P9" s="798"/>
      <c r="Q9" s="798"/>
      <c r="R9" s="798"/>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8"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8"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3" zoomScaleNormal="80" zoomScaleSheetLayoutView="100" workbookViewId="0">
      <selection activeCell="H5" sqref="H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3643.6099999999992</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45581</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8297</v>
      </c>
      <c r="C5" s="2510">
        <f ca="1">IF(B5=D14,结果表!H102,ROUND(B5*10000/$B$1,0))</f>
        <v>0</v>
      </c>
      <c r="D5" s="2510" t="e">
        <f ca="1">ROUND(B5*10000/$B$2,0)</f>
        <v>#DIV/0!</v>
      </c>
      <c r="E5" s="2684"/>
      <c r="F5" s="2685"/>
      <c r="G5" s="2685"/>
      <c r="H5" s="2686"/>
      <c r="I5" s="2686"/>
      <c r="J5" s="2686"/>
      <c r="K5" s="2686"/>
    </row>
    <row r="6" spans="1:11" ht="16.5">
      <c r="A6" s="2510" t="s">
        <v>656</v>
      </c>
      <c r="B6" s="2510">
        <f ca="1">SUM(G14:G23)</f>
        <v>8297</v>
      </c>
      <c r="C6" s="2510">
        <f ca="1">IF(B6=G14,结果表!H108,ROUND(B6*10000/$B$1,0))</f>
        <v>0</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3356</v>
      </c>
      <c r="D10" s="2510" t="s">
        <v>3357</v>
      </c>
      <c r="E10" s="3439"/>
      <c r="F10" s="3443" t="s">
        <v>3358</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典型户型修正!B22</f>
        <v>3643.6099999999992</v>
      </c>
      <c r="C14" s="2516"/>
      <c r="D14" s="2516">
        <f ca="1">典型户型修正!B20</f>
        <v>8297</v>
      </c>
      <c r="E14" s="2516">
        <f ca="1">ROUND(D14*10000/B14,0)</f>
        <v>22771</v>
      </c>
      <c r="F14" s="2516" t="e">
        <f ca="1">ROUND(D14*10000/C14,0)</f>
        <v>#DIV/0!</v>
      </c>
      <c r="G14" s="2516">
        <f ca="1">D14</f>
        <v>8297</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M27" sqref="M27"/>
    </sheetView>
  </sheetViews>
  <sheetFormatPr defaultColWidth="12.625" defaultRowHeight="21.75" customHeight="1"/>
  <cols>
    <col min="1" max="2" width="12.625" style="1751"/>
    <col min="3" max="4" width="12.625" style="1751" customWidth="1"/>
    <col min="5" max="9" width="12.625" style="1751"/>
    <col min="10" max="11" width="12.625" style="724" customWidth="1"/>
    <col min="12" max="12" width="12.625" style="724"/>
    <col min="13" max="13" width="14.125" style="724" bestFit="1" customWidth="1"/>
    <col min="14" max="26" width="12.625" style="724"/>
    <col min="27" max="35" width="12.625" style="1750"/>
    <col min="36" max="16384" width="12.625" style="1751"/>
  </cols>
  <sheetData>
    <row r="1" spans="1:12" ht="21.75" customHeight="1" thickBot="1">
      <c r="A1" s="1635" t="s">
        <v>1262</v>
      </c>
      <c r="B1" s="1745"/>
      <c r="C1" s="1746" t="s">
        <v>3435</v>
      </c>
      <c r="D1" s="1745"/>
      <c r="E1" s="1745"/>
      <c r="F1" s="1747" t="s">
        <v>1263</v>
      </c>
      <c r="G1" s="1559"/>
      <c r="H1" s="1748" t="str">
        <f>IF(G1="现房","——","估价对象范围")</f>
        <v>估价对象范围</v>
      </c>
      <c r="I1" s="1749"/>
    </row>
    <row r="2" spans="1:12" ht="21.75" customHeight="1" thickBot="1">
      <c r="A2" s="3598" t="str">
        <f>项目基本情况!S2</f>
        <v>北京市延庆区世园村中路1号院1-4号楼共41套住宅用房房地产</v>
      </c>
      <c r="B2" s="3599"/>
      <c r="C2" s="3599"/>
      <c r="D2" s="3599"/>
      <c r="E2" s="3599"/>
      <c r="F2" s="3599"/>
      <c r="G2" s="3599"/>
      <c r="H2" s="3599"/>
      <c r="I2" s="3600"/>
    </row>
    <row r="3" spans="1:12" ht="12.75">
      <c r="A3" s="3602" t="s">
        <v>1264</v>
      </c>
      <c r="B3" s="3603"/>
      <c r="C3" s="3603"/>
      <c r="D3" s="3603"/>
      <c r="E3" s="3603"/>
      <c r="F3" s="3603"/>
      <c r="G3" s="3603"/>
      <c r="H3" s="3603"/>
      <c r="I3" s="3603"/>
    </row>
    <row r="4" spans="1:12" ht="14.25">
      <c r="A4" s="1752" t="s">
        <v>1265</v>
      </c>
      <c r="B4" s="1753" t="s">
        <v>1266</v>
      </c>
      <c r="C4" s="1754" t="s">
        <v>3496</v>
      </c>
      <c r="D4" s="1754" t="s">
        <v>3497</v>
      </c>
      <c r="E4" s="3604" t="s">
        <v>1267</v>
      </c>
      <c r="F4" s="3605"/>
      <c r="G4" s="3605"/>
      <c r="H4" s="3605"/>
      <c r="I4" s="360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78" t="s">
        <v>1268</v>
      </c>
      <c r="B5" s="3565">
        <v>25</v>
      </c>
      <c r="C5" s="3581"/>
      <c r="D5" s="3601"/>
      <c r="E5" s="131" t="s">
        <v>1269</v>
      </c>
      <c r="F5" s="1755"/>
      <c r="G5" s="1755"/>
      <c r="H5" s="1755"/>
      <c r="I5" s="1371"/>
    </row>
    <row r="6" spans="1:12" ht="12.75">
      <c r="A6" s="3578"/>
      <c r="B6" s="3565"/>
      <c r="C6" s="3582"/>
      <c r="D6" s="3601"/>
      <c r="E6" s="131" t="s">
        <v>1270</v>
      </c>
      <c r="F6" s="1755"/>
      <c r="G6" s="1755"/>
      <c r="H6" s="1755"/>
      <c r="I6" s="1371"/>
    </row>
    <row r="7" spans="1:12" ht="12.75">
      <c r="A7" s="3578"/>
      <c r="B7" s="3565"/>
      <c r="C7" s="3583"/>
      <c r="D7" s="3601"/>
      <c r="E7" s="131" t="s">
        <v>1271</v>
      </c>
      <c r="F7" s="1755"/>
      <c r="G7" s="1755"/>
      <c r="H7" s="1755"/>
      <c r="I7" s="1371"/>
    </row>
    <row r="8" spans="1:12" ht="12.75">
      <c r="A8" s="3578" t="s">
        <v>1272</v>
      </c>
      <c r="B8" s="3565">
        <v>15</v>
      </c>
      <c r="C8" s="3581"/>
      <c r="D8" s="3601"/>
      <c r="E8" s="131" t="s">
        <v>1273</v>
      </c>
      <c r="F8" s="1755"/>
      <c r="G8" s="1755"/>
      <c r="H8" s="1755"/>
      <c r="I8" s="1371"/>
    </row>
    <row r="9" spans="1:12" ht="12.75">
      <c r="A9" s="3578"/>
      <c r="B9" s="3565"/>
      <c r="C9" s="3583"/>
      <c r="D9" s="3601"/>
      <c r="E9" s="131" t="s">
        <v>1274</v>
      </c>
      <c r="F9" s="1755"/>
      <c r="G9" s="1755"/>
      <c r="H9" s="1755"/>
      <c r="I9" s="1371"/>
    </row>
    <row r="10" spans="1:12" ht="12.75">
      <c r="A10" s="3578" t="s">
        <v>1275</v>
      </c>
      <c r="B10" s="3565">
        <v>15</v>
      </c>
      <c r="C10" s="3581"/>
      <c r="D10" s="3601"/>
      <c r="E10" s="131" t="s">
        <v>1276</v>
      </c>
      <c r="F10" s="1755"/>
      <c r="G10" s="1755"/>
      <c r="H10" s="1755"/>
      <c r="I10" s="1371"/>
    </row>
    <row r="11" spans="1:12" ht="12.75">
      <c r="A11" s="3578"/>
      <c r="B11" s="3565"/>
      <c r="C11" s="3583"/>
      <c r="D11" s="3601"/>
      <c r="E11" s="131" t="s">
        <v>1277</v>
      </c>
      <c r="F11" s="1755"/>
      <c r="G11" s="1755"/>
      <c r="H11" s="1755"/>
      <c r="I11" s="1371"/>
    </row>
    <row r="12" spans="1:12" ht="12.75">
      <c r="A12" s="3578" t="s">
        <v>1278</v>
      </c>
      <c r="B12" s="3565">
        <v>15</v>
      </c>
      <c r="C12" s="3581"/>
      <c r="D12" s="3601"/>
      <c r="E12" s="131" t="s">
        <v>1279</v>
      </c>
      <c r="F12" s="1755"/>
      <c r="G12" s="1755"/>
      <c r="H12" s="1755"/>
      <c r="I12" s="1371"/>
    </row>
    <row r="13" spans="1:12" ht="12.75">
      <c r="A13" s="3578"/>
      <c r="B13" s="3565"/>
      <c r="C13" s="3583"/>
      <c r="D13" s="3601"/>
      <c r="E13" s="131" t="s">
        <v>1280</v>
      </c>
      <c r="F13" s="1755"/>
      <c r="G13" s="1755"/>
      <c r="H13" s="1755"/>
      <c r="I13" s="1371"/>
    </row>
    <row r="14" spans="1:12" ht="12.75">
      <c r="A14" s="3578" t="s">
        <v>1281</v>
      </c>
      <c r="B14" s="3565">
        <v>30</v>
      </c>
      <c r="C14" s="3581">
        <v>5</v>
      </c>
      <c r="D14" s="3601">
        <v>5</v>
      </c>
      <c r="E14" s="131" t="s">
        <v>1282</v>
      </c>
      <c r="F14" s="1755"/>
      <c r="G14" s="1755"/>
      <c r="H14" s="1755"/>
      <c r="I14" s="1371"/>
    </row>
    <row r="15" spans="1:12" ht="12.75">
      <c r="A15" s="3578"/>
      <c r="B15" s="3565"/>
      <c r="C15" s="3582"/>
      <c r="D15" s="3601"/>
      <c r="E15" s="131" t="s">
        <v>1283</v>
      </c>
      <c r="F15" s="1755"/>
      <c r="G15" s="1755"/>
      <c r="H15" s="1755"/>
      <c r="I15" s="1371"/>
    </row>
    <row r="16" spans="1:12" ht="12.75">
      <c r="A16" s="3578"/>
      <c r="B16" s="3565"/>
      <c r="C16" s="3583"/>
      <c r="D16" s="3601"/>
      <c r="E16" s="131" t="s">
        <v>1284</v>
      </c>
      <c r="F16" s="1755"/>
      <c r="G16" s="1755"/>
      <c r="H16" s="1755"/>
      <c r="I16" s="1371"/>
    </row>
    <row r="17" spans="1:36" ht="15">
      <c r="A17" s="1756" t="s">
        <v>1285</v>
      </c>
      <c r="B17" s="56"/>
      <c r="C17" s="132">
        <f>SUM(C5:C16)</f>
        <v>5</v>
      </c>
      <c r="D17" s="132">
        <f>SUM(D5:D16)</f>
        <v>5</v>
      </c>
      <c r="E17" s="129"/>
      <c r="F17" s="129"/>
      <c r="G17" s="129"/>
      <c r="H17" s="129"/>
      <c r="I17" s="129"/>
      <c r="K17" s="302"/>
      <c r="L17" s="302" t="s">
        <v>1286</v>
      </c>
      <c r="M17" s="302" t="s">
        <v>1287</v>
      </c>
    </row>
    <row r="18" spans="1:36" ht="31.9" customHeight="1" thickBot="1">
      <c r="A18" s="1757" t="s">
        <v>1288</v>
      </c>
      <c r="B18" s="1758"/>
      <c r="C18" s="133">
        <f>ROUND(C17/SUM(C17:D17),2)</f>
        <v>0.5</v>
      </c>
      <c r="D18" s="133">
        <f>1-C18</f>
        <v>0.5</v>
      </c>
      <c r="E18" s="3588" t="s">
        <v>2130</v>
      </c>
      <c r="F18" s="3589"/>
      <c r="G18" s="3589"/>
      <c r="H18" s="3589"/>
      <c r="I18" s="3589"/>
      <c r="K18" s="302" t="s">
        <v>1289</v>
      </c>
      <c r="L18" s="302">
        <f>IF(C1="",'数据-汇总表'!E3,SUMIF(项目类型,C1,'数据-汇总表'!E17:E26)+SUMIF(项目类型,C1,'数据-汇总表'!I17:I26))</f>
        <v>89.64</v>
      </c>
      <c r="M18" s="302">
        <f>IF(C1="",'数据-汇总表'!E3,SUMIF(项目类型,C1,'数据-汇总表'!E17:E26))</f>
        <v>89.64</v>
      </c>
    </row>
    <row r="19" spans="1:36" ht="15">
      <c r="A19" s="1759" t="s">
        <v>1290</v>
      </c>
      <c r="B19" s="1760" t="s">
        <v>1291</v>
      </c>
      <c r="C19" s="134">
        <f ca="1">SUMIF(INDIRECT("'"&amp;C4&amp;"'"&amp;"!A:A"),结果表!B19,INDIRECT("'"&amp;C4&amp;"'"&amp;"!B:B"))</f>
        <v>208.71019999999999</v>
      </c>
      <c r="D19" s="135">
        <f ca="1">SUMIF(INDIRECT("'"&amp;D4&amp;"'"&amp;"!A:A"),结果表!B19,INDIRECT("'"&amp;D4&amp;"'"&amp;"!B:B"))</f>
        <v>196.18610000000001</v>
      </c>
      <c r="E19" s="1759" t="s">
        <v>1292</v>
      </c>
      <c r="F19" s="1760" t="s">
        <v>1291</v>
      </c>
      <c r="G19" s="136">
        <f ca="1">ROUND(C19*$C$18+D19*$D$18,0)</f>
        <v>202</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5" t="s">
        <v>1295</v>
      </c>
      <c r="C20" s="137">
        <f ca="1">SUMIF(INDIRECT("'"&amp;C4&amp;"'"&amp;"!A:A"),结果表!B20,INDIRECT("'"&amp;C4&amp;"'"&amp;"!B:B"))</f>
        <v>23283</v>
      </c>
      <c r="D20" s="138">
        <f ca="1">SUMIF(INDIRECT("'"&amp;D4&amp;"'"&amp;"!A:A"),结果表!B20,INDIRECT("'"&amp;D4&amp;"'"&amp;"!B:B"))</f>
        <v>21886</v>
      </c>
      <c r="E20" s="1762"/>
      <c r="F20" s="1025" t="s">
        <v>1295</v>
      </c>
      <c r="G20" s="139">
        <f ca="1">ROUND(C20*$C$18+D20*$D$18,0)</f>
        <v>22585</v>
      </c>
      <c r="H20" s="807" t="s">
        <v>1296</v>
      </c>
      <c r="I20" s="129"/>
    </row>
    <row r="21" spans="1:36" ht="15" customHeight="1" thickBot="1">
      <c r="A21" s="827"/>
      <c r="B21" s="1763" t="s">
        <v>1297</v>
      </c>
      <c r="C21" s="718" t="e">
        <f ca="1">ROUND(C19*10000/L19,0)</f>
        <v>#DIV/0!</v>
      </c>
      <c r="D21" s="719" t="e">
        <f ca="1">ROUND(D19*10000/L19,0)</f>
        <v>#DIV/0!</v>
      </c>
      <c r="E21" s="827"/>
      <c r="F21" s="1763" t="s">
        <v>1297</v>
      </c>
      <c r="G21" s="140" t="e">
        <f ca="1">ROUND(G19*10000/L19,0)</f>
        <v>#DIV/0!</v>
      </c>
      <c r="H21" s="1764" t="s">
        <v>1296</v>
      </c>
      <c r="I21" s="129"/>
    </row>
    <row r="22" spans="1:36" ht="15" thickBot="1">
      <c r="A22" s="1686" t="s">
        <v>1298</v>
      </c>
      <c r="B22" s="1765"/>
      <c r="C22" s="1766"/>
      <c r="D22" s="720">
        <f ca="1">IF(C19&lt;D19,D19/C19-1,C19/D19-1)</f>
        <v>6.3837855994894444E-2</v>
      </c>
      <c r="E22" s="129"/>
      <c r="F22" s="129"/>
      <c r="G22" s="129"/>
      <c r="H22" s="129"/>
      <c r="I22" s="129"/>
    </row>
    <row r="23" spans="1:36" ht="13.5" thickBot="1">
      <c r="A23" s="1745"/>
      <c r="B23" s="1745"/>
      <c r="C23" s="1745"/>
      <c r="D23" s="1745"/>
      <c r="E23" s="129"/>
      <c r="F23" s="129"/>
      <c r="G23" s="129"/>
      <c r="H23" s="129"/>
      <c r="I23" s="129"/>
    </row>
    <row r="24" spans="1:36" ht="14.25">
      <c r="A24" s="3572" t="s">
        <v>1299</v>
      </c>
      <c r="B24" s="1760" t="s">
        <v>1291</v>
      </c>
      <c r="C24" s="136">
        <f>IF(B30=0,0,D30)</f>
        <v>0</v>
      </c>
      <c r="D24" s="1767"/>
      <c r="E24" s="129"/>
      <c r="F24" s="129"/>
      <c r="G24" s="129"/>
      <c r="H24" s="129"/>
      <c r="I24" s="129"/>
    </row>
    <row r="25" spans="1:36" ht="14.25">
      <c r="A25" s="3573"/>
      <c r="B25" s="1025"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22585</v>
      </c>
      <c r="D32" s="1773"/>
      <c r="E32" s="129"/>
      <c r="F32" s="129"/>
      <c r="G32" s="129"/>
      <c r="H32" s="129"/>
      <c r="I32" s="129"/>
    </row>
    <row r="33" spans="1:15" ht="15">
      <c r="A33" s="785" t="s">
        <v>1306</v>
      </c>
      <c r="B33" s="1774"/>
      <c r="C33" s="1775"/>
      <c r="D33" s="1776"/>
      <c r="E33" s="1777" t="s">
        <v>1307</v>
      </c>
      <c r="F33" s="1778" t="str">
        <f>IF(D32="楼面单价","取值（单价）","取值（总价）")</f>
        <v>取值（总价）</v>
      </c>
      <c r="G33" s="129"/>
      <c r="H33" s="129"/>
      <c r="I33" s="129"/>
    </row>
    <row r="34" spans="1:15" ht="15">
      <c r="A34" s="1779"/>
      <c r="B34" s="1780" t="s">
        <v>1308</v>
      </c>
      <c r="C34" s="148" t="e">
        <f ca="1">IF(C33="自定义",F34,C32-C35)</f>
        <v>#REF!</v>
      </c>
      <c r="D34" s="860"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592" t="s">
        <v>1312</v>
      </c>
      <c r="B36" s="1785" t="s">
        <v>1313</v>
      </c>
      <c r="C36" s="145"/>
      <c r="D36" s="1786"/>
      <c r="E36" s="1787"/>
      <c r="F36" s="1788"/>
      <c r="G36" s="129"/>
      <c r="H36" s="129"/>
      <c r="I36" s="129"/>
    </row>
    <row r="37" spans="1:15" ht="15.75" thickBot="1">
      <c r="A37" s="3593"/>
      <c r="B37" s="1672" t="s">
        <v>1314</v>
      </c>
      <c r="C37" s="147"/>
      <c r="D37" s="1138"/>
      <c r="E37" s="1138"/>
      <c r="F37" s="1788"/>
      <c r="G37" s="129"/>
      <c r="H37" s="129"/>
      <c r="I37" s="129"/>
    </row>
    <row r="38" spans="1:15" ht="15.75" thickBot="1">
      <c r="A38" s="3594"/>
      <c r="B38" s="1789" t="s">
        <v>1315</v>
      </c>
      <c r="C38" s="673"/>
      <c r="D38" s="1790" t="s">
        <v>1316</v>
      </c>
      <c r="E38" s="1138"/>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69" t="s">
        <v>1326</v>
      </c>
      <c r="B45" s="3570"/>
      <c r="C45" s="3571"/>
      <c r="D45" s="155" t="e">
        <f ca="1">ROUND(H101*F45,0)</f>
        <v>#REF!</v>
      </c>
      <c r="E45" s="156" t="s">
        <v>1327</v>
      </c>
      <c r="F45" s="157">
        <v>1</v>
      </c>
      <c r="G45" s="158" t="s">
        <v>1328</v>
      </c>
      <c r="H45" s="129"/>
      <c r="I45" s="129"/>
      <c r="J45" s="3647" t="s">
        <v>1329</v>
      </c>
      <c r="K45" s="3647"/>
      <c r="L45" s="3647"/>
      <c r="M45" s="3647"/>
      <c r="N45" s="3647"/>
      <c r="O45" s="3647"/>
    </row>
    <row r="46" spans="1:15" ht="14.25" customHeight="1">
      <c r="A46" s="3566" t="s">
        <v>1330</v>
      </c>
      <c r="B46" s="3567"/>
      <c r="C46" s="3567"/>
      <c r="D46" s="3567"/>
      <c r="E46" s="3567"/>
      <c r="F46" s="3567"/>
      <c r="G46" s="3568"/>
      <c r="H46" s="1804"/>
      <c r="I46" s="159"/>
      <c r="J46" s="2521">
        <v>1</v>
      </c>
      <c r="K46" s="3628" t="s">
        <v>1331</v>
      </c>
      <c r="L46" s="3628"/>
      <c r="M46" s="3648"/>
      <c r="N46" s="3648"/>
      <c r="O46" s="3648"/>
    </row>
    <row r="47" spans="1:15" ht="12" customHeight="1">
      <c r="A47" s="160" t="s">
        <v>1332</v>
      </c>
      <c r="B47" s="161"/>
      <c r="C47" s="162"/>
      <c r="D47" s="1086" t="s">
        <v>1333</v>
      </c>
      <c r="E47" s="302" t="s">
        <v>1334</v>
      </c>
      <c r="F47" s="163" t="s">
        <v>1335</v>
      </c>
      <c r="G47" s="2544" t="s">
        <v>1336</v>
      </c>
      <c r="H47" s="2545"/>
      <c r="I47" s="159"/>
      <c r="J47" s="2521">
        <v>2</v>
      </c>
      <c r="K47" s="3628" t="s">
        <v>1337</v>
      </c>
      <c r="L47" s="3628"/>
      <c r="M47" s="3649">
        <f>'数据-取费表'!B2</f>
        <v>45581</v>
      </c>
      <c r="N47" s="3649"/>
      <c r="O47" s="3649"/>
    </row>
    <row r="48" spans="1:15" ht="25.5">
      <c r="A48" s="3597" t="s">
        <v>1338</v>
      </c>
      <c r="B48" s="3580"/>
      <c r="C48" s="3580"/>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28" t="s">
        <v>1340</v>
      </c>
      <c r="L48" s="3628"/>
      <c r="M48" s="3650" t="e">
        <f ca="1">H101</f>
        <v>#REF!</v>
      </c>
      <c r="N48" s="3650"/>
      <c r="O48" s="3650"/>
    </row>
    <row r="49" spans="1:35" ht="25.5" customHeight="1">
      <c r="A49" s="2331" t="s">
        <v>1341</v>
      </c>
      <c r="B49" s="3564" t="s">
        <v>1342</v>
      </c>
      <c r="C49" s="3564"/>
      <c r="D49" s="1588">
        <v>0</v>
      </c>
      <c r="E49" s="324" t="s">
        <v>1343</v>
      </c>
      <c r="F49" s="2422" t="s">
        <v>28</v>
      </c>
      <c r="G49" s="3634"/>
      <c r="H49" s="2308" t="s">
        <v>2133</v>
      </c>
      <c r="I49" s="2309"/>
      <c r="J49" s="2521">
        <v>4</v>
      </c>
      <c r="K49" s="3628" t="str">
        <f>IF(项目基本情况!E8="房地产抵押价值","房地产抵押价值","抵押担保权已注销时的房地产抵押价值")</f>
        <v>房地产抵押价值</v>
      </c>
      <c r="L49" s="3628"/>
      <c r="M49" s="3650" t="str">
        <f ca="1">IF(项目基本情况!E8="房地产抵押价值",H107,H109)</f>
        <v>——</v>
      </c>
      <c r="N49" s="3650"/>
      <c r="O49" s="3650"/>
    </row>
    <row r="50" spans="1:35" ht="25.5" customHeight="1">
      <c r="A50" s="2549"/>
      <c r="B50" s="3564" t="s">
        <v>1344</v>
      </c>
      <c r="C50" s="3564"/>
      <c r="D50" s="2550"/>
      <c r="E50" s="332"/>
      <c r="F50" s="2422"/>
      <c r="G50" s="3635"/>
      <c r="H50" s="2310" t="s">
        <v>2134</v>
      </c>
      <c r="I50" s="2309"/>
      <c r="J50" s="3647" t="s">
        <v>1345</v>
      </c>
      <c r="K50" s="3647"/>
      <c r="L50" s="3647"/>
      <c r="M50" s="3647"/>
      <c r="N50" s="3647"/>
      <c r="O50" s="3647"/>
    </row>
    <row r="51" spans="1:35" ht="20.45" customHeight="1">
      <c r="A51" s="2551"/>
      <c r="B51" s="3564" t="s">
        <v>1346</v>
      </c>
      <c r="C51" s="3564"/>
      <c r="D51" s="1086"/>
      <c r="E51" s="327"/>
      <c r="F51" s="2422"/>
      <c r="G51" s="3636"/>
      <c r="H51" s="2310" t="s">
        <v>2135</v>
      </c>
      <c r="I51" s="2309"/>
      <c r="J51" s="2522" t="s">
        <v>1347</v>
      </c>
      <c r="K51" s="3628" t="s">
        <v>1348</v>
      </c>
      <c r="L51" s="3628"/>
      <c r="M51" s="2522" t="s">
        <v>1349</v>
      </c>
      <c r="N51" s="2522" t="s">
        <v>1350</v>
      </c>
      <c r="O51" s="2522" t="s">
        <v>1351</v>
      </c>
    </row>
    <row r="52" spans="1:35" ht="24" customHeight="1">
      <c r="A52" s="2333" t="s">
        <v>1352</v>
      </c>
      <c r="B52" s="3564" t="s">
        <v>1353</v>
      </c>
      <c r="C52" s="3564"/>
      <c r="D52" s="1086" t="e">
        <f ca="1">ROUND(D45*'数据-取费表'!B41/(1+'数据-取费表'!C42),0)</f>
        <v>#REF!</v>
      </c>
      <c r="E52" s="2332" t="s">
        <v>1354</v>
      </c>
      <c r="F52" s="2552">
        <f>'数据-取费表'!B41</f>
        <v>5.5000000000000007E-2</v>
      </c>
      <c r="G52" s="2553"/>
      <c r="H52" s="2542"/>
      <c r="I52" s="1805"/>
      <c r="J52" s="2521">
        <v>1</v>
      </c>
      <c r="K52" s="3629" t="s">
        <v>1355</v>
      </c>
      <c r="L52" s="3629"/>
      <c r="M52" s="2523" t="b">
        <f>D48</f>
        <v>0</v>
      </c>
      <c r="N52" s="2521" t="str">
        <f>E48</f>
        <v>销售额×税（费）率</v>
      </c>
      <c r="O52" s="2524">
        <f>F48</f>
        <v>5.5000000000000007E-2</v>
      </c>
    </row>
    <row r="53" spans="1:35" ht="12" customHeight="1">
      <c r="A53" s="2333" t="s">
        <v>1356</v>
      </c>
      <c r="B53" s="3590" t="s">
        <v>2290</v>
      </c>
      <c r="C53" s="3591"/>
      <c r="D53" s="1086" t="e">
        <f ca="1">ROUND(D45*'数据-取费表'!B41/(1+'数据-取费表'!C42),0)</f>
        <v>#REF!</v>
      </c>
      <c r="E53" s="2332" t="s">
        <v>1354</v>
      </c>
      <c r="F53" s="2552">
        <f>'数据-取费表'!B41</f>
        <v>5.5000000000000007E-2</v>
      </c>
      <c r="G53" s="2553"/>
      <c r="H53" s="2542"/>
      <c r="I53" s="1805"/>
      <c r="J53" s="2521">
        <v>2</v>
      </c>
      <c r="K53" s="3629" t="s">
        <v>1357</v>
      </c>
      <c r="L53" s="3629"/>
      <c r="M53" s="2523" t="e">
        <f t="shared" ref="M53:O54" ca="1" si="0">D55</f>
        <v>#REF!</v>
      </c>
      <c r="N53" s="2521" t="str">
        <f t="shared" si="0"/>
        <v>销售额×税（费）率</v>
      </c>
      <c r="O53" s="2524" t="str">
        <f t="shared" si="0"/>
        <v>免征</v>
      </c>
    </row>
    <row r="54" spans="1:35" ht="12" customHeight="1">
      <c r="A54" s="2333" t="s">
        <v>1358</v>
      </c>
      <c r="B54" s="3590" t="s">
        <v>2291</v>
      </c>
      <c r="C54" s="3591"/>
      <c r="D54" s="1086" t="e">
        <f ca="1">C68</f>
        <v>#REF!</v>
      </c>
      <c r="E54" s="327" t="s">
        <v>1359</v>
      </c>
      <c r="F54" s="2552">
        <f>'数据-取费表'!B41</f>
        <v>5.5000000000000007E-2</v>
      </c>
      <c r="G54" s="2553"/>
      <c r="H54" s="2554"/>
      <c r="I54" s="1805"/>
      <c r="J54" s="2521">
        <v>3</v>
      </c>
      <c r="K54" s="3629" t="s">
        <v>1360</v>
      </c>
      <c r="L54" s="3629"/>
      <c r="M54" s="2523" t="e">
        <f t="shared" ca="1" si="0"/>
        <v>#REF!</v>
      </c>
      <c r="N54" s="2521" t="str">
        <f t="shared" si="0"/>
        <v>增值额×税（费）率</v>
      </c>
      <c r="O54" s="2525" t="str">
        <f t="shared" si="0"/>
        <v>免征</v>
      </c>
    </row>
    <row r="55" spans="1:35" ht="24" customHeight="1">
      <c r="A55" s="3579" t="s">
        <v>1361</v>
      </c>
      <c r="B55" s="3580"/>
      <c r="C55" s="3580"/>
      <c r="D55" s="2322" t="e">
        <f ca="1">IF(H55="个人住宅",0,ROUND(D45*I55,0))</f>
        <v>#REF!</v>
      </c>
      <c r="E55" s="2332" t="s">
        <v>1362</v>
      </c>
      <c r="F55" s="2552" t="str">
        <f>IF(H55="正常",I55,"免征")</f>
        <v>免征</v>
      </c>
      <c r="G55" s="2553"/>
      <c r="H55" s="2548"/>
      <c r="I55" s="165">
        <f>'数据-取费表'!B49</f>
        <v>5.0000000000000001E-4</v>
      </c>
      <c r="J55" s="2521">
        <f>IF(H59="非个人房产","",4)</f>
        <v>4</v>
      </c>
      <c r="K55" s="3629" t="str">
        <f>IF(H59="非个人房产","——","个人所得税")</f>
        <v>个人所得税</v>
      </c>
      <c r="L55" s="3629"/>
      <c r="M55" s="2526" t="e">
        <f ca="1">D59</f>
        <v>#REF!</v>
      </c>
      <c r="N55" s="2038" t="str">
        <f>E59</f>
        <v>差额计税</v>
      </c>
      <c r="O55" s="2527">
        <f>F59</f>
        <v>0.01</v>
      </c>
    </row>
    <row r="56" spans="1:35" ht="24.75">
      <c r="A56" s="3579" t="s">
        <v>1363</v>
      </c>
      <c r="B56" s="3580"/>
      <c r="C56" s="3580"/>
      <c r="D56" s="2322" t="e">
        <f ca="1">IF(H56="个人住宅",D57,D58)</f>
        <v>#REF!</v>
      </c>
      <c r="E56" s="2332" t="s">
        <v>1364</v>
      </c>
      <c r="F56" s="2552" t="str">
        <f>IF(H56="正常",F58,"免征")</f>
        <v>免征</v>
      </c>
      <c r="G56" s="2555" t="s">
        <v>1365</v>
      </c>
      <c r="H56" s="2556"/>
      <c r="I56" s="1806"/>
      <c r="J56" s="2521" t="str">
        <f>IF(项目基本情况!K6="上海银行",IF(J55="",4,J55+1),"")</f>
        <v/>
      </c>
      <c r="K56" s="3652" t="str">
        <f>IF(项目基本情况!K6="上海银行","其他处置费用","")</f>
        <v/>
      </c>
      <c r="L56" s="3653"/>
      <c r="M56" s="2523" t="str">
        <f>IF(项目基本情况!K6="上海银行",M69,"")</f>
        <v/>
      </c>
      <c r="N56" s="3652" t="str">
        <f>IF(项目基本情况!K6="上海银行","包含处置中涉及的律师、诉讼、拍卖、评估等费用","")</f>
        <v/>
      </c>
      <c r="O56" s="3655"/>
    </row>
    <row r="57" spans="1:35" ht="12.75">
      <c r="A57" s="2333" t="s">
        <v>1341</v>
      </c>
      <c r="B57" s="3590" t="s">
        <v>1366</v>
      </c>
      <c r="C57" s="3591"/>
      <c r="D57" s="1588">
        <v>0</v>
      </c>
      <c r="E57" s="324" t="s">
        <v>1343</v>
      </c>
      <c r="F57" s="302"/>
      <c r="G57" s="2553"/>
      <c r="H57" s="2557"/>
      <c r="I57" s="1806"/>
      <c r="J57" s="3629">
        <f>IF(AND(J55="",J56=""),4,IF(项目基本情况!K6="上海银行",结果表!J56+1,结果表!J55+1))</f>
        <v>5</v>
      </c>
      <c r="K57" s="3629" t="s">
        <v>1367</v>
      </c>
      <c r="L57" s="2528" t="s">
        <v>1368</v>
      </c>
      <c r="M57" s="2529"/>
      <c r="N57" s="2530">
        <f ca="1">SUMIF(M52:M56,"&lt;9e307")</f>
        <v>0</v>
      </c>
      <c r="O57" s="2531"/>
      <c r="P57" s="2688" t="e">
        <f ca="1">N57/M49</f>
        <v>#VALUE!</v>
      </c>
    </row>
    <row r="58" spans="1:35" ht="24.75">
      <c r="A58" s="2333" t="s">
        <v>1352</v>
      </c>
      <c r="B58" s="3590" t="s">
        <v>1369</v>
      </c>
      <c r="C58" s="3564"/>
      <c r="D58" s="2322" t="e">
        <f ca="1">IF(H58="转让取得",C81,C97)</f>
        <v>#REF!</v>
      </c>
      <c r="E58" s="2332" t="s">
        <v>1364</v>
      </c>
      <c r="F58" s="302" t="s">
        <v>28</v>
      </c>
      <c r="G58" s="2553"/>
      <c r="H58" s="2556"/>
      <c r="I58" s="1806"/>
      <c r="J58" s="3629"/>
      <c r="K58" s="3629"/>
      <c r="L58" s="2528" t="s">
        <v>1370</v>
      </c>
      <c r="M58" s="2532"/>
      <c r="N58" s="2533" t="str">
        <f ca="1">NUMBERSTRING(INT(N57*10000),2)&amp;"元整"</f>
        <v>零元整</v>
      </c>
      <c r="O58" s="2534"/>
    </row>
    <row r="59" spans="1:35" ht="24.75" thickBot="1">
      <c r="A59" s="3632" t="s">
        <v>1371</v>
      </c>
      <c r="B59" s="3633"/>
      <c r="C59" s="3633"/>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30">
        <f>J57+1</f>
        <v>6</v>
      </c>
      <c r="K59" s="3629" t="s">
        <v>1372</v>
      </c>
      <c r="L59" s="2521" t="s">
        <v>1368</v>
      </c>
      <c r="M59" s="2535"/>
      <c r="N59" s="2536" t="e">
        <f ca="1">M49-N57</f>
        <v>#VALUE!</v>
      </c>
      <c r="O59" s="2537"/>
    </row>
    <row r="60" spans="1:35" ht="12" customHeight="1">
      <c r="A60" s="1807"/>
      <c r="B60" s="1745"/>
      <c r="C60" s="1745"/>
      <c r="D60" s="1745"/>
      <c r="E60" s="1576"/>
      <c r="F60" s="1806"/>
      <c r="G60" s="1806"/>
      <c r="H60" s="1808"/>
      <c r="I60" s="129"/>
      <c r="J60" s="3631"/>
      <c r="K60" s="3629"/>
      <c r="L60" s="2528" t="s">
        <v>1370</v>
      </c>
      <c r="M60" s="2532"/>
      <c r="N60" s="2533" t="e">
        <f ca="1">NUMBERSTRING(INT(N59*10000),2)&amp;"元整"</f>
        <v>#VALUE!</v>
      </c>
      <c r="O60" s="2534"/>
    </row>
    <row r="61" spans="1:35" ht="13.5" thickBot="1">
      <c r="A61" s="3577" t="s">
        <v>1373</v>
      </c>
      <c r="B61" s="3577"/>
      <c r="C61" s="3577"/>
      <c r="D61" s="3577"/>
      <c r="E61" s="3577"/>
      <c r="F61" s="1806"/>
      <c r="G61" s="1806"/>
      <c r="H61" s="1808"/>
      <c r="I61" s="129"/>
      <c r="J61" s="2521">
        <f>J59+1</f>
        <v>7</v>
      </c>
      <c r="K61" s="3629" t="s">
        <v>1374</v>
      </c>
      <c r="L61" s="3629"/>
      <c r="M61" s="2538"/>
      <c r="N61" s="2539" t="e">
        <f ca="1">ROUND(N59*10000/'数据-汇总表'!E3,0)</f>
        <v>#VALUE!</v>
      </c>
      <c r="O61" s="2540"/>
    </row>
    <row r="62" spans="1:35" ht="12.75">
      <c r="A62" s="3595" t="s">
        <v>1375</v>
      </c>
      <c r="B62" s="3596"/>
      <c r="C62" s="2019"/>
      <c r="D62" s="2019" t="s">
        <v>1376</v>
      </c>
      <c r="E62" s="166" t="s">
        <v>1377</v>
      </c>
      <c r="F62" s="1806"/>
      <c r="G62" s="1806"/>
      <c r="H62" s="1808"/>
      <c r="I62" s="129"/>
    </row>
    <row r="63" spans="1:35" ht="12.75">
      <c r="A63" s="173" t="s">
        <v>330</v>
      </c>
      <c r="B63" s="167" t="s">
        <v>1378</v>
      </c>
      <c r="C63" s="2562" t="e">
        <f ca="1">ROUND((C64+C65)/(1+'数据-取费表'!C42),0)</f>
        <v>#REF!</v>
      </c>
      <c r="D63" s="167"/>
      <c r="E63" s="168"/>
      <c r="F63" s="1806"/>
      <c r="G63" s="1806"/>
      <c r="H63" s="1808"/>
      <c r="I63" s="129"/>
      <c r="J63" s="3654" t="s">
        <v>1379</v>
      </c>
      <c r="K63" s="1330" t="s">
        <v>1380</v>
      </c>
      <c r="L63" s="1330" t="e">
        <f ca="1">IF(M49&gt;10000,M49*0.5%,IF(AND(M49&gt;1000,M49&lt;=10000),M49*1%,IF(AND(M49&gt;100,M49&lt;=1000),M49*3%,IF(AND(M49&gt;10,M49&lt;=100),M49*5%,M49*8%))))</f>
        <v>#VALUE!</v>
      </c>
      <c r="M63" s="302" t="e">
        <f ca="1">ROUND(L63,1)</f>
        <v>#VALUE!</v>
      </c>
      <c r="N63" s="2541"/>
      <c r="Z63" s="1750"/>
      <c r="AI63" s="1751"/>
    </row>
    <row r="64" spans="1:35" ht="14.25" customHeight="1">
      <c r="A64" s="169" t="s">
        <v>325</v>
      </c>
      <c r="B64" s="170" t="s">
        <v>1381</v>
      </c>
      <c r="C64" s="2563" t="e">
        <f ca="1">D45</f>
        <v>#REF!</v>
      </c>
      <c r="D64" s="170" t="s">
        <v>26</v>
      </c>
      <c r="E64" s="172"/>
      <c r="F64" s="1806"/>
      <c r="G64" s="1806"/>
      <c r="H64" s="1808"/>
      <c r="I64" s="129"/>
      <c r="J64" s="3654"/>
      <c r="K64" s="1330" t="s">
        <v>1382</v>
      </c>
      <c r="L64" s="1330"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2" t="s">
        <v>1383</v>
      </c>
      <c r="Z64" s="1750"/>
      <c r="AI64" s="1751"/>
    </row>
    <row r="65" spans="1:35" ht="14.25" customHeight="1">
      <c r="A65" s="169" t="s">
        <v>326</v>
      </c>
      <c r="B65" s="170" t="s">
        <v>1384</v>
      </c>
      <c r="C65" s="2564"/>
      <c r="D65" s="170"/>
      <c r="E65" s="172"/>
      <c r="F65" s="1806"/>
      <c r="G65" s="1806"/>
      <c r="H65" s="1808"/>
      <c r="I65" s="129"/>
      <c r="J65" s="3654"/>
      <c r="K65" s="1330" t="s">
        <v>1385</v>
      </c>
      <c r="L65" s="1330" t="e">
        <f ca="1">IF(M49&gt;1000,M49*0.1%,IF(AND(M49&gt;500,M49&lt;=1000),M49*0.5%,IF(AND(M49&gt;50,M49&lt;=500),M49*1%,IF(AND(M49&gt;1,M49&lt;=50),M49*1.5%))))</f>
        <v>#VALUE!</v>
      </c>
      <c r="M65" s="302" t="e">
        <f t="shared" ca="1" si="1"/>
        <v>#VALUE!</v>
      </c>
      <c r="N65" s="2542" t="s">
        <v>1383</v>
      </c>
      <c r="Z65" s="1750"/>
      <c r="AI65" s="1751"/>
    </row>
    <row r="66" spans="1:35" ht="14.25" customHeight="1">
      <c r="A66" s="173" t="s">
        <v>327</v>
      </c>
      <c r="B66" s="174" t="s">
        <v>1386</v>
      </c>
      <c r="C66" s="2565"/>
      <c r="D66" s="174" t="s">
        <v>26</v>
      </c>
      <c r="E66" s="1336" t="s">
        <v>671</v>
      </c>
      <c r="F66" s="1806"/>
      <c r="G66" s="1806"/>
      <c r="H66" s="1808"/>
      <c r="I66" s="129"/>
      <c r="J66" s="3654"/>
      <c r="K66" s="1330" t="s">
        <v>1387</v>
      </c>
      <c r="L66" s="1330" t="e">
        <f ca="1">M49*0.5%</f>
        <v>#VALUE!</v>
      </c>
      <c r="M66" s="302" t="e">
        <f ca="1">IF(L66&gt;0.5,0.5,ROUND(L66,0))</f>
        <v>#VALUE!</v>
      </c>
      <c r="N66" s="2542" t="s">
        <v>1388</v>
      </c>
      <c r="Z66" s="1750"/>
      <c r="AI66" s="1751"/>
    </row>
    <row r="67" spans="1:35" ht="14.25" customHeight="1">
      <c r="A67" s="173" t="s">
        <v>328</v>
      </c>
      <c r="B67" s="174" t="s">
        <v>1389</v>
      </c>
      <c r="C67" s="2566" t="e">
        <f ca="1">C63-C66</f>
        <v>#REF!</v>
      </c>
      <c r="D67" s="170" t="s">
        <v>26</v>
      </c>
      <c r="E67" s="172"/>
      <c r="F67" s="1806"/>
      <c r="G67" s="1806"/>
      <c r="H67" s="1808"/>
      <c r="I67" s="129"/>
      <c r="J67" s="3654"/>
      <c r="K67" s="1330" t="s">
        <v>1390</v>
      </c>
      <c r="L67" s="1330"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1"/>
      <c r="Z67" s="1750"/>
      <c r="AI67" s="1751"/>
    </row>
    <row r="68" spans="1:35" ht="14.25" customHeight="1" thickBot="1">
      <c r="A68" s="176" t="s">
        <v>329</v>
      </c>
      <c r="B68" s="177" t="s">
        <v>1391</v>
      </c>
      <c r="C68" s="2567" t="e">
        <f ca="1">IF(C67&lt;=0,0,ROUND(C67*D68,0))</f>
        <v>#REF!</v>
      </c>
      <c r="D68" s="2568">
        <f>'数据-取费表'!B41</f>
        <v>5.5000000000000007E-2</v>
      </c>
      <c r="E68" s="178"/>
      <c r="F68" s="1806"/>
      <c r="G68" s="1806"/>
      <c r="H68" s="1808"/>
      <c r="I68" s="129"/>
      <c r="J68" s="3654"/>
      <c r="K68" s="1330" t="s">
        <v>1392</v>
      </c>
      <c r="L68" s="1330" t="e">
        <f ca="1">IF(M49&gt;10000,M49*0.5%,IF(AND(M49&gt;5000,M49&lt;=10000),M49*1%,IF(AND(M49&gt;1000,M49&lt;=5000),M49*2%,IF(AND(M49&gt;200,M49&lt;=1000),M49*3%,M49*5%))))</f>
        <v>#VALUE!</v>
      </c>
      <c r="M68" s="302" t="e">
        <f ca="1">ROUND(L68,1)</f>
        <v>#VALUE!</v>
      </c>
      <c r="N68" s="2541"/>
      <c r="Z68" s="1750"/>
      <c r="AI68" s="1751"/>
    </row>
    <row r="69" spans="1:35" s="1770" customFormat="1" ht="16.5" customHeight="1">
      <c r="A69" s="1809"/>
      <c r="B69" s="1810"/>
      <c r="C69" s="1811"/>
      <c r="D69" s="1812"/>
      <c r="E69" s="1813"/>
      <c r="F69" s="1576"/>
      <c r="G69" s="1576"/>
      <c r="H69" s="1575"/>
      <c r="I69" s="1745"/>
      <c r="J69" s="3654"/>
      <c r="K69" s="1330" t="s">
        <v>1393</v>
      </c>
      <c r="L69" s="1330"/>
      <c r="M69" s="302" t="e">
        <f ca="1">ROUND(SUM(M63:M68),0)</f>
        <v>#VALUE!</v>
      </c>
      <c r="N69" s="2543" t="e">
        <f ca="1">M69/M49</f>
        <v>#VALUE!</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5" thickBot="1">
      <c r="A70" s="3616" t="s">
        <v>1394</v>
      </c>
      <c r="B70" s="3617"/>
      <c r="C70" s="3617"/>
      <c r="D70" s="3617"/>
      <c r="E70" s="3617"/>
      <c r="F70" s="3617"/>
      <c r="G70" s="3617"/>
      <c r="H70" s="3617"/>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95" t="s">
        <v>1375</v>
      </c>
      <c r="B71" s="3596"/>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#REF!</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#REF!</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90" t="s">
        <v>1402</v>
      </c>
      <c r="F76" s="3564"/>
      <c r="G76" s="3564"/>
      <c r="H76" s="3615"/>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#REF!</v>
      </c>
      <c r="D78" s="2575">
        <f>'数据-取费表'!B43</f>
        <v>5.000000000000001E-3</v>
      </c>
      <c r="E78" s="3574" t="s">
        <v>1406</v>
      </c>
      <c r="F78" s="3575"/>
      <c r="G78" s="3575"/>
      <c r="H78" s="3584"/>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#REF!</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#REF!</v>
      </c>
      <c r="D80" s="170" t="s">
        <v>26</v>
      </c>
      <c r="E80" s="2322" t="e">
        <f ca="1">IF(C80&gt;=200%,"增值额超过扣除项目金额200%",IF(C80&gt;=100%,"增值额超过扣除项目金额100%，未超过200%",IF(C80&gt;=50%,"增值额超过扣除项目金额50%，未超过100%",IF(C80&lt;50%,"增值额未超过扣除项目金额50%"))))</f>
        <v>#REF!</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16" t="s">
        <v>1410</v>
      </c>
      <c r="B83" s="3617"/>
      <c r="C83" s="3617"/>
      <c r="D83" s="3617"/>
      <c r="E83" s="3617"/>
      <c r="F83" s="3617"/>
      <c r="G83" s="3617"/>
      <c r="H83" s="3617"/>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95" t="s">
        <v>1375</v>
      </c>
      <c r="B84" s="3596"/>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#REF!</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#REF!</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56" t="s">
        <v>2128</v>
      </c>
      <c r="H90" s="3657"/>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74" t="s">
        <v>1419</v>
      </c>
      <c r="F91" s="3575"/>
      <c r="G91" s="357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74" t="s">
        <v>1422</v>
      </c>
      <c r="F92" s="3575"/>
      <c r="G92" s="3575"/>
      <c r="H92" s="3584"/>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#REF!</v>
      </c>
      <c r="D93" s="2575">
        <f>'数据-取费表'!B43</f>
        <v>5.000000000000001E-3</v>
      </c>
      <c r="E93" s="3574" t="s">
        <v>1406</v>
      </c>
      <c r="F93" s="3575"/>
      <c r="G93" s="3575"/>
      <c r="H93" s="3584"/>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85" t="s">
        <v>1426</v>
      </c>
      <c r="F94" s="3586"/>
      <c r="G94" s="3586"/>
      <c r="H94" s="358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#REF!</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#REF!</v>
      </c>
      <c r="D96" s="170" t="s">
        <v>26</v>
      </c>
      <c r="E96" s="2322" t="e">
        <f ca="1">IF(C96&gt;=200%,"增值额超过扣除项目金额200%",IF(C96&gt;=100%,"增值额超过扣除项目金额100%，未超过200%",IF(C96&gt;=50%,"增值额超过扣除项目金额50%，未超过100%",IF(C96&lt;50%,"增值额未超过扣除项目金额50%"))))</f>
        <v>#REF!</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58" t="s">
        <v>1428</v>
      </c>
      <c r="B100" s="3559"/>
      <c r="C100" s="3559"/>
      <c r="D100" s="3576"/>
      <c r="E100" s="3559" t="s">
        <v>1429</v>
      </c>
      <c r="F100" s="3559"/>
      <c r="G100" s="3559"/>
      <c r="H100" s="3576"/>
      <c r="I100" s="129"/>
    </row>
    <row r="101" spans="1:35" ht="18.75" customHeight="1">
      <c r="A101" s="3637" t="s">
        <v>1430</v>
      </c>
      <c r="B101" s="3638"/>
      <c r="C101" s="2583" t="str">
        <f>C4</f>
        <v>成本法 (元)</v>
      </c>
      <c r="D101" s="2584" t="str">
        <f>D4</f>
        <v>比较法-住宅</v>
      </c>
      <c r="E101" s="3651" t="s">
        <v>1431</v>
      </c>
      <c r="F101" s="3608"/>
      <c r="G101" s="1825" t="s">
        <v>1432</v>
      </c>
      <c r="H101" s="2593" t="e">
        <f ca="1">H118</f>
        <v>#REF!</v>
      </c>
      <c r="I101" s="129"/>
    </row>
    <row r="102" spans="1:35" ht="18.75" customHeight="1">
      <c r="A102" s="3610" t="s">
        <v>1433</v>
      </c>
      <c r="B102" s="2582" t="s">
        <v>1432</v>
      </c>
      <c r="C102" s="2583">
        <f ca="1">IF(D32="楼面单价",ROUND(C19,0),C19)</f>
        <v>208.71019999999999</v>
      </c>
      <c r="D102" s="2584">
        <f ca="1">IF(D32="楼面单价",ROUND(D19,0),D19)</f>
        <v>196.18610000000001</v>
      </c>
      <c r="E102" s="3651"/>
      <c r="F102" s="3608"/>
      <c r="G102" s="1825" t="s">
        <v>1434</v>
      </c>
      <c r="H102" s="2553" t="e">
        <f ca="1">I118</f>
        <v>#REF!</v>
      </c>
      <c r="I102" s="129"/>
    </row>
    <row r="103" spans="1:35" ht="42.75" customHeight="1">
      <c r="A103" s="3610"/>
      <c r="B103" s="2582" t="s">
        <v>1434</v>
      </c>
      <c r="C103" s="2585">
        <f ca="1">C20</f>
        <v>23283</v>
      </c>
      <c r="D103" s="2586">
        <f ca="1">D20</f>
        <v>21886</v>
      </c>
      <c r="E103" s="3645" t="s">
        <v>1435</v>
      </c>
      <c r="F103" s="3646"/>
      <c r="G103" s="1826" t="s">
        <v>1436</v>
      </c>
      <c r="H103" s="2593">
        <f>IF(D36="正常操作",H104+H105+H106,H105+H106)</f>
        <v>0</v>
      </c>
      <c r="I103" s="129"/>
    </row>
    <row r="104" spans="1:35" ht="18.75" customHeight="1">
      <c r="A104" s="3610" t="s">
        <v>1437</v>
      </c>
      <c r="B104" s="2587" t="s">
        <v>1432</v>
      </c>
      <c r="C104" s="2588" t="e">
        <f ca="1">H118</f>
        <v>#REF!</v>
      </c>
      <c r="D104" s="2589"/>
      <c r="E104" s="1672" t="s">
        <v>1438</v>
      </c>
      <c r="F104" s="1664"/>
      <c r="G104" s="1826" t="s">
        <v>1436</v>
      </c>
      <c r="H104" s="2594">
        <f>IF(D36="同一抵押权人同一抵押物续贷",C36&amp;"（续贷，未扣减，详见特别提示）",C36)</f>
        <v>0</v>
      </c>
      <c r="I104" s="129"/>
    </row>
    <row r="105" spans="1:35" ht="18.75" customHeight="1" thickBot="1">
      <c r="A105" s="3611"/>
      <c r="B105" s="2590" t="s">
        <v>1434</v>
      </c>
      <c r="C105" s="2591" t="e">
        <f ca="1">I118</f>
        <v>#REF!</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607" t="str">
        <f>IF(项目基本情况!E8="已注销","——","3.房地产抵押价值")</f>
        <v>3.房地产抵押价值</v>
      </c>
      <c r="F107" s="3608"/>
      <c r="G107" s="1825" t="s">
        <v>1432</v>
      </c>
      <c r="H107" s="2593" t="e">
        <f ca="1">IF(E107="——","——",H101-H103)</f>
        <v>#REF!</v>
      </c>
      <c r="I107" s="129"/>
    </row>
    <row r="108" spans="1:35" ht="18.75" customHeight="1">
      <c r="A108" s="129"/>
      <c r="B108" s="129"/>
      <c r="C108" s="129"/>
      <c r="D108" s="129"/>
      <c r="E108" s="3607"/>
      <c r="F108" s="3608"/>
      <c r="G108" s="1825" t="s">
        <v>1434</v>
      </c>
      <c r="H108" s="2553">
        <f ca="1">IF(H107=H101,H102,ROUND(H107*10000/'数据-汇总表'!E3,0))</f>
        <v>0</v>
      </c>
      <c r="I108" s="129"/>
    </row>
    <row r="109" spans="1:35" ht="18.75" customHeight="1">
      <c r="A109" s="129"/>
      <c r="B109" s="129"/>
      <c r="C109" s="129"/>
      <c r="D109" s="129"/>
      <c r="E109" s="3607" t="str">
        <f>IF(项目基本情况!E8="已注销及未注销","4.抵押担保权已注销时的房地产抵押价值",IF(项目基本情况!E8="已注销","3.抵押担保权已注销时的房地产抵押价值","——"))</f>
        <v>——</v>
      </c>
      <c r="F109" s="3608"/>
      <c r="G109" s="1825" t="s">
        <v>1432</v>
      </c>
      <c r="H109" s="2596" t="str">
        <f>IF(E109="——","——",H101-H105-H106)</f>
        <v>——</v>
      </c>
      <c r="I109" s="129"/>
    </row>
    <row r="110" spans="1:35" ht="18.75" customHeight="1">
      <c r="A110" s="129"/>
      <c r="B110" s="129"/>
      <c r="C110" s="129"/>
      <c r="D110" s="129"/>
      <c r="E110" s="3607"/>
      <c r="F110" s="3608"/>
      <c r="G110" s="1825" t="s">
        <v>1434</v>
      </c>
      <c r="H110" s="2553" t="str">
        <f>IF(H109="——","——",ROUND(H109*10000/'数据-汇总表'!E3,0))</f>
        <v>——</v>
      </c>
      <c r="I110" s="129"/>
    </row>
    <row r="111" spans="1:35" ht="18.75" customHeight="1">
      <c r="A111" s="129"/>
      <c r="B111" s="129"/>
      <c r="C111" s="129"/>
      <c r="D111" s="129"/>
      <c r="E111" s="3639" t="str">
        <f>IF(项目基本情况!E9="抵押净值",IF(OR(项目基本情况!E8="已注销",项目基本情况!E8="房地产抵押价值"),"4.抵押净值","5.抵押净值"),"——")</f>
        <v>——</v>
      </c>
      <c r="F111" s="3609"/>
      <c r="G111" s="1825" t="s">
        <v>1432</v>
      </c>
      <c r="H111" s="2593" t="str">
        <f>IF(E111="——","——",N59)</f>
        <v>——</v>
      </c>
      <c r="I111" s="129"/>
    </row>
    <row r="112" spans="1:35" ht="18.75" customHeight="1" thickBot="1">
      <c r="A112" s="129"/>
      <c r="B112" s="129"/>
      <c r="C112" s="129"/>
      <c r="D112" s="129"/>
      <c r="E112" s="3640"/>
      <c r="F112" s="3641"/>
      <c r="G112" s="1828" t="s">
        <v>1434</v>
      </c>
      <c r="H112" s="2597" t="str">
        <f>IF(E111="——","——",N61)</f>
        <v>——</v>
      </c>
      <c r="I112" s="129"/>
    </row>
    <row r="113" spans="1:27" ht="18.75" customHeight="1">
      <c r="A113" s="129"/>
      <c r="B113" s="129"/>
      <c r="C113" s="129"/>
      <c r="D113" s="129"/>
      <c r="E113" s="3612" t="s">
        <v>1440</v>
      </c>
      <c r="F113" s="3612"/>
      <c r="G113" s="3612"/>
      <c r="H113" s="3612"/>
      <c r="I113" s="129"/>
    </row>
    <row r="114" spans="1:27" ht="3.75" customHeight="1">
      <c r="A114" s="1745"/>
      <c r="B114" s="1745"/>
      <c r="C114" s="1745"/>
      <c r="D114" s="1745"/>
      <c r="E114" s="1807"/>
      <c r="F114" s="1807"/>
      <c r="G114" s="1807"/>
      <c r="H114" s="1807"/>
      <c r="I114" s="1745"/>
    </row>
    <row r="115" spans="1:27" ht="18.75" customHeight="1">
      <c r="A115" s="3622" t="s">
        <v>1442</v>
      </c>
      <c r="B115" s="3623"/>
      <c r="C115" s="3623"/>
      <c r="D115" s="3623"/>
      <c r="E115" s="3623"/>
      <c r="F115" s="3623"/>
      <c r="G115" s="3623"/>
      <c r="H115" s="3623"/>
      <c r="I115" s="3624"/>
    </row>
    <row r="116" spans="1:27" ht="27" customHeight="1">
      <c r="A116" s="3578" t="s">
        <v>1443</v>
      </c>
      <c r="B116" s="3613" t="s">
        <v>1444</v>
      </c>
      <c r="C116" s="3613" t="s">
        <v>1445</v>
      </c>
      <c r="D116" s="3626" t="s">
        <v>1446</v>
      </c>
      <c r="E116" s="3627"/>
      <c r="F116" s="3621" t="s">
        <v>1447</v>
      </c>
      <c r="G116" s="3621"/>
      <c r="H116" s="3578" t="s">
        <v>1448</v>
      </c>
      <c r="I116" s="3578"/>
    </row>
    <row r="117" spans="1:27" ht="18.75" customHeight="1">
      <c r="A117" s="3578"/>
      <c r="B117" s="3614"/>
      <c r="C117" s="3614"/>
      <c r="D117" s="2327" t="s">
        <v>1449</v>
      </c>
      <c r="E117" s="2327" t="s">
        <v>1450</v>
      </c>
      <c r="F117" s="2327" t="s">
        <v>1449</v>
      </c>
      <c r="G117" s="2327" t="s">
        <v>1451</v>
      </c>
      <c r="H117" s="2327" t="s">
        <v>1449</v>
      </c>
      <c r="I117" s="2327" t="s">
        <v>1451</v>
      </c>
    </row>
    <row r="118" spans="1:27" ht="24.75" customHeight="1">
      <c r="A118" s="2598" t="str">
        <f>项目基本情况!S2</f>
        <v>北京市延庆区世园村中路1号院1-4号楼共41套住宅用房房地产</v>
      </c>
      <c r="B118" s="2327">
        <f>M18</f>
        <v>89.64</v>
      </c>
      <c r="C118" s="2327">
        <f>M19</f>
        <v>0</v>
      </c>
      <c r="D118" s="2327" t="e">
        <f ca="1">ROUND(IF(D32="总价",C34,E118*B118/10000),0)</f>
        <v>#REF!</v>
      </c>
      <c r="E118" s="2327" t="e">
        <f ca="1">ROUND(IF(C33="自定义",IF(D32="楼面单价",C34,D118*10000/B118),I118-G118),0)</f>
        <v>#REF!</v>
      </c>
      <c r="F118" s="2327" t="e">
        <f ca="1">ROUND(IF(D32="总价",C35,G118*B118/10000),0)</f>
        <v>#REF!</v>
      </c>
      <c r="G118" s="2327" t="e">
        <f ca="1">ROUND(IF(D32="楼面单价",C35,F118*10000/B118),0)</f>
        <v>#REF!</v>
      </c>
      <c r="H118" s="2327" t="e">
        <f ca="1">ROUND(IF(D32="总价",C32,I118*B118/10000),0)</f>
        <v>#REF!</v>
      </c>
      <c r="I118" s="2327" t="e">
        <f ca="1">ROUND(IF(D32="楼面单价",C32,H118*10000/B118),0)</f>
        <v>#REF!</v>
      </c>
    </row>
    <row r="119" spans="1:27" ht="18.75" customHeight="1">
      <c r="A119" s="3578" t="s">
        <v>1452</v>
      </c>
      <c r="B119" s="3578"/>
      <c r="C119" s="3578"/>
      <c r="D119" s="3618" t="e">
        <f ca="1">NUMBERSTRING(INT(D118*10000),2)&amp;"元整"</f>
        <v>#REF!</v>
      </c>
      <c r="E119" s="3620"/>
      <c r="F119" s="3618" t="e">
        <f ca="1">NUMBERSTRING(INT(F118*10000),2)&amp;"元整"</f>
        <v>#REF!</v>
      </c>
      <c r="G119" s="3620"/>
      <c r="H119" s="3618" t="e">
        <f ca="1">NUMBERSTRING(INT(H118*10000),2)&amp;"元整"</f>
        <v>#REF!</v>
      </c>
      <c r="I119" s="3620"/>
    </row>
    <row r="120" spans="1:27" ht="18.75" customHeight="1">
      <c r="A120" s="3642" t="str">
        <f>IF(项目基本情况!B9="房地产市场价值","",MID(E103,3,LEN(E103)-2))</f>
        <v>估价师知悉的法定优先受偿款</v>
      </c>
      <c r="B120" s="3643"/>
      <c r="C120" s="3644"/>
      <c r="D120" s="3642">
        <f>H103</f>
        <v>0</v>
      </c>
      <c r="E120" s="3643"/>
      <c r="F120" s="3643"/>
      <c r="G120" s="3643"/>
      <c r="H120" s="3643"/>
      <c r="I120" s="3644"/>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18" t="s">
        <v>1452</v>
      </c>
      <c r="B121" s="3619"/>
      <c r="C121" s="3620"/>
      <c r="D121" s="3618" t="str">
        <f>IF(D120=0,"零元整",NUMBERSTRING(INT(D120*10000),2)&amp;"元整")</f>
        <v>零元整</v>
      </c>
      <c r="E121" s="3619"/>
      <c r="F121" s="3619"/>
      <c r="G121" s="3619"/>
      <c r="H121" s="3619"/>
      <c r="I121" s="3620"/>
      <c r="AA121" s="724"/>
    </row>
    <row r="122" spans="1:27" ht="18.75" customHeight="1">
      <c r="A122" s="3609" t="str">
        <f>IF(项目基本情况!B9="房地产市场价值","",MID(E107,3,LEN(E107)-2))</f>
        <v>房地产抵押价值</v>
      </c>
      <c r="B122" s="3609"/>
      <c r="C122" s="3609"/>
      <c r="D122" s="3642" t="e">
        <f ca="1">H107</f>
        <v>#REF!</v>
      </c>
      <c r="E122" s="3643"/>
      <c r="F122" s="3643"/>
      <c r="G122" s="3643"/>
      <c r="H122" s="3643"/>
      <c r="I122" s="3644"/>
      <c r="AA122" s="724"/>
    </row>
    <row r="123" spans="1:27" ht="18.75" customHeight="1">
      <c r="A123" s="3578" t="s">
        <v>1452</v>
      </c>
      <c r="B123" s="3578"/>
      <c r="C123" s="3578"/>
      <c r="D123" s="3618" t="e">
        <f ca="1">NUMBERSTRING(INT(D122*10000),2)&amp;"元整"</f>
        <v>#REF!</v>
      </c>
      <c r="E123" s="3619"/>
      <c r="F123" s="3619"/>
      <c r="G123" s="3619"/>
      <c r="H123" s="3619"/>
      <c r="I123" s="3620"/>
      <c r="AA123" s="724"/>
    </row>
    <row r="124" spans="1:27" ht="18.75" customHeight="1">
      <c r="A124" s="3609" t="str">
        <f>IF(项目基本情况!B9="房地产市场价值","",MID(E109,3,LEN(E109)-2))</f>
        <v/>
      </c>
      <c r="B124" s="3609"/>
      <c r="C124" s="3609"/>
      <c r="D124" s="3642" t="str">
        <f>H109</f>
        <v>——</v>
      </c>
      <c r="E124" s="3643"/>
      <c r="F124" s="3643"/>
      <c r="G124" s="3643"/>
      <c r="H124" s="3643"/>
      <c r="I124" s="3644"/>
      <c r="AA124" s="724"/>
    </row>
    <row r="125" spans="1:27" ht="18.75" customHeight="1">
      <c r="A125" s="3578" t="s">
        <v>1452</v>
      </c>
      <c r="B125" s="3578"/>
      <c r="C125" s="3578"/>
      <c r="D125" s="3618" t="e">
        <f>NUMBERSTRING(INT(D124*10000),2)&amp;"元整"</f>
        <v>#VALUE!</v>
      </c>
      <c r="E125" s="3619"/>
      <c r="F125" s="3619"/>
      <c r="G125" s="3619"/>
      <c r="H125" s="3619"/>
      <c r="I125" s="3620"/>
      <c r="AA125" s="724"/>
    </row>
    <row r="126" spans="1:27" ht="18.75" customHeight="1">
      <c r="A126" s="3609" t="str">
        <f>IF(项目基本情况!B9="房地产市场价值","",MID(E111,3,LEN(E111)-2))</f>
        <v/>
      </c>
      <c r="B126" s="3609"/>
      <c r="C126" s="3609"/>
      <c r="D126" s="3642" t="str">
        <f>H111</f>
        <v>——</v>
      </c>
      <c r="E126" s="3643"/>
      <c r="F126" s="3643"/>
      <c r="G126" s="3643"/>
      <c r="H126" s="3643"/>
      <c r="I126" s="3644"/>
      <c r="AA126" s="724"/>
    </row>
    <row r="127" spans="1:27" ht="18.75" customHeight="1">
      <c r="A127" s="3578" t="s">
        <v>1452</v>
      </c>
      <c r="B127" s="3578"/>
      <c r="C127" s="3578"/>
      <c r="D127" s="3618" t="e">
        <f>NUMBERSTRING(INT(D126*10000),2)&amp;"元整"</f>
        <v>#VALUE!</v>
      </c>
      <c r="E127" s="3619"/>
      <c r="F127" s="3619"/>
      <c r="G127" s="3619"/>
      <c r="H127" s="3619"/>
      <c r="I127" s="3620"/>
      <c r="AA127" s="724"/>
    </row>
    <row r="128" spans="1:27" ht="21.75" customHeight="1">
      <c r="A128" s="3625" t="s">
        <v>1453</v>
      </c>
      <c r="B128" s="3625"/>
      <c r="C128" s="3625"/>
      <c r="D128" s="3625"/>
      <c r="E128" s="3625"/>
      <c r="F128" s="3625"/>
      <c r="G128" s="3625"/>
      <c r="H128" s="3625"/>
      <c r="I128" s="3625"/>
      <c r="AA128" s="724"/>
    </row>
    <row r="129" spans="1:35" ht="21.75" customHeight="1">
      <c r="A129" s="1829" t="s">
        <v>1454</v>
      </c>
      <c r="B129" s="1830"/>
      <c r="C129" s="1831" t="s">
        <v>1455</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1456</v>
      </c>
      <c r="G135" s="1846"/>
      <c r="H135" s="1846"/>
      <c r="I135" s="1847" t="s">
        <v>1457</v>
      </c>
    </row>
    <row r="136" spans="1:35" ht="21.75" customHeight="1">
      <c r="A136" s="724"/>
      <c r="B136" s="1848"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1459</v>
      </c>
    </row>
    <row r="139" spans="1:35" ht="21.75" customHeight="1">
      <c r="A139" s="724"/>
      <c r="B139" s="1848" t="s">
        <v>1460</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1459</v>
      </c>
    </row>
    <row r="142" spans="1:35" ht="21.75" customHeight="1">
      <c r="A142" s="724"/>
      <c r="B142" s="1848"/>
      <c r="C142" s="1849"/>
      <c r="D142" s="1850"/>
      <c r="E142" s="1850"/>
      <c r="F142" s="1739"/>
      <c r="G142" s="724"/>
      <c r="H142" s="724"/>
      <c r="I142" s="724"/>
    </row>
    <row r="143" spans="1:35" s="130"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5">
        <f>MATCH(B1,'数据-取费表'!A6:A16,0)+5</f>
        <v>8</v>
      </c>
    </row>
    <row r="2" spans="1:9" s="200" customFormat="1" ht="18" customHeight="1">
      <c r="A2" s="201" t="s">
        <v>1462</v>
      </c>
      <c r="B2" s="202">
        <f ca="1">IF(D2="——",C52,C52-E2)</f>
        <v>256</v>
      </c>
      <c r="C2" s="199" t="s">
        <v>1463</v>
      </c>
      <c r="D2" s="1851" t="s">
        <v>43</v>
      </c>
      <c r="E2" s="1168"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703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0.89639999999999997</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3.0499999999999999E-2</v>
      </c>
      <c r="G7" s="219"/>
    </row>
    <row r="8" spans="1:9" s="223" customFormat="1">
      <c r="A8" s="777" t="s">
        <v>1476</v>
      </c>
      <c r="B8" s="215" t="s">
        <v>1477</v>
      </c>
      <c r="C8" s="220">
        <f ca="1">IF(G8="已包含在土地购买价格中","0",IF(B1="",'数据-取费表'!B29,IF(G9="全部缴纳",C9+C10,H9)))</f>
        <v>0.89639999999999997</v>
      </c>
      <c r="D8" s="222"/>
      <c r="E8" s="220"/>
      <c r="F8" s="221"/>
      <c r="G8" s="1854"/>
    </row>
    <row r="9" spans="1:9" s="214" customFormat="1" ht="13.5" customHeight="1">
      <c r="A9" s="778" t="s">
        <v>355</v>
      </c>
      <c r="B9" s="224" t="s">
        <v>1478</v>
      </c>
      <c r="C9" s="225">
        <f ca="1">ROUND(D9*E9/10000,0)</f>
        <v>36</v>
      </c>
      <c r="D9" s="844">
        <f ca="1">IF(B1="",'数据-汇总表'!E5,IF(INDIRECT("'数据-取费表'!c"&amp;$G$1)="住宅",INDIRECT("'数据-取费表'!k"&amp;$G$1),0))</f>
        <v>3643.6099999999992</v>
      </c>
      <c r="E9" s="225">
        <f>'数据-取费表'!B27</f>
        <v>100</v>
      </c>
      <c r="F9" s="221"/>
      <c r="G9" s="1855"/>
      <c r="H9" s="1136"/>
      <c r="I9" s="1856" t="s">
        <v>1479</v>
      </c>
    </row>
    <row r="10" spans="1:9" s="214" customFormat="1" ht="13.5" customHeight="1">
      <c r="A10" s="778" t="s">
        <v>356</v>
      </c>
      <c r="B10" s="224" t="s">
        <v>1480</v>
      </c>
      <c r="C10" s="225">
        <f ca="1">ROUND(D10*E10/10000,0)</f>
        <v>0</v>
      </c>
      <c r="D10" s="844">
        <f ca="1">IF(B1="",'数据-汇总表'!E6,IF(INDIRECT("'数据-取费表'!c"&amp;$G$1)="住宅",INDIRECT("'数据-取费表'!s"&amp;$G$1),INDIRECT("'数据-取费表'!k"&amp;$G$1)+INDIRECT("'数据-取费表'!s"&amp;$G$1)))</f>
        <v>0</v>
      </c>
      <c r="E10" s="225">
        <f>'数据-取费表'!B28</f>
        <v>150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73</v>
      </c>
      <c r="D19" s="848">
        <f ca="1">D9+D10</f>
        <v>3643.6099999999992</v>
      </c>
      <c r="E19" s="211">
        <f>'数据-取费表'!B31</f>
        <v>200</v>
      </c>
      <c r="F19" s="231"/>
      <c r="G19" s="1854"/>
    </row>
    <row r="20" spans="1:7" s="214" customFormat="1" ht="13.5" customHeight="1">
      <c r="A20" s="255" t="s">
        <v>1493</v>
      </c>
      <c r="B20" s="210" t="s">
        <v>1494</v>
      </c>
      <c r="C20" s="232">
        <f ca="1">ROUND((C5+C19)*F20,0)</f>
        <v>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5</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79" t="s">
        <v>1502</v>
      </c>
      <c r="B23" s="215" t="s">
        <v>1503</v>
      </c>
      <c r="C23" s="1104">
        <f ca="1">ROUND(IF('数据-取费表'!B22&lt;=1,C5*F22*'数据-取费表'!B23,C5*(POWER((1+F22),'数据-取费表'!B23)-1)),0)</f>
        <v>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5</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15</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15</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103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119</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40</v>
      </c>
      <c r="D34" s="217"/>
      <c r="E34" s="220"/>
      <c r="F34" s="257">
        <f ca="1">IF('数据-取费表'!B24=0,1,IF(B1="",'数据-取费表'!N16,INDIRECT("'数据-取费表'!n"&amp;$G$1)))</f>
        <v>1</v>
      </c>
      <c r="G34" s="219" t="s">
        <v>1526</v>
      </c>
    </row>
    <row r="35" spans="1:7" ht="13.5" customHeight="1">
      <c r="A35" s="779" t="s">
        <v>351</v>
      </c>
      <c r="B35" s="215" t="s">
        <v>1527</v>
      </c>
      <c r="C35" s="220">
        <f ca="1">ROUND(C34*F35,0)</f>
        <v>2</v>
      </c>
      <c r="D35" s="220"/>
      <c r="E35" s="220"/>
      <c r="F35" s="259">
        <f>'数据-取费表'!B33</f>
        <v>0.05</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0.08</v>
      </c>
      <c r="G36" s="260" t="s">
        <v>1530</v>
      </c>
    </row>
    <row r="37" spans="1:7" s="258" customFormat="1" ht="13.5" customHeight="1">
      <c r="A37" s="779" t="s">
        <v>353</v>
      </c>
      <c r="B37" s="215" t="s">
        <v>1531</v>
      </c>
      <c r="C37" s="249">
        <f ca="1">ROUND(E37*D37*F34/10000,0)</f>
        <v>73</v>
      </c>
      <c r="D37" s="217">
        <f ca="1">D19</f>
        <v>3643.6099999999992</v>
      </c>
      <c r="E37" s="249">
        <f>'数据-取费表'!B35</f>
        <v>200</v>
      </c>
      <c r="F37" s="259"/>
      <c r="G37" s="261" t="s">
        <v>1532</v>
      </c>
    </row>
    <row r="38" spans="1:7" ht="13.5" customHeight="1">
      <c r="A38" s="779" t="s">
        <v>354</v>
      </c>
      <c r="B38" s="215" t="s">
        <v>1533</v>
      </c>
      <c r="C38" s="220">
        <f ca="1">ROUND(C34*F38,0)</f>
        <v>1</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3.3500000000000002E-2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4</v>
      </c>
      <c r="D42" s="238"/>
      <c r="E42" s="238"/>
      <c r="F42" s="239"/>
      <c r="G42" s="3658" t="s">
        <v>1544</v>
      </c>
    </row>
    <row r="43" spans="1:7" ht="13.5" customHeight="1">
      <c r="A43" s="779" t="s">
        <v>347</v>
      </c>
      <c r="B43" s="215" t="s">
        <v>1545</v>
      </c>
      <c r="C43" s="238">
        <f ca="1">ROUND(IF('数据-取费表'!B22&lt;=1,C39*F22*'数据-取费表'!B21/2,C39*(POWER((1+F22),'数据-取费表'!B21/2)-1)),0)</f>
        <v>0</v>
      </c>
      <c r="D43" s="238"/>
      <c r="E43" s="238"/>
      <c r="F43" s="239"/>
      <c r="G43" s="3659"/>
    </row>
    <row r="44" spans="1:7" ht="13.5" customHeight="1">
      <c r="A44" s="779" t="s">
        <v>348</v>
      </c>
      <c r="B44" s="215" t="s">
        <v>1546</v>
      </c>
      <c r="C44" s="238">
        <f ca="1">ROUND(IF('数据-取费表'!B22&lt;=1,C40*F22*'数据-取费表'!B21/2,C40*(POWER((1+F22),'数据-取费表'!B21/2)-1)),4)</f>
        <v>6.9999999999999999E-4</v>
      </c>
      <c r="D44" s="238"/>
      <c r="E44" s="238"/>
      <c r="F44" s="239"/>
      <c r="G44" s="3660"/>
    </row>
    <row r="45" spans="1:7" s="214" customFormat="1" ht="13.5" customHeight="1">
      <c r="A45" s="255" t="s">
        <v>1547</v>
      </c>
      <c r="B45" s="244" t="s">
        <v>1513</v>
      </c>
      <c r="C45" s="245">
        <f ca="1">C46</f>
        <v>24</v>
      </c>
      <c r="D45" s="235">
        <f ca="1">C47</f>
        <v>4.0000000000000001E-3</v>
      </c>
      <c r="E45" s="236" t="s">
        <v>1539</v>
      </c>
      <c r="F45" s="246">
        <f ca="1">F27</f>
        <v>0.2</v>
      </c>
      <c r="G45" s="247" t="s">
        <v>1548</v>
      </c>
    </row>
    <row r="46" spans="1:7" s="214" customFormat="1" ht="13.5" customHeight="1">
      <c r="A46" s="779" t="s">
        <v>346</v>
      </c>
      <c r="B46" s="248" t="s">
        <v>1549</v>
      </c>
      <c r="C46" s="249">
        <f ca="1">ROUND((C33+C39)*F27,0)</f>
        <v>24</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161</v>
      </c>
      <c r="D49" s="232"/>
      <c r="E49" s="232"/>
      <c r="F49" s="264"/>
      <c r="G49" s="234" t="s">
        <v>1554</v>
      </c>
    </row>
    <row r="50" spans="1:7" s="258" customFormat="1" ht="24">
      <c r="A50" s="255" t="s">
        <v>1555</v>
      </c>
      <c r="B50" s="210" t="s">
        <v>1556</v>
      </c>
      <c r="C50" s="232"/>
      <c r="D50" s="232"/>
      <c r="E50" s="232"/>
      <c r="F50" s="264">
        <f>IF('数据-取费表'!B24=0,'数据-取费表'!N16,1)</f>
        <v>0.95</v>
      </c>
      <c r="G50" s="247" t="s">
        <v>1557</v>
      </c>
    </row>
    <row r="51" spans="1:7" ht="16.5" customHeight="1">
      <c r="A51" s="255" t="s">
        <v>1558</v>
      </c>
      <c r="B51" s="210" t="s">
        <v>1559</v>
      </c>
      <c r="C51" s="232">
        <f ca="1">ROUND(C49*F50,0)</f>
        <v>153</v>
      </c>
      <c r="D51" s="232"/>
      <c r="E51" s="232"/>
      <c r="F51" s="264"/>
      <c r="G51" s="234" t="s">
        <v>1560</v>
      </c>
    </row>
    <row r="52" spans="1:7" s="208" customFormat="1" ht="16.5" thickBot="1">
      <c r="A52" s="265" t="s">
        <v>1561</v>
      </c>
      <c r="B52" s="266"/>
      <c r="C52" s="267">
        <f ca="1">C31+C51</f>
        <v>256</v>
      </c>
      <c r="D52" s="266"/>
      <c r="E52" s="266"/>
      <c r="F52" s="266"/>
      <c r="G52" s="268"/>
    </row>
    <row r="55" spans="1:7" ht="15">
      <c r="B55" s="270" t="s">
        <v>1562</v>
      </c>
      <c r="C55" s="271"/>
    </row>
    <row r="56" spans="1:7">
      <c r="B56" s="273" t="s">
        <v>802</v>
      </c>
      <c r="C56" s="275">
        <f ca="1">1-C57</f>
        <v>0.40200000000000002</v>
      </c>
    </row>
    <row r="57" spans="1:7">
      <c r="B57" s="273" t="s">
        <v>803</v>
      </c>
      <c r="C57" s="274">
        <f ca="1">ROUND(C51/C52,3)</f>
        <v>0.59799999999999998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t="s">
        <v>3435</v>
      </c>
      <c r="C1" s="1857" t="s">
        <v>1563</v>
      </c>
      <c r="D1" s="198"/>
      <c r="E1" s="198"/>
      <c r="F1" s="198"/>
      <c r="G1" s="1125">
        <f>MATCH(B1,'数据-取费表'!A6:A16,0)+5</f>
        <v>6</v>
      </c>
      <c r="H1" s="1060" t="str">
        <f>IF(ISERROR(FIND("住宅",B1)),"非住宅","住宅")</f>
        <v>住宅</v>
      </c>
    </row>
    <row r="2" spans="1:8" s="200" customFormat="1" ht="18" customHeight="1">
      <c r="A2" s="201" t="s">
        <v>1462</v>
      </c>
      <c r="B2" s="3422">
        <f ca="1">ROUND(IF(D2="——",C52/10000,C52/10000-E2),4)</f>
        <v>208.71019999999999</v>
      </c>
      <c r="C2" s="199" t="s">
        <v>1463</v>
      </c>
      <c r="D2" s="1851" t="s">
        <v>43</v>
      </c>
      <c r="E2" s="1168"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23283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1044476.4</v>
      </c>
      <c r="D5" s="211" t="s">
        <v>1469</v>
      </c>
      <c r="E5" s="212" t="s">
        <v>1470</v>
      </c>
      <c r="F5" s="212" t="s">
        <v>1471</v>
      </c>
      <c r="G5" s="213"/>
    </row>
    <row r="6" spans="1:8" s="214" customFormat="1" ht="13.5" customHeight="1">
      <c r="A6" s="777" t="s">
        <v>1472</v>
      </c>
      <c r="B6" s="215" t="s">
        <v>1473</v>
      </c>
      <c r="C6" s="216">
        <f ca="1">'土地比较法-住宅、综合'!C47*D9</f>
        <v>1004864.4</v>
      </c>
      <c r="D6" s="217"/>
      <c r="E6" s="218"/>
      <c r="F6" s="218"/>
      <c r="G6" s="219"/>
    </row>
    <row r="7" spans="1:8" s="214" customFormat="1" ht="13.5" customHeight="1">
      <c r="A7" s="777" t="s">
        <v>1474</v>
      </c>
      <c r="B7" s="215" t="s">
        <v>1475</v>
      </c>
      <c r="C7" s="220">
        <f ca="1">ROUND(C6*F7,0)</f>
        <v>30648</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8964</v>
      </c>
      <c r="D8" s="222"/>
      <c r="E8" s="220"/>
      <c r="F8" s="221"/>
      <c r="G8" s="1854" t="s">
        <v>3459</v>
      </c>
    </row>
    <row r="9" spans="1:8" s="214" customFormat="1" ht="13.5" customHeight="1">
      <c r="A9" s="778" t="s">
        <v>355</v>
      </c>
      <c r="B9" s="224" t="s">
        <v>1478</v>
      </c>
      <c r="C9" s="225">
        <f ca="1">ROUND(D9*E9,0)</f>
        <v>8964</v>
      </c>
      <c r="D9" s="844">
        <f ca="1">IF(B1="",'数据-汇总表'!E5,IF(INDIRECT("'数据-取费表'!c"&amp;$G$1)="住宅",INDIRECT("'数据-取费表'!k"&amp;$G$1),0))</f>
        <v>89.64</v>
      </c>
      <c r="E9" s="225">
        <f>'数据-取费表'!B27</f>
        <v>100</v>
      </c>
      <c r="F9" s="221"/>
      <c r="G9" s="226"/>
    </row>
    <row r="10" spans="1:8" s="214" customFormat="1" ht="13.5" customHeight="1">
      <c r="A10" s="778" t="s">
        <v>356</v>
      </c>
      <c r="B10" s="224" t="s">
        <v>1480</v>
      </c>
      <c r="C10" s="225">
        <f ca="1">ROUND(D10*E10,0)</f>
        <v>0</v>
      </c>
      <c r="D10" s="844">
        <f ca="1">IF(B1="",'数据-汇总表'!E6,IF(INDIRECT("'数据-取费表'!c"&amp;$G$1)="住宅",INDIRECT("'数据-取费表'!s"&amp;$G$1),INDIRECT("'数据-取费表'!k"&amp;$G$1)+INDIRECT("'数据-取费表'!s"&amp;$G$1)))</f>
        <v>0</v>
      </c>
      <c r="E10" s="225">
        <f>'数据-取费表'!B28</f>
        <v>150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89.64</v>
      </c>
      <c r="E19" s="211">
        <f>'数据-取费表'!B31</f>
        <v>200</v>
      </c>
      <c r="F19" s="231"/>
      <c r="G19" s="1854" t="s">
        <v>3460</v>
      </c>
    </row>
    <row r="20" spans="1:7" s="214" customFormat="1" ht="13.5" customHeight="1">
      <c r="A20" s="255" t="s">
        <v>1574</v>
      </c>
      <c r="B20" s="210" t="s">
        <v>1575</v>
      </c>
      <c r="C20" s="232">
        <f ca="1">ROUND((C5+C19)*F20,0)</f>
        <v>20890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71852</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79" t="s">
        <v>1472</v>
      </c>
      <c r="B23" s="215" t="s">
        <v>1583</v>
      </c>
      <c r="C23" s="1127">
        <f ca="1">ROUND(IF('数据-取费表'!B22&lt;=1,C5*F22*'数据-取费表'!B22,C5*(POWER((1+F22),'数据-取费表'!B22)-1)),0)</f>
        <v>71152</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700</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213073</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ROUND((C5+C19+C20)*F27,0)</f>
        <v>213073</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1463096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481815</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403380</v>
      </c>
      <c r="D34" s="217"/>
      <c r="E34" s="220"/>
      <c r="F34" s="257"/>
      <c r="G34" s="219"/>
    </row>
    <row r="35" spans="1:7" ht="13.5" customHeight="1">
      <c r="A35" s="779" t="s">
        <v>351</v>
      </c>
      <c r="B35" s="215" t="s">
        <v>1527</v>
      </c>
      <c r="C35" s="220">
        <f ca="1">ROUND(C34*F35,0)</f>
        <v>20169</v>
      </c>
      <c r="D35" s="220"/>
      <c r="E35" s="220"/>
      <c r="F35" s="259">
        <f>'数据-取费表'!B33</f>
        <v>0.05</v>
      </c>
      <c r="G35" s="219" t="s">
        <v>1528</v>
      </c>
    </row>
    <row r="36" spans="1:7" ht="24">
      <c r="A36" s="779" t="s">
        <v>352</v>
      </c>
      <c r="B36" s="215" t="s">
        <v>1529</v>
      </c>
      <c r="C36" s="220">
        <f ca="1">ROUND(IF(B1="",SUM('数据-取费表'!AP6:AP13)*F36,IF(INDIRECT("'数据-取费表'!c"&amp;$G$1)="住宅",INDIRECT("'数据-取费表'!k"&amp;$G$1)*INDIRECT("'数据-取费表'!l"&amp;$G$1)*F36,0)),0)</f>
        <v>32270</v>
      </c>
      <c r="D36" s="220"/>
      <c r="E36" s="220"/>
      <c r="F36" s="259">
        <f>'数据-取费表'!B34</f>
        <v>0.08</v>
      </c>
      <c r="G36" s="260" t="s">
        <v>1530</v>
      </c>
    </row>
    <row r="37" spans="1:7" s="258" customFormat="1" ht="13.5" customHeight="1">
      <c r="A37" s="779" t="s">
        <v>353</v>
      </c>
      <c r="B37" s="215" t="s">
        <v>1531</v>
      </c>
      <c r="C37" s="249">
        <f ca="1">ROUND(E37*D37,0)</f>
        <v>17928</v>
      </c>
      <c r="D37" s="217">
        <f ca="1">D19</f>
        <v>89.64</v>
      </c>
      <c r="E37" s="249">
        <f>'数据-取费表'!B35</f>
        <v>200</v>
      </c>
      <c r="F37" s="259"/>
      <c r="G37" s="261"/>
    </row>
    <row r="38" spans="1:7" ht="13.5" customHeight="1">
      <c r="A38" s="779" t="s">
        <v>354</v>
      </c>
      <c r="B38" s="215" t="s">
        <v>1533</v>
      </c>
      <c r="C38" s="220">
        <f ca="1">ROUND(C34*F38,0)</f>
        <v>8068</v>
      </c>
      <c r="D38" s="220"/>
      <c r="E38" s="220"/>
      <c r="F38" s="259">
        <f>'数据-取费表'!B36</f>
        <v>0.02</v>
      </c>
      <c r="G38" s="219" t="s">
        <v>1528</v>
      </c>
    </row>
    <row r="39" spans="1:7" s="214" customFormat="1" ht="13.5" customHeight="1">
      <c r="A39" s="255" t="s">
        <v>1534</v>
      </c>
      <c r="B39" s="210" t="s">
        <v>1535</v>
      </c>
      <c r="C39" s="232">
        <f ca="1">ROUND(C33*F20,0)</f>
        <v>9636</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16464</v>
      </c>
      <c r="D41" s="235">
        <f ca="1">C44</f>
        <v>6.9999999999999999E-4</v>
      </c>
      <c r="E41" s="236" t="s">
        <v>1539</v>
      </c>
      <c r="F41" s="237">
        <f ca="1">F22</f>
        <v>3.3500000000000002E-2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16141</v>
      </c>
      <c r="D42" s="238"/>
      <c r="E42" s="238"/>
      <c r="F42" s="239"/>
      <c r="G42" s="3658" t="s">
        <v>1591</v>
      </c>
    </row>
    <row r="43" spans="1:7" ht="13.5" customHeight="1">
      <c r="A43" s="779" t="s">
        <v>347</v>
      </c>
      <c r="B43" s="215" t="s">
        <v>1545</v>
      </c>
      <c r="C43" s="238">
        <f ca="1">ROUND(IF('数据-取费表'!B22&lt;=1,C39*F22*'数据-取费表'!B20/2,C39*(POWER((1+F22),'数据-取费表'!B20/2)-1)),0)</f>
        <v>323</v>
      </c>
      <c r="D43" s="238"/>
      <c r="E43" s="238"/>
      <c r="F43" s="239"/>
      <c r="G43" s="3659"/>
    </row>
    <row r="44" spans="1:7" ht="13.5" customHeight="1">
      <c r="A44" s="779" t="s">
        <v>348</v>
      </c>
      <c r="B44" s="215" t="s">
        <v>1546</v>
      </c>
      <c r="C44" s="238">
        <f ca="1">ROUND(IF('数据-取费表'!B22&lt;=1,C40*F22*'数据-取费表'!B20/2,C40*(POWER((1+F22),'数据-取费表'!B20/2)-1)),4)</f>
        <v>6.9999999999999999E-4</v>
      </c>
      <c r="D44" s="238"/>
      <c r="E44" s="238"/>
      <c r="F44" s="239"/>
      <c r="G44" s="3660"/>
    </row>
    <row r="45" spans="1:7" s="214" customFormat="1" ht="13.5" customHeight="1">
      <c r="A45" s="255" t="s">
        <v>1547</v>
      </c>
      <c r="B45" s="244" t="s">
        <v>1513</v>
      </c>
      <c r="C45" s="245">
        <f ca="1">C46</f>
        <v>98290</v>
      </c>
      <c r="D45" s="235">
        <f ca="1">C47</f>
        <v>4.0000000000000001E-3</v>
      </c>
      <c r="E45" s="236" t="s">
        <v>1539</v>
      </c>
      <c r="F45" s="246">
        <f ca="1">F27</f>
        <v>0.2</v>
      </c>
      <c r="G45" s="247" t="s">
        <v>1548</v>
      </c>
    </row>
    <row r="46" spans="1:7" s="214" customFormat="1" ht="13.5" customHeight="1">
      <c r="A46" s="779" t="s">
        <v>346</v>
      </c>
      <c r="B46" s="248" t="s">
        <v>1549</v>
      </c>
      <c r="C46" s="249">
        <f ca="1">ROUND((C33+C39)*F27,0)</f>
        <v>98290</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656848</v>
      </c>
      <c r="D49" s="232"/>
      <c r="E49" s="232"/>
      <c r="F49" s="264"/>
      <c r="G49" s="234" t="s">
        <v>1554</v>
      </c>
    </row>
    <row r="50" spans="1:7" s="258" customFormat="1">
      <c r="A50" s="255" t="s">
        <v>1555</v>
      </c>
      <c r="B50" s="210" t="s">
        <v>1556</v>
      </c>
      <c r="C50" s="232"/>
      <c r="D50" s="232"/>
      <c r="E50" s="232"/>
      <c r="F50" s="264">
        <f>IF('数据-取费表'!B24=0,'数据-取费表'!N16,1)</f>
        <v>0.95</v>
      </c>
      <c r="G50" s="247"/>
    </row>
    <row r="51" spans="1:7" ht="16.5" customHeight="1">
      <c r="A51" s="255" t="s">
        <v>1558</v>
      </c>
      <c r="B51" s="210" t="s">
        <v>1593</v>
      </c>
      <c r="C51" s="232">
        <f ca="1">ROUND(C49*F50,0)</f>
        <v>624006</v>
      </c>
      <c r="D51" s="232"/>
      <c r="E51" s="232"/>
      <c r="F51" s="264"/>
      <c r="G51" s="234" t="s">
        <v>1560</v>
      </c>
    </row>
    <row r="52" spans="1:7" s="208" customFormat="1" ht="16.5" thickBot="1">
      <c r="A52" s="265" t="s">
        <v>1561</v>
      </c>
      <c r="B52" s="266"/>
      <c r="C52" s="267">
        <f ca="1">C31+C51</f>
        <v>2087102</v>
      </c>
      <c r="D52" s="266"/>
      <c r="E52" s="266"/>
      <c r="F52" s="266"/>
      <c r="G52" s="268"/>
    </row>
    <row r="55" spans="1:7" ht="15">
      <c r="B55" s="270" t="s">
        <v>1562</v>
      </c>
      <c r="C55" s="271"/>
    </row>
    <row r="56" spans="1:7">
      <c r="B56" s="273" t="s">
        <v>802</v>
      </c>
      <c r="C56" s="275">
        <f ca="1">1-C57</f>
        <v>0.70100000000000007</v>
      </c>
    </row>
    <row r="57" spans="1:7">
      <c r="B57" s="273" t="s">
        <v>803</v>
      </c>
      <c r="C57" s="274">
        <f ca="1">ROUND(C51/C52,3)</f>
        <v>0.29899999999999999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89"/>
      <c r="C1" s="1190"/>
      <c r="D1" s="1188"/>
      <c r="E1" s="2804"/>
      <c r="F1" s="2804"/>
      <c r="G1" s="2669"/>
      <c r="H1" s="2804"/>
      <c r="I1" s="2804"/>
      <c r="J1" s="2804"/>
      <c r="K1" s="2805">
        <f>MATCH(C1,'数据-取费表'!A6:A16,0)+5</f>
        <v>8</v>
      </c>
    </row>
    <row r="2" spans="1:33" ht="18" customHeight="1">
      <c r="A2" s="201" t="s">
        <v>1462</v>
      </c>
      <c r="B2" s="204">
        <f ca="1">C32</f>
        <v>-42</v>
      </c>
      <c r="C2" s="276" t="s">
        <v>1595</v>
      </c>
      <c r="D2" s="276"/>
      <c r="E2" s="2804"/>
      <c r="F2" s="2804"/>
      <c r="G2" s="2804"/>
      <c r="H2" s="2804"/>
      <c r="I2" s="2804"/>
      <c r="J2" s="2804"/>
      <c r="K2" s="2804"/>
    </row>
    <row r="3" spans="1:33" ht="18" customHeight="1" thickBot="1">
      <c r="A3" s="203" t="s">
        <v>1464</v>
      </c>
      <c r="B3" s="204">
        <f ca="1">ROUND(B2*10000/IF(C1="",'数据-汇总表'!E3,INDIRECT("'数据-取费表'!K"&amp;$K$1)),0)</f>
        <v>-115</v>
      </c>
      <c r="C3" s="276" t="s">
        <v>1596</v>
      </c>
      <c r="D3" s="276"/>
      <c r="E3" s="2804"/>
      <c r="F3" s="2804"/>
      <c r="G3" s="2804"/>
      <c r="H3" s="2804"/>
      <c r="I3" s="2804"/>
      <c r="J3" s="2804"/>
      <c r="K3" s="2804"/>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0.08</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3643.6099999999992</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3643.6099999999992</v>
      </c>
      <c r="E17" s="21">
        <f>'数据-取费表'!B32</f>
        <v>0</v>
      </c>
      <c r="F17" s="805"/>
      <c r="G17" s="131" t="s">
        <v>1623</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35.1036</v>
      </c>
      <c r="D18" s="845"/>
      <c r="E18" s="21"/>
      <c r="F18" s="803"/>
      <c r="G18" s="1860"/>
      <c r="H18" s="1185"/>
      <c r="I18" s="1861" t="s">
        <v>1625</v>
      </c>
      <c r="J18" s="806"/>
      <c r="K18" s="807"/>
    </row>
    <row r="19" spans="1:33" s="802" customFormat="1" ht="13.5" customHeight="1">
      <c r="A19" s="799" t="s">
        <v>360</v>
      </c>
      <c r="B19" s="800" t="s">
        <v>1626</v>
      </c>
      <c r="C19" s="21">
        <f ca="1">ROUND(D19*E19/10000,0)</f>
        <v>36</v>
      </c>
      <c r="D19" s="845">
        <f ca="1">IF(C1="",'数据-汇总表'!E5,IF(INDIRECT("'数据-取费表'!c"&amp;$K$1)="住宅",INDIRECT("'数据-取费表'!k"&amp;$K$1),0))</f>
        <v>3643.6099999999992</v>
      </c>
      <c r="E19" s="21">
        <f>'数据-取费表'!B27</f>
        <v>100</v>
      </c>
      <c r="F19" s="803"/>
      <c r="G19" s="12"/>
      <c r="H19" s="1187"/>
      <c r="I19" s="808"/>
      <c r="J19" s="808"/>
      <c r="K19" s="809"/>
    </row>
    <row r="20" spans="1:33" s="802" customFormat="1" ht="13.5" customHeight="1">
      <c r="A20" s="799" t="s">
        <v>361</v>
      </c>
      <c r="B20" s="800" t="s">
        <v>1627</v>
      </c>
      <c r="C20" s="21">
        <f ca="1">ROUND(D20*E20/10000,0)</f>
        <v>0</v>
      </c>
      <c r="D20" s="845">
        <f ca="1">IF(C1="",'数据-汇总表'!E6,IF(INDIRECT("'数据-取费表'!c"&amp;$K$1)="住宅",INDIRECT("'数据-取费表'!s"&amp;$K$1),INDIRECT("'数据-取费表'!k"&amp;$K$1)+INDIRECT("'数据-取费表'!s"&amp;$K$1)))</f>
        <v>0</v>
      </c>
      <c r="E20" s="21">
        <f>'数据-取费表'!B28</f>
        <v>150</v>
      </c>
      <c r="F20" s="803"/>
      <c r="G20" s="12"/>
      <c r="H20" s="808"/>
      <c r="I20" s="808"/>
      <c r="J20" s="808"/>
      <c r="K20" s="809"/>
    </row>
    <row r="21" spans="1:33" s="802" customFormat="1" ht="13.5" customHeight="1">
      <c r="A21" s="789" t="s">
        <v>357</v>
      </c>
      <c r="B21" s="812" t="s">
        <v>1628</v>
      </c>
      <c r="C21" s="813">
        <f ca="1">C16+C17+C18</f>
        <v>35.1036</v>
      </c>
      <c r="D21" s="814"/>
      <c r="E21" s="281"/>
      <c r="F21" s="281"/>
      <c r="G21" s="131" t="s">
        <v>1629</v>
      </c>
      <c r="H21" s="806"/>
      <c r="I21" s="806"/>
      <c r="J21" s="806"/>
      <c r="K21" s="807"/>
    </row>
    <row r="22" spans="1:33" s="802" customFormat="1" ht="13.5" customHeight="1">
      <c r="A22" s="789" t="s">
        <v>1601</v>
      </c>
      <c r="B22" s="812" t="s">
        <v>1630</v>
      </c>
      <c r="C22" s="813">
        <f ca="1">ROUND(C21*F22,0)</f>
        <v>1</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6"/>
      <c r="I27" s="806"/>
      <c r="J27" s="806"/>
      <c r="K27" s="807"/>
    </row>
    <row r="28" spans="1:33" s="289" customFormat="1" ht="13.5" customHeight="1">
      <c r="A28" s="789" t="s">
        <v>1641</v>
      </c>
      <c r="B28" s="1863" t="s">
        <v>1642</v>
      </c>
      <c r="C28" s="287">
        <f ca="1">C30</f>
        <v>7</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7</v>
      </c>
      <c r="D30" s="284"/>
      <c r="E30" s="285"/>
      <c r="F30" s="290"/>
      <c r="G30" s="131"/>
      <c r="H30" s="806"/>
      <c r="I30" s="806"/>
      <c r="J30" s="806"/>
      <c r="K30" s="807"/>
    </row>
    <row r="31" spans="1:33" s="802" customFormat="1" ht="13.5" customHeight="1" thickBot="1">
      <c r="A31" s="1864"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-42</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c r="D1" s="1360" t="s">
        <v>43</v>
      </c>
      <c r="E1" s="1361" t="s">
        <v>678</v>
      </c>
      <c r="F1" s="1061">
        <f ca="1">J53</f>
        <v>0</v>
      </c>
      <c r="G1" s="1376">
        <f>MATCH(C1,'数据-取费表'!A6:A16,0)+5</f>
        <v>8</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878</v>
      </c>
      <c r="B2" s="3423" t="e">
        <f ca="1">ROUND(D2/10000,4)</f>
        <v>#DIV/0!</v>
      </c>
      <c r="C2" s="1385" t="s">
        <v>879</v>
      </c>
      <c r="D2" s="1469" t="e">
        <f ca="1">C40+J29+L46</f>
        <v>#DIV/0!</v>
      </c>
      <c r="E2" s="1386" t="s">
        <v>880</v>
      </c>
      <c r="F2" s="1387"/>
      <c r="G2" s="2704"/>
      <c r="H2" s="2693"/>
      <c r="I2" s="2693"/>
      <c r="J2" s="2693"/>
      <c r="K2" s="2694"/>
      <c r="L2" s="2693"/>
      <c r="M2" s="2693"/>
    </row>
    <row r="3" spans="1:37" ht="18" customHeight="1" thickBot="1">
      <c r="A3" s="1388" t="s">
        <v>881</v>
      </c>
      <c r="B3" s="1389">
        <f ca="1">IF(ISERROR(D2/F43),0,ROUND(D2/F43,0))</f>
        <v>0</v>
      </c>
      <c r="C3" s="1385" t="s">
        <v>882</v>
      </c>
      <c r="D3" s="1385"/>
      <c r="E3" s="1386"/>
      <c r="F3" s="1387"/>
      <c r="G3" s="2704"/>
      <c r="H3" s="682"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9">
        <f ca="1">C6+C10+C12</f>
        <v>0</v>
      </c>
      <c r="D5" s="1362" t="s">
        <v>889</v>
      </c>
      <c r="E5" s="1070"/>
      <c r="F5" s="1071"/>
      <c r="G5" s="1382"/>
      <c r="H5" s="299">
        <v>1</v>
      </c>
      <c r="I5" s="300" t="s">
        <v>888</v>
      </c>
      <c r="J5" s="1069">
        <f ca="1">J6+J10+J12</f>
        <v>0</v>
      </c>
      <c r="K5" s="1362" t="s">
        <v>889</v>
      </c>
      <c r="L5" s="1070"/>
      <c r="M5" s="1071"/>
    </row>
    <row r="6" spans="1:37" ht="18" customHeight="1">
      <c r="A6" s="1068" t="s">
        <v>398</v>
      </c>
      <c r="B6" s="3661" t="s">
        <v>694</v>
      </c>
      <c r="C6" s="1073">
        <f ca="1">ROUND(F6*F8*F7*(1-F9),0)</f>
        <v>0</v>
      </c>
      <c r="D6" s="155" t="s">
        <v>2105</v>
      </c>
      <c r="E6" s="302" t="s">
        <v>696</v>
      </c>
      <c r="F6" s="303">
        <f ca="1">INDIRECT("'数据-取费表'!u"&amp;$G$1)</f>
        <v>0</v>
      </c>
      <c r="G6" s="1382"/>
      <c r="H6" s="1068" t="s">
        <v>398</v>
      </c>
      <c r="I6" s="3661" t="s">
        <v>694</v>
      </c>
      <c r="J6" s="301">
        <f ca="1">ROUND(M6*M8*M7*(1-M9),0)</f>
        <v>0</v>
      </c>
      <c r="K6" s="1374" t="s">
        <v>2106</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0</v>
      </c>
      <c r="G7" s="1382"/>
      <c r="H7" s="304"/>
      <c r="I7" s="3662"/>
      <c r="J7" s="306"/>
      <c r="K7" s="307"/>
      <c r="L7" s="302" t="s">
        <v>697</v>
      </c>
      <c r="M7" s="303">
        <f ca="1">F7</f>
        <v>0</v>
      </c>
    </row>
    <row r="8" spans="1:37" ht="18" customHeight="1">
      <c r="A8" s="304"/>
      <c r="B8" s="3662"/>
      <c r="C8" s="306"/>
      <c r="D8" s="307"/>
      <c r="E8" s="302" t="s">
        <v>698</v>
      </c>
      <c r="F8" s="303">
        <f ca="1">INDIRECT("'数据-取费表'!ai"&amp;$G$1)</f>
        <v>0</v>
      </c>
      <c r="G8" s="1382"/>
      <c r="H8" s="304"/>
      <c r="I8" s="3662"/>
      <c r="J8" s="306"/>
      <c r="K8" s="307"/>
      <c r="L8" s="302" t="s">
        <v>698</v>
      </c>
      <c r="M8" s="303">
        <f ca="1">INDIRECT("'数据-取费表'!ai"&amp;$G$1)</f>
        <v>0</v>
      </c>
    </row>
    <row r="9" spans="1:37" ht="18" customHeight="1">
      <c r="A9" s="304"/>
      <c r="B9" s="3663"/>
      <c r="C9" s="306"/>
      <c r="D9" s="307"/>
      <c r="E9" s="302" t="s">
        <v>699</v>
      </c>
      <c r="F9" s="312">
        <f ca="1">INDIRECT("'数据-取费表'!w"&amp;$G$1)</f>
        <v>0</v>
      </c>
      <c r="G9" s="1382"/>
      <c r="H9" s="304"/>
      <c r="I9" s="3663"/>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2115</v>
      </c>
      <c r="E10" s="313" t="s">
        <v>701</v>
      </c>
      <c r="F10" s="1115"/>
      <c r="G10" s="1382"/>
      <c r="H10" s="1068" t="s">
        <v>402</v>
      </c>
      <c r="I10" s="1363" t="s">
        <v>700</v>
      </c>
      <c r="J10" s="301">
        <f ca="1">ROUND(IF(M10="押一",J6/12*M11,IF(M10="押二",J6/12*2*M11,IF(M10="押三",J6/12*3*M11,J11*M11))),0)</f>
        <v>0</v>
      </c>
      <c r="K10" s="1375" t="s">
        <v>2117</v>
      </c>
      <c r="L10" s="313" t="s">
        <v>701</v>
      </c>
      <c r="M10" s="1115"/>
    </row>
    <row r="11" spans="1:37" ht="18" customHeight="1">
      <c r="A11" s="308"/>
      <c r="B11" s="1365" t="s">
        <v>890</v>
      </c>
      <c r="C11" s="958"/>
      <c r="D11" s="307"/>
      <c r="E11" s="313" t="s">
        <v>702</v>
      </c>
      <c r="F11" s="314">
        <f ca="1">'数据-取费表'!B39</f>
        <v>1.4999999999999999E-2</v>
      </c>
      <c r="G11" s="1382"/>
      <c r="H11" s="1076"/>
      <c r="I11" s="1365" t="s">
        <v>891</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2" t="s">
        <v>707</v>
      </c>
      <c r="C14" s="318">
        <f ca="1">ROUND(INDIRECT("'数据-取费表'!l"&amp;$G$1)*F43+'数据-取费表'!L14*INDIRECT("'数据-取费表'!S"&amp;$G$1),0)</f>
        <v>0</v>
      </c>
      <c r="D14" s="1343" t="s">
        <v>708</v>
      </c>
      <c r="E14" s="1340"/>
      <c r="F14" s="319"/>
      <c r="G14" s="1382"/>
      <c r="H14" s="981" t="s">
        <v>398</v>
      </c>
      <c r="I14" s="302" t="s">
        <v>709</v>
      </c>
      <c r="J14" s="21">
        <f ca="1">C29</f>
        <v>0</v>
      </c>
      <c r="K14" s="12"/>
      <c r="L14" s="806"/>
      <c r="M14" s="807"/>
    </row>
    <row r="15" spans="1:37" s="1395" customFormat="1" ht="18" customHeight="1" thickBot="1">
      <c r="A15" s="981" t="s">
        <v>399</v>
      </c>
      <c r="B15" s="302" t="s">
        <v>710</v>
      </c>
      <c r="C15" s="21">
        <f ca="1">ROUND(C14*F15,0)</f>
        <v>0</v>
      </c>
      <c r="D15" s="320" t="s">
        <v>711</v>
      </c>
      <c r="E15" s="320" t="s">
        <v>712</v>
      </c>
      <c r="F15" s="321">
        <f>'数据-取费表'!B33</f>
        <v>0.05</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2"/>
      <c r="H16" s="1078" t="s">
        <v>393</v>
      </c>
      <c r="I16" s="1079" t="s">
        <v>714</v>
      </c>
      <c r="J16" s="310">
        <f ca="1">ROUND(J17+J22+J23+J24,0)</f>
        <v>0</v>
      </c>
      <c r="K16" s="1086" t="s">
        <v>715</v>
      </c>
      <c r="L16" s="1087"/>
      <c r="M16" s="1071"/>
    </row>
    <row r="17" spans="1:37" s="1395" customFormat="1" ht="18" customHeight="1">
      <c r="A17" s="981" t="s">
        <v>681</v>
      </c>
      <c r="B17" s="302" t="s">
        <v>716</v>
      </c>
      <c r="C17" s="21">
        <f ca="1">ROUND(F17*(F43+INDIRECT("'数据-取费表'!S"&amp;$G$1)),0)</f>
        <v>0</v>
      </c>
      <c r="D17" s="302" t="s">
        <v>717</v>
      </c>
      <c r="E17" s="302" t="s">
        <v>718</v>
      </c>
      <c r="F17" s="23">
        <f>'数据-取费表'!B35</f>
        <v>200</v>
      </c>
      <c r="G17" s="1394"/>
      <c r="H17" s="981"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0</v>
      </c>
      <c r="D18" s="302" t="s">
        <v>711</v>
      </c>
      <c r="E18" s="302" t="s">
        <v>712</v>
      </c>
      <c r="F18" s="322">
        <f>'数据-取费表'!B36</f>
        <v>0.02</v>
      </c>
      <c r="G18" s="1394"/>
      <c r="H18" s="981"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0</v>
      </c>
      <c r="D19" s="131" t="s">
        <v>726</v>
      </c>
      <c r="E19" s="1358"/>
      <c r="F19" s="23"/>
      <c r="G19" s="1382"/>
      <c r="H19" s="981" t="s">
        <v>399</v>
      </c>
      <c r="I19" s="302" t="s">
        <v>727</v>
      </c>
      <c r="J19" s="21">
        <f ca="1">IF(K19="按租金收入计税",ROUND(J6*M19/(1+'数据-取费表'!C42),0),ROUND(C29*M19*0.7,0))</f>
        <v>0</v>
      </c>
      <c r="K19" s="1368" t="s">
        <v>3336</v>
      </c>
      <c r="L19" s="302" t="s">
        <v>712</v>
      </c>
      <c r="M19" s="322">
        <f>IF(K19="按租金收入计税",'数据-取费表'!B51,'数据-取费表'!B50)</f>
        <v>0.12</v>
      </c>
    </row>
    <row r="20" spans="1:37" s="1395" customFormat="1" ht="18" customHeight="1">
      <c r="A20" s="981" t="s">
        <v>402</v>
      </c>
      <c r="B20" s="302" t="s">
        <v>728</v>
      </c>
      <c r="C20" s="21">
        <f ca="1">ROUND(C19*F20,0)</f>
        <v>0</v>
      </c>
      <c r="D20" s="323" t="s">
        <v>729</v>
      </c>
      <c r="E20" s="302" t="s">
        <v>712</v>
      </c>
      <c r="F20" s="322">
        <f>'数据-取费表'!B37</f>
        <v>0.02</v>
      </c>
      <c r="G20" s="1394"/>
      <c r="H20" s="981"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8"/>
      <c r="F22" s="23"/>
      <c r="G22" s="1382"/>
      <c r="H22" s="981" t="s">
        <v>402</v>
      </c>
      <c r="I22" s="302" t="s">
        <v>738</v>
      </c>
      <c r="J22" s="21">
        <f ca="1">ROUND(J14*M22,0)</f>
        <v>0</v>
      </c>
      <c r="K22" s="1342" t="s">
        <v>739</v>
      </c>
      <c r="L22" s="302" t="s">
        <v>712</v>
      </c>
      <c r="M22" s="328">
        <f ca="1">INDIRECT("'数据-取费表'!Ak"&amp;$G$1)</f>
        <v>0</v>
      </c>
    </row>
    <row r="23" spans="1:37" s="1395"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1" t="s">
        <v>437</v>
      </c>
      <c r="I23" s="302" t="s">
        <v>742</v>
      </c>
      <c r="J23" s="21">
        <f ca="1">ROUND(J13*M23,0)</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4"/>
      <c r="H24" s="1088" t="s">
        <v>684</v>
      </c>
      <c r="I24" s="1089" t="s">
        <v>728</v>
      </c>
      <c r="J24" s="1090">
        <f ca="1">ROUND(J5*M24,0)</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749</v>
      </c>
      <c r="B25" s="302" t="s">
        <v>750</v>
      </c>
      <c r="C25" s="21"/>
      <c r="D25" s="131" t="s">
        <v>751</v>
      </c>
      <c r="E25" s="1358"/>
      <c r="F25" s="23"/>
      <c r="G25" s="1382"/>
      <c r="H25" s="1078" t="s">
        <v>394</v>
      </c>
      <c r="I25" s="1093" t="s">
        <v>752</v>
      </c>
      <c r="J25" s="310">
        <f ca="1">J5-J16</f>
        <v>0</v>
      </c>
      <c r="K25" s="1094" t="s">
        <v>753</v>
      </c>
      <c r="L25" s="1095"/>
      <c r="M25" s="1096"/>
    </row>
    <row r="26" spans="1:37" ht="18" customHeight="1">
      <c r="A26" s="981"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0</v>
      </c>
      <c r="D30" s="1086" t="s">
        <v>715</v>
      </c>
      <c r="E30" s="1087"/>
      <c r="F30" s="1071"/>
      <c r="G30" s="1382"/>
      <c r="H30" s="2695"/>
      <c r="I30" s="1396"/>
      <c r="J30" s="1397"/>
      <c r="K30" s="2473"/>
      <c r="L30" s="2696"/>
      <c r="M30" s="2697"/>
    </row>
    <row r="31" spans="1:37" ht="18" customHeight="1">
      <c r="A31" s="981" t="s">
        <v>398</v>
      </c>
      <c r="B31" s="302" t="s">
        <v>719</v>
      </c>
      <c r="C31" s="2314">
        <f ca="1">ROUND(IF(AND(项目基本情况!B11="自然人",项目基本情况!B10="北京市"),C6*F31/(1+'数据-取费表'!C42),C32+C33+C34),0)</f>
        <v>0</v>
      </c>
      <c r="D31" s="1343" t="s">
        <v>720</v>
      </c>
      <c r="E31" s="1342" t="s">
        <v>770</v>
      </c>
      <c r="F31" s="2313" t="str">
        <f>IF(项目基本情况!B11="企业","——",IF(M47="住宅",IF(F6*F7*F8/12/(1+'数据-取费表'!F30)&gt;100000,4%,2.5%),IF(F6*F7*F8/12/(1+'数据-取费表'!F30)&gt;100000,12%,7%)))</f>
        <v>——</v>
      </c>
      <c r="G31" s="1382"/>
      <c r="H31" s="2806" t="s">
        <v>2307</v>
      </c>
      <c r="I31" s="1396"/>
      <c r="J31" s="1397"/>
      <c r="K31" s="2473"/>
      <c r="L31" s="2696"/>
      <c r="M31" s="2697"/>
    </row>
    <row r="32" spans="1:37" ht="18" customHeight="1">
      <c r="A32" s="981" t="s">
        <v>397</v>
      </c>
      <c r="B32" s="302" t="s">
        <v>723</v>
      </c>
      <c r="C32" s="21">
        <f ca="1">IF(项目基本情况!B11="自然人","——",ROUND(C6*F32/(1+'数据-取费表'!C42),0))</f>
        <v>0</v>
      </c>
      <c r="D32" s="1342" t="s">
        <v>724</v>
      </c>
      <c r="E32" s="302" t="s">
        <v>712</v>
      </c>
      <c r="F32" s="331">
        <f>'数据-取费表'!B41</f>
        <v>5.5000000000000007E-2</v>
      </c>
      <c r="G32" s="1382"/>
      <c r="H32" s="2695"/>
      <c r="I32" s="1396"/>
      <c r="J32" s="1397"/>
      <c r="K32" s="2473"/>
      <c r="L32" s="2696"/>
      <c r="M32" s="2697"/>
    </row>
    <row r="33" spans="1:18" ht="18" customHeight="1">
      <c r="A33" s="981" t="s">
        <v>399</v>
      </c>
      <c r="B33" s="302" t="s">
        <v>727</v>
      </c>
      <c r="C33" s="21">
        <f ca="1">IF(项目基本情况!B11="自然人","——",IF(D33="按租金收入计税",ROUND(C6*F33/(1+'数据-取费表'!C42),0),IF(D33="按房产原值计税",ROUND(C29*F33*0.7,0),INDIRECT("'数据-取费表'!Aj"&amp;$G$1))))</f>
        <v>0</v>
      </c>
      <c r="D33" s="1368" t="s">
        <v>3336</v>
      </c>
      <c r="E33" s="302" t="s">
        <v>712</v>
      </c>
      <c r="F33" s="322">
        <f>IF(D33="按票据","——",IF(D33="按租金收入计税",'数据-取费表'!B51,'数据-取费表'!B50))</f>
        <v>0.12</v>
      </c>
      <c r="G33" s="1382"/>
      <c r="H33" s="2698"/>
      <c r="I33" s="1396"/>
      <c r="J33" s="1397"/>
      <c r="K33" s="2699"/>
      <c r="L33" s="2698"/>
      <c r="M33" s="2698"/>
    </row>
    <row r="34" spans="1:18" ht="18" customHeight="1">
      <c r="A34" s="1068" t="s">
        <v>680</v>
      </c>
      <c r="B34" s="155" t="s">
        <v>730</v>
      </c>
      <c r="C34" s="22">
        <f ca="1">IF(项目基本情况!B11="自然人","——",ROUND(F34*F35,0))</f>
        <v>0</v>
      </c>
      <c r="D34" s="324" t="s">
        <v>731</v>
      </c>
      <c r="E34" s="302" t="s">
        <v>732</v>
      </c>
      <c r="F34" s="325">
        <f>'数据-取费表'!B52</f>
        <v>1.5</v>
      </c>
      <c r="G34" s="1382"/>
      <c r="H34" s="2695"/>
      <c r="I34" s="1396"/>
      <c r="J34" s="1397"/>
      <c r="K34" s="2700"/>
      <c r="L34" s="2701"/>
      <c r="M34" s="2701"/>
    </row>
    <row r="35" spans="1:18" ht="18" customHeight="1">
      <c r="A35" s="1102"/>
      <c r="B35" s="1100"/>
      <c r="C35" s="26"/>
      <c r="D35" s="327"/>
      <c r="E35" s="302" t="s">
        <v>736</v>
      </c>
      <c r="F35" s="303">
        <f ca="1">INDIRECT("'数据-取费表'!r"&amp;$G$1)</f>
        <v>0</v>
      </c>
      <c r="G35" s="1382"/>
      <c r="H35" s="2695"/>
      <c r="I35" s="1396"/>
      <c r="J35" s="1397"/>
      <c r="K35" s="2699"/>
      <c r="L35" s="2698"/>
      <c r="M35" s="2698"/>
    </row>
    <row r="36" spans="1:18" ht="18" customHeight="1">
      <c r="A36" s="1101" t="s">
        <v>402</v>
      </c>
      <c r="B36" s="302" t="s">
        <v>738</v>
      </c>
      <c r="C36" s="21">
        <f ca="1">ROUND(C29*F36,0)</f>
        <v>0</v>
      </c>
      <c r="D36" s="1342" t="s">
        <v>771</v>
      </c>
      <c r="E36" s="302" t="s">
        <v>712</v>
      </c>
      <c r="F36" s="328">
        <f ca="1">INDIRECT("'数据-取费表'!Ak"&amp;$G$1)</f>
        <v>0</v>
      </c>
      <c r="G36" s="1382"/>
      <c r="H36" s="2698"/>
      <c r="I36" s="1396"/>
      <c r="J36" s="1397"/>
      <c r="K36" s="2542"/>
      <c r="L36" s="2698"/>
      <c r="M36" s="2698"/>
    </row>
    <row r="37" spans="1:18" ht="18" customHeight="1">
      <c r="A37" s="981" t="s">
        <v>437</v>
      </c>
      <c r="B37" s="302" t="s">
        <v>742</v>
      </c>
      <c r="C37" s="21">
        <f ca="1">ROUND(C13*F37,0)</f>
        <v>0</v>
      </c>
      <c r="D37" s="1342" t="s">
        <v>743</v>
      </c>
      <c r="E37" s="302" t="s">
        <v>744</v>
      </c>
      <c r="F37" s="330">
        <f ca="1">INDIRECT("'数据-取费表'!Al"&amp;$G$1)</f>
        <v>0</v>
      </c>
      <c r="G37" s="1382"/>
      <c r="H37" s="2698"/>
      <c r="I37" s="1396"/>
      <c r="J37" s="1397"/>
      <c r="K37" s="2542"/>
      <c r="L37" s="2698"/>
      <c r="M37" s="2698"/>
    </row>
    <row r="38" spans="1:18" ht="18" customHeight="1" thickBot="1">
      <c r="A38" s="1088" t="s">
        <v>684</v>
      </c>
      <c r="B38" s="1089" t="s">
        <v>728</v>
      </c>
      <c r="C38" s="1090">
        <f ca="1">ROUND(C5*F38,0)</f>
        <v>0</v>
      </c>
      <c r="D38" s="1091" t="s">
        <v>748</v>
      </c>
      <c r="E38" s="1089" t="s">
        <v>744</v>
      </c>
      <c r="F38" s="1085">
        <f ca="1">INDIRECT("'数据-取费表'!Am"&amp;$G$1)</f>
        <v>0</v>
      </c>
      <c r="G38" s="1382"/>
      <c r="H38" s="2698"/>
      <c r="I38" s="1396"/>
      <c r="J38" s="1397"/>
      <c r="K38" s="2702"/>
      <c r="L38" s="2698"/>
      <c r="M38" s="2698"/>
    </row>
    <row r="39" spans="1:18" ht="24.6" customHeight="1" thickTop="1">
      <c r="A39" s="1078" t="s">
        <v>394</v>
      </c>
      <c r="B39" s="1093" t="s">
        <v>772</v>
      </c>
      <c r="C39" s="310">
        <f ca="1">C5-C30</f>
        <v>0</v>
      </c>
      <c r="D39" s="1094" t="s">
        <v>773</v>
      </c>
      <c r="E39" s="1095"/>
      <c r="F39" s="1096"/>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3352</v>
      </c>
      <c r="B45" s="1398"/>
      <c r="C45" s="1470" t="e">
        <f ca="1">ROUND((C68-C40)/10000,4)</f>
        <v>#DIV/0!</v>
      </c>
      <c r="D45" s="3430" t="s">
        <v>3353</v>
      </c>
      <c r="E45" s="1398"/>
      <c r="F45" s="1398"/>
      <c r="O45" s="1401" t="s">
        <v>808</v>
      </c>
      <c r="P45" s="1459"/>
      <c r="Q45" s="1459"/>
      <c r="R45" s="1459"/>
    </row>
    <row r="46" spans="1:18" s="1382" customFormat="1" ht="13.5" thickBot="1">
      <c r="A46" s="1402" t="s">
        <v>809</v>
      </c>
      <c r="C46" s="1403" t="e">
        <f ca="1">ROUND(C45,0)</f>
        <v>#DIV/0!</v>
      </c>
      <c r="D46" s="1404" t="str">
        <f>C2</f>
        <v>万元</v>
      </c>
      <c r="I46" s="1405" t="s">
        <v>810</v>
      </c>
      <c r="J46" s="1406"/>
      <c r="K46" s="1407"/>
      <c r="L46" s="1408" t="e">
        <f ca="1">IF(M47="住宅",0,IF(L48&gt;J51,L60,J60))</f>
        <v>#DIV/0!</v>
      </c>
      <c r="O46" s="1409" t="s">
        <v>811</v>
      </c>
      <c r="P46" s="1410" t="s">
        <v>812</v>
      </c>
      <c r="Q46" s="1411" t="s">
        <v>813</v>
      </c>
      <c r="R46" s="1411" t="s">
        <v>814</v>
      </c>
    </row>
    <row r="47" spans="1:18" s="1382" customFormat="1" ht="13.5" thickBot="1">
      <c r="A47" s="945" t="s">
        <v>687</v>
      </c>
      <c r="B47" s="977" t="s">
        <v>688</v>
      </c>
      <c r="C47" s="977" t="s">
        <v>689</v>
      </c>
      <c r="D47" s="977" t="s">
        <v>690</v>
      </c>
      <c r="E47" s="1057" t="s">
        <v>691</v>
      </c>
      <c r="F47" s="1058"/>
      <c r="G47" s="721"/>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9" t="s">
        <v>438</v>
      </c>
      <c r="B48" s="300" t="s">
        <v>692</v>
      </c>
      <c r="C48" s="1357">
        <f ca="1">C49+C53+C55</f>
        <v>0</v>
      </c>
      <c r="D48" s="1111"/>
      <c r="E48" s="1112"/>
      <c r="F48" s="961"/>
      <c r="G48" s="721"/>
      <c r="H48" s="722"/>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4" t="s">
        <v>439</v>
      </c>
      <c r="B49" s="1369" t="s">
        <v>779</v>
      </c>
      <c r="C49" s="1113">
        <f ca="1">ROUND(F49*F51*F50*(1-F52),0)</f>
        <v>0</v>
      </c>
      <c r="D49" s="1054" t="s">
        <v>695</v>
      </c>
      <c r="E49" s="1370" t="s">
        <v>780</v>
      </c>
      <c r="F49" s="1059"/>
      <c r="G49" s="1423"/>
      <c r="H49" s="722"/>
      <c r="I49" s="1419" t="s">
        <v>823</v>
      </c>
      <c r="J49" s="1424"/>
      <c r="K49" s="1421" t="s">
        <v>824</v>
      </c>
      <c r="L49" s="1425"/>
      <c r="O49" s="1426" t="s">
        <v>405</v>
      </c>
      <c r="P49" s="1417" t="s">
        <v>825</v>
      </c>
      <c r="Q49" s="1418">
        <f ca="1">C29</f>
        <v>0</v>
      </c>
      <c r="R49" s="1418" t="s">
        <v>818</v>
      </c>
    </row>
    <row r="50" spans="1:18" s="1382" customFormat="1" ht="13.5" thickBot="1">
      <c r="A50" s="975"/>
      <c r="B50" s="978"/>
      <c r="C50" s="979"/>
      <c r="D50" s="952"/>
      <c r="E50" s="1055" t="s">
        <v>697</v>
      </c>
      <c r="F50" s="1056">
        <f ca="1">F7</f>
        <v>0</v>
      </c>
      <c r="H50" s="722"/>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6"/>
      <c r="B51" s="978"/>
      <c r="C51" s="979"/>
      <c r="D51" s="952"/>
      <c r="E51" s="980"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6"/>
      <c r="B52" s="978"/>
      <c r="C52" s="979"/>
      <c r="D52" s="952"/>
      <c r="E52" s="980" t="s">
        <v>699</v>
      </c>
      <c r="F52" s="1053"/>
      <c r="I52" s="1435" t="s">
        <v>832</v>
      </c>
      <c r="J52" s="1436"/>
      <c r="K52" s="1435" t="s">
        <v>833</v>
      </c>
      <c r="L52" s="1436"/>
      <c r="O52" s="1426" t="s">
        <v>408</v>
      </c>
      <c r="P52" s="1417" t="s">
        <v>834</v>
      </c>
      <c r="Q52" s="1418">
        <f ca="1">J53</f>
        <v>0</v>
      </c>
      <c r="R52" s="1418" t="s">
        <v>835</v>
      </c>
    </row>
    <row r="53" spans="1:18" s="1382" customFormat="1" ht="30.75" customHeight="1" thickBot="1">
      <c r="A53" s="1110" t="s">
        <v>440</v>
      </c>
      <c r="B53" s="323" t="s">
        <v>700</v>
      </c>
      <c r="C53" s="316">
        <f ca="1">ROUND(IF(F53="押一",C49/12*F11,IF(F53="押二",C49/12*2*F11,IF(F53="押三",C49/12*3*F11,C54*F11))),0)</f>
        <v>0</v>
      </c>
      <c r="D53" s="1364" t="s">
        <v>2118</v>
      </c>
      <c r="E53" s="313" t="s">
        <v>701</v>
      </c>
      <c r="F53" s="1115"/>
      <c r="I53" s="1437" t="s">
        <v>836</v>
      </c>
      <c r="J53" s="2166">
        <f ca="1">IF(M47="住宅",IF(D1="——",MAX(J51,L48),MAX(J51,L48-'数据-取费表'!B24)),IF(D1="——",MIN(J51,L48),MIN(J51,L48-'数据-取费表'!B24)))</f>
        <v>0</v>
      </c>
      <c r="K53" s="3664" t="s">
        <v>837</v>
      </c>
      <c r="L53" s="3665"/>
      <c r="O53" s="1416" t="s">
        <v>409</v>
      </c>
      <c r="P53" s="1417" t="s">
        <v>838</v>
      </c>
      <c r="Q53" s="1418" t="e">
        <f ca="1">Q47+Q48</f>
        <v>#DIV/0!</v>
      </c>
      <c r="R53" s="1418" t="s">
        <v>410</v>
      </c>
    </row>
    <row r="54" spans="1:18" s="1382" customFormat="1" ht="13.5" thickBot="1">
      <c r="A54" s="974"/>
      <c r="B54" s="1471" t="s">
        <v>891</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36" customHeight="1" thickTop="1" thickBot="1">
      <c r="A56" s="956">
        <v>2</v>
      </c>
      <c r="B56" s="957" t="s">
        <v>704</v>
      </c>
      <c r="C56" s="232">
        <f ca="1">C13</f>
        <v>0</v>
      </c>
      <c r="D56" s="1445"/>
      <c r="E56" s="1446"/>
      <c r="F56" s="1438"/>
      <c r="I56" s="1447" t="s">
        <v>842</v>
      </c>
      <c r="J56" s="1448"/>
      <c r="K56" s="1419" t="s">
        <v>843</v>
      </c>
      <c r="L56" s="1422">
        <f ca="1">IF(L48&lt;J51,"——",L48-J51)</f>
        <v>0</v>
      </c>
      <c r="O56" s="1416" t="s">
        <v>403</v>
      </c>
      <c r="P56" s="1417" t="s">
        <v>817</v>
      </c>
      <c r="Q56" s="1418" t="e">
        <f ca="1">C40+J29</f>
        <v>#DIV/0!</v>
      </c>
      <c r="R56" s="1418" t="s">
        <v>818</v>
      </c>
    </row>
    <row r="57" spans="1:18" s="1382" customFormat="1" ht="24.75" thickBot="1">
      <c r="A57" s="1449"/>
      <c r="B57" s="949" t="s">
        <v>767</v>
      </c>
      <c r="C57" s="238">
        <f ca="1">C29</f>
        <v>0</v>
      </c>
      <c r="D57" s="1450"/>
      <c r="E57" s="1451"/>
      <c r="F57" s="1452"/>
      <c r="I57" s="1453" t="s">
        <v>844</v>
      </c>
      <c r="J57" s="1454">
        <f ca="1">IF(OR(M47="住宅",J51&lt;L48,J56="是"),"——",J51-L48)</f>
        <v>0</v>
      </c>
      <c r="K57" s="1419" t="s">
        <v>892</v>
      </c>
      <c r="L57" s="1422">
        <f ca="1">IF(L48&lt;J51,"——",IF(L55="比较法",L49,IF(L55="基准地价",L50,L51)))</f>
        <v>0</v>
      </c>
      <c r="O57" s="1416" t="s">
        <v>404</v>
      </c>
      <c r="P57" s="1417" t="s">
        <v>893</v>
      </c>
      <c r="Q57" s="1418" t="e">
        <f ca="1">L60</f>
        <v>#DIV/0!</v>
      </c>
      <c r="R57" s="1418" t="s">
        <v>894</v>
      </c>
    </row>
    <row r="58" spans="1:18" s="1382" customFormat="1" ht="24.75" thickBot="1">
      <c r="A58" s="315" t="s">
        <v>393</v>
      </c>
      <c r="B58" s="957" t="s">
        <v>714</v>
      </c>
      <c r="C58" s="316">
        <f ca="1">ROUND(C59+C64+C65+C66,0)</f>
        <v>0</v>
      </c>
      <c r="D58" s="959" t="s">
        <v>715</v>
      </c>
      <c r="E58" s="960"/>
      <c r="F58" s="961"/>
      <c r="I58" s="1453" t="s">
        <v>848</v>
      </c>
      <c r="J58" s="1455" t="e">
        <f ca="1">IF(J55&lt;0.4,0.4,J55)</f>
        <v>#DIV/0!</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1" t="s">
        <v>781</v>
      </c>
      <c r="B61" s="949" t="s">
        <v>782</v>
      </c>
      <c r="C61" s="21">
        <f ca="1">IF(项目基本情况!B11="自然人","——",IF(D61="按租金收入计税",ROUND(C49*F61/(1+'数据-取费表'!C42),0),IF(D61="按房产原值计税",ROUND(C57*F61*0.7,0),INDIRECT("'数据-取费表'!Aj"&amp;$G$1))))</f>
        <v>0</v>
      </c>
      <c r="D61" s="1368" t="s">
        <v>3336</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f ca="1">IF(项目基本情况!B11="自然人","——",ROUND(F62*F63,0))</f>
        <v>0</v>
      </c>
      <c r="D62" s="964" t="s">
        <v>786</v>
      </c>
      <c r="E62" s="949" t="s">
        <v>787</v>
      </c>
      <c r="F62" s="325">
        <f t="shared" si="0"/>
        <v>1.5</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5"/>
      <c r="C63" s="26"/>
      <c r="D63" s="965"/>
      <c r="E63" s="949"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ROUND(C57*F64,0)</f>
        <v>0</v>
      </c>
      <c r="D64" s="963" t="s">
        <v>791</v>
      </c>
      <c r="E64" s="949"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ROUND(C56*F65,0)</f>
        <v>0</v>
      </c>
      <c r="D65" s="963" t="s">
        <v>743</v>
      </c>
      <c r="E65" s="949"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1" t="s">
        <v>793</v>
      </c>
      <c r="B66" s="949" t="s">
        <v>728</v>
      </c>
      <c r="C66" s="21">
        <f ca="1">ROUND(C48*F66,0)</f>
        <v>0</v>
      </c>
      <c r="D66" s="963" t="s">
        <v>794</v>
      </c>
      <c r="E66" s="949" t="s">
        <v>712</v>
      </c>
      <c r="F66" s="312">
        <f t="shared" ca="1" si="0"/>
        <v>0</v>
      </c>
      <c r="O66" s="1416" t="s">
        <v>404</v>
      </c>
      <c r="P66" s="1417" t="s">
        <v>846</v>
      </c>
      <c r="Q66" s="1418" t="e">
        <f ca="1">L60</f>
        <v>#DIV/0!</v>
      </c>
      <c r="R66" s="1418" t="s">
        <v>869</v>
      </c>
    </row>
    <row r="67" spans="1:18" s="1382" customFormat="1" ht="16.5" thickBot="1">
      <c r="A67" s="956" t="s">
        <v>394</v>
      </c>
      <c r="B67" s="966" t="s">
        <v>752</v>
      </c>
      <c r="C67" s="316">
        <f ca="1">C48-C58</f>
        <v>0</v>
      </c>
      <c r="D67" s="962" t="s">
        <v>753</v>
      </c>
      <c r="E67" s="967"/>
      <c r="F67" s="968"/>
      <c r="O67" s="1426" t="s">
        <v>405</v>
      </c>
      <c r="P67" s="1417" t="s">
        <v>850</v>
      </c>
      <c r="Q67" s="1464">
        <f ca="1">L51</f>
        <v>0</v>
      </c>
      <c r="R67" s="1418" t="s">
        <v>870</v>
      </c>
    </row>
    <row r="68" spans="1:18" s="1382" customFormat="1" ht="16.5" thickBot="1">
      <c r="A68" s="946" t="s">
        <v>395</v>
      </c>
      <c r="B68" s="947" t="s">
        <v>774</v>
      </c>
      <c r="C68" s="301" t="e">
        <f ca="1">ROUND(C67*(1-((1+F70)/(1+F68))^F69)/(F68-F70),0)</f>
        <v>#DIV/0!</v>
      </c>
      <c r="D68" s="964" t="s">
        <v>758</v>
      </c>
      <c r="E68" s="949" t="s">
        <v>759</v>
      </c>
      <c r="F68" s="312">
        <f ca="1">F40</f>
        <v>0</v>
      </c>
      <c r="O68" s="1426" t="s">
        <v>406</v>
      </c>
      <c r="P68" s="1465" t="s">
        <v>871</v>
      </c>
      <c r="Q68" s="1418">
        <f ca="1">ROUND(Q69-Q70*Q71,0)</f>
        <v>0</v>
      </c>
      <c r="R68" s="1418" t="s">
        <v>414</v>
      </c>
    </row>
    <row r="69" spans="1:18" s="1382" customFormat="1" ht="13.5" thickBot="1">
      <c r="A69" s="950"/>
      <c r="B69" s="951"/>
      <c r="C69" s="306"/>
      <c r="D69" s="969" t="s">
        <v>762</v>
      </c>
      <c r="E69" s="949" t="s">
        <v>763</v>
      </c>
      <c r="F69" s="333">
        <f ca="1">F41</f>
        <v>0</v>
      </c>
      <c r="O69" s="1426" t="s">
        <v>411</v>
      </c>
      <c r="P69" s="1465" t="s">
        <v>872</v>
      </c>
      <c r="Q69" s="1418">
        <f ca="1">C39</f>
        <v>0</v>
      </c>
      <c r="R69" s="1418" t="s">
        <v>818</v>
      </c>
    </row>
    <row r="70" spans="1:18" s="1382" customFormat="1" ht="13.5" thickBot="1">
      <c r="A70" s="953"/>
      <c r="B70" s="954"/>
      <c r="C70" s="310"/>
      <c r="D70" s="965"/>
      <c r="E70" s="949" t="s">
        <v>766</v>
      </c>
      <c r="F70" s="1053"/>
      <c r="O70" s="1426" t="s">
        <v>412</v>
      </c>
      <c r="P70" s="1465" t="s">
        <v>873</v>
      </c>
      <c r="Q70" s="1418">
        <f ca="1">C13</f>
        <v>0</v>
      </c>
      <c r="R70" s="1418" t="s">
        <v>818</v>
      </c>
    </row>
    <row r="71" spans="1:18" s="1382" customFormat="1" ht="13.5" thickBot="1">
      <c r="A71" s="970" t="s">
        <v>396</v>
      </c>
      <c r="B71" s="971" t="s">
        <v>776</v>
      </c>
      <c r="C71" s="336" t="e">
        <f ca="1">ROUND(C68/F71,0)</f>
        <v>#DIV/0!</v>
      </c>
      <c r="D71" s="972" t="s">
        <v>777</v>
      </c>
      <c r="E71" s="973" t="s">
        <v>778</v>
      </c>
      <c r="F71" s="339">
        <f ca="1">F43</f>
        <v>0</v>
      </c>
      <c r="O71" s="1426" t="s">
        <v>413</v>
      </c>
      <c r="P71" s="1465" t="s">
        <v>874</v>
      </c>
      <c r="Q71" s="1429">
        <f ca="1">C76</f>
        <v>0</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2436</v>
      </c>
      <c r="B1" s="2830"/>
      <c r="C1" s="2842"/>
      <c r="D1" s="2842"/>
      <c r="E1" s="2831"/>
      <c r="F1" s="2832"/>
      <c r="G1" s="2833"/>
      <c r="J1" s="2836" t="s">
        <v>2315</v>
      </c>
      <c r="K1" s="2837"/>
      <c r="L1" s="2837"/>
      <c r="M1" s="2837"/>
      <c r="N1" s="2837"/>
      <c r="O1" s="2837"/>
      <c r="P1" s="2837"/>
      <c r="Q1" s="2837"/>
      <c r="R1" s="2838"/>
      <c r="S1" s="2839"/>
      <c r="T1" s="2839"/>
      <c r="U1" s="2839"/>
    </row>
    <row r="2" spans="1:22" s="2851" customFormat="1" ht="13.15" customHeight="1">
      <c r="A2" s="1383" t="s">
        <v>2316</v>
      </c>
      <c r="B2" s="2841" t="e">
        <f>IF(D2="——",C40,C40+E2)</f>
        <v>#DIV/0!</v>
      </c>
      <c r="C2" s="2842" t="s">
        <v>2317</v>
      </c>
      <c r="D2" s="3441" t="s">
        <v>3359</v>
      </c>
      <c r="E2" s="3442"/>
      <c r="F2" s="2844"/>
      <c r="G2" s="2845"/>
      <c r="H2" s="2846"/>
      <c r="I2" s="2847"/>
      <c r="J2" s="3672" t="s">
        <v>2318</v>
      </c>
      <c r="K2" s="3673"/>
      <c r="L2" s="2848" t="s">
        <v>2319</v>
      </c>
      <c r="M2" s="2848" t="s">
        <v>2320</v>
      </c>
      <c r="N2" s="2848" t="s">
        <v>2321</v>
      </c>
      <c r="O2" s="2848" t="s">
        <v>2322</v>
      </c>
      <c r="P2" s="2848" t="s">
        <v>2323</v>
      </c>
      <c r="Q2" s="2849" t="s">
        <v>2324</v>
      </c>
      <c r="R2" s="2850" t="s">
        <v>2325</v>
      </c>
      <c r="S2" s="2839"/>
      <c r="T2" s="2839"/>
      <c r="U2" s="2839"/>
      <c r="V2" s="2847"/>
    </row>
    <row r="3" spans="1:22" s="2851" customFormat="1" ht="13.15" customHeight="1">
      <c r="A3" s="2852" t="s">
        <v>2326</v>
      </c>
      <c r="B3" s="2853" t="e">
        <f>ROUND(B2*10000/B4,0)</f>
        <v>#DIV/0!</v>
      </c>
      <c r="C3" s="2842" t="s">
        <v>2327</v>
      </c>
      <c r="D3" s="2842"/>
      <c r="E3" s="2843"/>
      <c r="F3" s="2844"/>
      <c r="G3" s="2845"/>
      <c r="H3" s="2846"/>
      <c r="I3" s="2847"/>
      <c r="J3" s="3674" t="s">
        <v>2328</v>
      </c>
      <c r="K3" s="3675"/>
      <c r="L3" s="2854"/>
      <c r="M3" s="2854"/>
      <c r="N3" s="2854"/>
      <c r="O3" s="2854"/>
      <c r="P3" s="2854"/>
      <c r="Q3" s="2855"/>
      <c r="R3" s="2856">
        <f>SUM(L3:Q3)</f>
        <v>0</v>
      </c>
      <c r="S3" s="2839"/>
      <c r="T3" s="2839"/>
      <c r="U3" s="2839"/>
      <c r="V3" s="2847"/>
    </row>
    <row r="4" spans="1:22" s="2851" customFormat="1" ht="13.15" customHeight="1">
      <c r="A4" s="2857" t="s">
        <v>2329</v>
      </c>
      <c r="B4" s="2858"/>
      <c r="C4" s="2842"/>
      <c r="D4" s="2842"/>
      <c r="E4" s="2843"/>
      <c r="F4" s="2844"/>
      <c r="G4" s="2845"/>
      <c r="H4" s="2846"/>
      <c r="I4" s="2847"/>
      <c r="J4" s="3674" t="s">
        <v>2330</v>
      </c>
      <c r="K4" s="3675"/>
      <c r="L4" s="2859"/>
      <c r="M4" s="2859"/>
      <c r="N4" s="2859"/>
      <c r="O4" s="2859"/>
      <c r="P4" s="2859"/>
      <c r="Q4" s="2860"/>
      <c r="R4" s="2861">
        <f>SUM(L4:Q4)</f>
        <v>0</v>
      </c>
      <c r="S4" s="2839"/>
      <c r="T4" s="2839"/>
      <c r="U4" s="2839"/>
      <c r="V4" s="2847"/>
    </row>
    <row r="5" spans="1:22" s="2851" customFormat="1" ht="13.15" customHeight="1" thickBot="1">
      <c r="A5" s="2862" t="s">
        <v>2331</v>
      </c>
      <c r="B5" s="2863"/>
      <c r="C5" s="2842"/>
      <c r="D5" s="2864"/>
      <c r="E5" s="2844"/>
      <c r="F5" s="2844"/>
      <c r="G5" s="2845"/>
      <c r="H5" s="2846"/>
      <c r="I5" s="2847"/>
      <c r="J5" s="2865" t="s">
        <v>2332</v>
      </c>
      <c r="K5" s="2866"/>
      <c r="L5" s="2866"/>
      <c r="M5" s="2867"/>
      <c r="N5" s="2867"/>
      <c r="O5" s="2867"/>
      <c r="P5" s="2867"/>
      <c r="Q5" s="2867"/>
      <c r="R5" s="2850">
        <f>SUM(R14,R19,R24,R25,R27,R28)</f>
        <v>0</v>
      </c>
      <c r="S5" s="2839"/>
      <c r="T5" s="2839" t="s">
        <v>2333</v>
      </c>
      <c r="U5" s="2839" t="e">
        <f>ROUND(R5*10000/365/R3,1)</f>
        <v>#DIV/0!</v>
      </c>
      <c r="V5" s="2847"/>
    </row>
    <row r="6" spans="1:22" s="2851" customFormat="1" ht="13.15" customHeight="1" thickBot="1">
      <c r="A6" s="3680" t="s">
        <v>2334</v>
      </c>
      <c r="B6" s="3681"/>
      <c r="C6" s="3682"/>
      <c r="D6" s="2868"/>
      <c r="E6" s="2869"/>
      <c r="F6" s="2870"/>
      <c r="G6" s="2871"/>
      <c r="H6" s="2846"/>
      <c r="I6" s="2847"/>
      <c r="J6" s="3666">
        <v>1</v>
      </c>
      <c r="K6" s="3667" t="s">
        <v>2335</v>
      </c>
      <c r="L6" s="2872" t="s">
        <v>2336</v>
      </c>
      <c r="M6" s="2873" t="s">
        <v>2337</v>
      </c>
      <c r="N6" s="2873" t="s">
        <v>2338</v>
      </c>
      <c r="O6" s="2873" t="s">
        <v>2339</v>
      </c>
      <c r="P6" s="2873" t="s">
        <v>2340</v>
      </c>
      <c r="Q6" s="2873" t="s">
        <v>2341</v>
      </c>
      <c r="R6" s="2856" t="s">
        <v>2342</v>
      </c>
      <c r="S6" s="2839"/>
      <c r="T6" s="2839" t="s">
        <v>2343</v>
      </c>
      <c r="U6" s="2839"/>
      <c r="V6" s="2847"/>
    </row>
    <row r="7" spans="1:22" s="2851" customFormat="1" ht="13.15" customHeight="1">
      <c r="A7" s="2874" t="s">
        <v>2344</v>
      </c>
      <c r="B7" s="2875"/>
      <c r="C7" s="2876"/>
      <c r="D7" s="2877">
        <f>SUM(D9,D10,D11,D17,0)</f>
        <v>0</v>
      </c>
      <c r="E7" s="2878" t="e">
        <f>E9+E10+E11+E17</f>
        <v>#DIV/0!</v>
      </c>
      <c r="F7" s="2879"/>
      <c r="G7" s="2880"/>
      <c r="H7" s="2846"/>
      <c r="I7" s="2847"/>
      <c r="J7" s="3666"/>
      <c r="K7" s="3668"/>
      <c r="L7" s="2881" t="s">
        <v>2345</v>
      </c>
      <c r="M7" s="2882"/>
      <c r="N7" s="2858"/>
      <c r="O7" s="2883"/>
      <c r="P7" s="2883"/>
      <c r="Q7" s="2884">
        <v>365</v>
      </c>
      <c r="R7" s="2885">
        <f>ROUND(M7*N7*O7*P7*Q7/10000,0)</f>
        <v>0</v>
      </c>
      <c r="S7" s="2839"/>
      <c r="T7" s="2839" t="s">
        <v>2346</v>
      </c>
      <c r="U7" s="2839"/>
      <c r="V7" s="2847"/>
    </row>
    <row r="8" spans="1:22" s="2851" customFormat="1" ht="13.15" customHeight="1">
      <c r="A8" s="2886" t="s">
        <v>2347</v>
      </c>
      <c r="B8" s="3683" t="s">
        <v>2348</v>
      </c>
      <c r="C8" s="3684"/>
      <c r="D8" s="2887" t="s">
        <v>2349</v>
      </c>
      <c r="E8" s="2888" t="s">
        <v>2350</v>
      </c>
      <c r="F8" s="2889" t="s">
        <v>2351</v>
      </c>
      <c r="G8" s="2890"/>
      <c r="H8" s="2846"/>
      <c r="I8" s="2847"/>
      <c r="J8" s="3666"/>
      <c r="K8" s="3668"/>
      <c r="L8" s="2881" t="s">
        <v>2352</v>
      </c>
      <c r="M8" s="2882"/>
      <c r="N8" s="2858"/>
      <c r="O8" s="2883"/>
      <c r="P8" s="2883"/>
      <c r="Q8" s="2884">
        <v>365</v>
      </c>
      <c r="R8" s="2885">
        <f t="shared" ref="R8:R13" si="0">ROUND(M8*N8*O8*P8*Q8/10000,0)</f>
        <v>0</v>
      </c>
      <c r="S8" s="2839"/>
      <c r="T8" s="2839" t="s">
        <v>2353</v>
      </c>
      <c r="U8" s="2839"/>
      <c r="V8" s="2847"/>
    </row>
    <row r="9" spans="1:22" s="2851" customFormat="1" ht="13.15" customHeight="1">
      <c r="A9" s="2886">
        <v>1</v>
      </c>
      <c r="B9" s="3683" t="s">
        <v>2354</v>
      </c>
      <c r="C9" s="3684"/>
      <c r="D9" s="2887">
        <f>ROUND(D6*E9,0)</f>
        <v>0</v>
      </c>
      <c r="E9" s="2891"/>
      <c r="F9" s="2892" t="s">
        <v>2355</v>
      </c>
      <c r="G9" s="2871"/>
      <c r="H9" s="2846"/>
      <c r="I9" s="2847"/>
      <c r="J9" s="3666"/>
      <c r="K9" s="3668"/>
      <c r="L9" s="2881" t="s">
        <v>2356</v>
      </c>
      <c r="M9" s="2882"/>
      <c r="N9" s="2858"/>
      <c r="O9" s="2883"/>
      <c r="P9" s="2883"/>
      <c r="Q9" s="2884">
        <v>365</v>
      </c>
      <c r="R9" s="2885">
        <f t="shared" si="0"/>
        <v>0</v>
      </c>
      <c r="S9" s="2839"/>
      <c r="T9" s="2839"/>
      <c r="U9" s="2839"/>
      <c r="V9" s="2847"/>
    </row>
    <row r="10" spans="1:22" s="2851" customFormat="1" ht="13.15" customHeight="1">
      <c r="A10" s="2886">
        <v>2</v>
      </c>
      <c r="B10" s="3683" t="s">
        <v>2357</v>
      </c>
      <c r="C10" s="3684"/>
      <c r="D10" s="2887">
        <f>ROUND(D6*E10,0)</f>
        <v>0</v>
      </c>
      <c r="E10" s="2891"/>
      <c r="F10" s="2892" t="s">
        <v>2358</v>
      </c>
      <c r="G10" s="2871"/>
      <c r="H10" s="2846"/>
      <c r="I10" s="2847"/>
      <c r="J10" s="3666"/>
      <c r="K10" s="3668"/>
      <c r="L10" s="2881" t="s">
        <v>2359</v>
      </c>
      <c r="M10" s="2882"/>
      <c r="N10" s="2858"/>
      <c r="O10" s="2883"/>
      <c r="P10" s="2883"/>
      <c r="Q10" s="2884">
        <v>365</v>
      </c>
      <c r="R10" s="2885">
        <f t="shared" si="0"/>
        <v>0</v>
      </c>
      <c r="S10" s="2839"/>
      <c r="T10" s="2839"/>
      <c r="U10" s="2839"/>
      <c r="V10" s="2847"/>
    </row>
    <row r="11" spans="1:22" s="2851" customFormat="1" ht="13.15" customHeight="1">
      <c r="A11" s="2886">
        <v>3</v>
      </c>
      <c r="B11" s="3683" t="s">
        <v>2360</v>
      </c>
      <c r="C11" s="3684"/>
      <c r="D11" s="2887">
        <f>D12+D14+D15+D16</f>
        <v>0</v>
      </c>
      <c r="E11" s="2893" t="e">
        <f>D11/D6</f>
        <v>#DIV/0!</v>
      </c>
      <c r="F11" s="2889"/>
      <c r="G11" s="2890"/>
      <c r="H11" s="2846"/>
      <c r="I11" s="2847"/>
      <c r="J11" s="3666"/>
      <c r="K11" s="3668"/>
      <c r="L11" s="2881" t="s">
        <v>2361</v>
      </c>
      <c r="M11" s="2882"/>
      <c r="N11" s="2858"/>
      <c r="O11" s="2883"/>
      <c r="P11" s="2883"/>
      <c r="Q11" s="2884">
        <v>365</v>
      </c>
      <c r="R11" s="2885">
        <f t="shared" si="0"/>
        <v>0</v>
      </c>
      <c r="S11" s="2839"/>
      <c r="T11" s="2839"/>
      <c r="U11" s="2839"/>
      <c r="V11" s="2847"/>
    </row>
    <row r="12" spans="1:22" s="2851" customFormat="1" ht="13.15" customHeight="1">
      <c r="A12" s="2894" t="s">
        <v>2362</v>
      </c>
      <c r="B12" s="3676" t="s">
        <v>2363</v>
      </c>
      <c r="C12" s="3677"/>
      <c r="D12" s="2895">
        <f>ROUND(D13*1.2%*(1-30%),0)</f>
        <v>0</v>
      </c>
      <c r="E12" s="2896">
        <v>1.2E-2</v>
      </c>
      <c r="F12" s="2889" t="s">
        <v>2364</v>
      </c>
      <c r="G12" s="2890"/>
      <c r="H12" s="2846"/>
      <c r="I12" s="2847"/>
      <c r="J12" s="3666"/>
      <c r="K12" s="3668"/>
      <c r="L12" s="2881" t="s">
        <v>2365</v>
      </c>
      <c r="M12" s="2882"/>
      <c r="N12" s="2858"/>
      <c r="O12" s="2883"/>
      <c r="P12" s="2883"/>
      <c r="Q12" s="2884">
        <v>365</v>
      </c>
      <c r="R12" s="2885">
        <f t="shared" si="0"/>
        <v>0</v>
      </c>
      <c r="S12" s="2839"/>
      <c r="T12" s="2839"/>
      <c r="U12" s="2839"/>
      <c r="V12" s="2847"/>
    </row>
    <row r="13" spans="1:22" s="2851" customFormat="1" ht="13.15" customHeight="1">
      <c r="A13" s="2894"/>
      <c r="B13" s="2897"/>
      <c r="C13" s="2898" t="s">
        <v>2366</v>
      </c>
      <c r="D13" s="2899"/>
      <c r="E13" s="2900"/>
      <c r="F13" s="2889"/>
      <c r="G13" s="2890"/>
      <c r="H13" s="2846"/>
      <c r="I13" s="2847"/>
      <c r="J13" s="3666"/>
      <c r="K13" s="3668"/>
      <c r="L13" s="2881" t="s">
        <v>2367</v>
      </c>
      <c r="M13" s="2882"/>
      <c r="N13" s="2858"/>
      <c r="O13" s="2883"/>
      <c r="P13" s="2883"/>
      <c r="Q13" s="2884">
        <v>365</v>
      </c>
      <c r="R13" s="2885">
        <f t="shared" si="0"/>
        <v>0</v>
      </c>
      <c r="S13" s="2839"/>
      <c r="T13" s="2839"/>
      <c r="U13" s="2839"/>
      <c r="V13" s="2847"/>
    </row>
    <row r="14" spans="1:22" s="2851" customFormat="1" ht="13.15" customHeight="1">
      <c r="A14" s="2894" t="s">
        <v>2368</v>
      </c>
      <c r="B14" s="3676" t="s">
        <v>2369</v>
      </c>
      <c r="C14" s="3677"/>
      <c r="D14" s="2895">
        <f>ROUND(E14*B5/10000,0)</f>
        <v>0</v>
      </c>
      <c r="E14" s="2884"/>
      <c r="F14" s="2889" t="s">
        <v>2370</v>
      </c>
      <c r="G14" s="2890"/>
      <c r="H14" s="2846"/>
      <c r="I14" s="2847"/>
      <c r="J14" s="3666"/>
      <c r="K14" s="3669"/>
      <c r="L14" s="2901" t="s">
        <v>2371</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2372</v>
      </c>
      <c r="B15" s="3676" t="s">
        <v>2373</v>
      </c>
      <c r="C15" s="3677"/>
      <c r="D15" s="2895">
        <f>ROUND(D6*E15,0)</f>
        <v>0</v>
      </c>
      <c r="E15" s="2896">
        <v>5.5E-2</v>
      </c>
      <c r="F15" s="2889" t="s">
        <v>2374</v>
      </c>
      <c r="G15" s="2871"/>
      <c r="H15" s="2846"/>
      <c r="I15" s="2847"/>
      <c r="J15" s="3666">
        <v>2</v>
      </c>
      <c r="K15" s="3667" t="s">
        <v>2375</v>
      </c>
      <c r="L15" s="2881" t="s">
        <v>2376</v>
      </c>
      <c r="M15" s="2882" t="s">
        <v>2377</v>
      </c>
      <c r="N15" s="2882" t="s">
        <v>2378</v>
      </c>
      <c r="O15" s="2883" t="s">
        <v>2379</v>
      </c>
      <c r="P15" s="2883" t="s">
        <v>2341</v>
      </c>
      <c r="Q15" s="2858" t="s">
        <v>2380</v>
      </c>
      <c r="R15" s="2905" t="s">
        <v>2342</v>
      </c>
      <c r="S15" s="2839"/>
      <c r="T15" s="2839"/>
      <c r="U15" s="2839"/>
      <c r="V15" s="2847"/>
    </row>
    <row r="16" spans="1:22" s="2851" customFormat="1" ht="13.15" customHeight="1">
      <c r="A16" s="2894" t="s">
        <v>2381</v>
      </c>
      <c r="B16" s="3676" t="s">
        <v>2382</v>
      </c>
      <c r="C16" s="3677"/>
      <c r="D16" s="2906">
        <f>D6*E16</f>
        <v>0</v>
      </c>
      <c r="E16" s="2907"/>
      <c r="F16" s="2892" t="s">
        <v>2383</v>
      </c>
      <c r="G16" s="2871"/>
      <c r="H16" s="2846"/>
      <c r="I16" s="2847"/>
      <c r="J16" s="3666"/>
      <c r="K16" s="3668"/>
      <c r="L16" s="2881" t="s">
        <v>2384</v>
      </c>
      <c r="M16" s="2882"/>
      <c r="N16" s="2882"/>
      <c r="O16" s="2883"/>
      <c r="P16" s="2884">
        <v>365</v>
      </c>
      <c r="Q16" s="2858"/>
      <c r="R16" s="2905">
        <f>ROUND(M16*N16*O16*P16/10000,0)</f>
        <v>0</v>
      </c>
      <c r="S16" s="2839"/>
      <c r="T16" s="2839"/>
      <c r="U16" s="2839"/>
      <c r="V16" s="2847"/>
    </row>
    <row r="17" spans="1:22" s="2851" customFormat="1" ht="13.15" customHeight="1" thickBot="1">
      <c r="A17" s="2908">
        <v>4</v>
      </c>
      <c r="B17" s="3678" t="s">
        <v>2385</v>
      </c>
      <c r="C17" s="3679"/>
      <c r="D17" s="2909">
        <f>ROUND(D6*E17,0)</f>
        <v>0</v>
      </c>
      <c r="E17" s="2910"/>
      <c r="F17" s="2911" t="s">
        <v>2386</v>
      </c>
      <c r="G17" s="2871"/>
      <c r="H17" s="2846"/>
      <c r="I17" s="2847"/>
      <c r="J17" s="3666"/>
      <c r="K17" s="3668"/>
      <c r="L17" s="2881" t="s">
        <v>2387</v>
      </c>
      <c r="M17" s="2882"/>
      <c r="N17" s="2882"/>
      <c r="O17" s="2883"/>
      <c r="P17" s="2884">
        <v>365</v>
      </c>
      <c r="Q17" s="2858"/>
      <c r="R17" s="2905">
        <f>ROUND(M17*N17*O17*P17/10000,0)</f>
        <v>0</v>
      </c>
      <c r="S17" s="2839"/>
      <c r="T17" s="2839"/>
      <c r="U17" s="2839"/>
      <c r="V17" s="2847"/>
    </row>
    <row r="18" spans="1:22" s="2851" customFormat="1" ht="13.15" customHeight="1" thickBot="1">
      <c r="A18" s="2874" t="s">
        <v>2388</v>
      </c>
      <c r="B18" s="2875"/>
      <c r="C18" s="2875"/>
      <c r="D18" s="2912">
        <f>ROUND(D6*E18,0)</f>
        <v>0</v>
      </c>
      <c r="E18" s="2913"/>
      <c r="F18" s="2914" t="s">
        <v>2389</v>
      </c>
      <c r="G18" s="2871"/>
      <c r="H18" s="2846"/>
      <c r="I18" s="2847"/>
      <c r="J18" s="3666"/>
      <c r="K18" s="3668"/>
      <c r="L18" s="2881" t="s">
        <v>2390</v>
      </c>
      <c r="M18" s="2882"/>
      <c r="N18" s="2882"/>
      <c r="O18" s="2883"/>
      <c r="P18" s="2884">
        <v>365</v>
      </c>
      <c r="Q18" s="2858"/>
      <c r="R18" s="2905">
        <f>ROUND(M18*N18*O18*P18/10000,0)</f>
        <v>0</v>
      </c>
      <c r="S18" s="2839"/>
      <c r="T18" s="2839"/>
      <c r="U18" s="2839"/>
      <c r="V18" s="2847"/>
    </row>
    <row r="19" spans="1:22" s="2851" customFormat="1" ht="13.15" customHeight="1" thickBot="1">
      <c r="A19" s="2915" t="s">
        <v>2391</v>
      </c>
      <c r="B19" s="2869"/>
      <c r="C19" s="2869"/>
      <c r="D19" s="2869"/>
      <c r="E19" s="2869"/>
      <c r="F19" s="2870"/>
      <c r="G19" s="2890"/>
      <c r="H19" s="2846"/>
      <c r="I19" s="2847"/>
      <c r="J19" s="3666"/>
      <c r="K19" s="3669"/>
      <c r="L19" s="2901" t="s">
        <v>2371</v>
      </c>
      <c r="M19" s="2902"/>
      <c r="N19" s="2902">
        <f>SUM(N16:N18)</f>
        <v>0</v>
      </c>
      <c r="O19" s="2903"/>
      <c r="P19" s="2916" t="s">
        <v>2435</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66">
        <v>3</v>
      </c>
      <c r="K20" s="3667" t="s">
        <v>2392</v>
      </c>
      <c r="L20" s="2881" t="s">
        <v>2393</v>
      </c>
      <c r="M20" s="2882" t="s">
        <v>2394</v>
      </c>
      <c r="N20" s="2919" t="s">
        <v>2395</v>
      </c>
      <c r="O20" s="2883" t="s">
        <v>2396</v>
      </c>
      <c r="P20" s="2884" t="s">
        <v>2397</v>
      </c>
      <c r="Q20" s="2858" t="s">
        <v>2398</v>
      </c>
      <c r="R20" s="2905" t="s">
        <v>2399</v>
      </c>
      <c r="S20" s="2920"/>
      <c r="T20" s="2920"/>
      <c r="U20" s="2920"/>
      <c r="V20" s="2847"/>
    </row>
    <row r="21" spans="1:22" s="2851" customFormat="1" ht="13.15" customHeight="1">
      <c r="A21" s="2874"/>
      <c r="B21" s="2875"/>
      <c r="C21" s="2921" t="s">
        <v>2400</v>
      </c>
      <c r="D21" s="2922" t="s">
        <v>2401</v>
      </c>
      <c r="E21" s="2923" t="s">
        <v>2402</v>
      </c>
      <c r="F21" s="2918"/>
      <c r="G21" s="2890"/>
      <c r="H21" s="2846"/>
      <c r="I21" s="2847"/>
      <c r="J21" s="3666"/>
      <c r="K21" s="3668"/>
      <c r="L21" s="2881" t="s">
        <v>2403</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2404</v>
      </c>
      <c r="D22" s="2926" t="s">
        <v>2405</v>
      </c>
      <c r="E22" s="2927" t="s">
        <v>2406</v>
      </c>
      <c r="F22" s="2918"/>
      <c r="G22" s="2928"/>
      <c r="H22" s="2846"/>
      <c r="I22" s="2847"/>
      <c r="J22" s="3666"/>
      <c r="K22" s="3668"/>
      <c r="L22" s="2881" t="s">
        <v>2407</v>
      </c>
      <c r="M22" s="2882"/>
      <c r="N22" s="2882"/>
      <c r="O22" s="2883"/>
      <c r="P22" s="2884">
        <v>365</v>
      </c>
      <c r="Q22" s="2858"/>
      <c r="R22" s="2924">
        <f>ROUND(M22*N22*O22*P22/10000,0)</f>
        <v>0</v>
      </c>
      <c r="S22" s="2920"/>
      <c r="T22" s="2920"/>
      <c r="U22" s="2920"/>
      <c r="V22" s="2847"/>
    </row>
    <row r="23" spans="1:22" s="2851" customFormat="1" ht="13.15" customHeight="1">
      <c r="A23" s="2929">
        <v>1</v>
      </c>
      <c r="B23" s="2930" t="s">
        <v>2408</v>
      </c>
      <c r="C23" s="2931">
        <f>D6</f>
        <v>0</v>
      </c>
      <c r="D23" s="2932">
        <f>C23*(1+D24)</f>
        <v>0</v>
      </c>
      <c r="E23" s="2933">
        <f>D23*(1+E24)</f>
        <v>0</v>
      </c>
      <c r="F23" s="2934"/>
      <c r="G23" s="2935"/>
      <c r="H23" s="2846"/>
      <c r="I23" s="2847"/>
      <c r="J23" s="3666"/>
      <c r="K23" s="3668"/>
      <c r="L23" s="2881" t="s">
        <v>2409</v>
      </c>
      <c r="M23" s="2882"/>
      <c r="N23" s="2882"/>
      <c r="O23" s="2883"/>
      <c r="P23" s="2884">
        <v>365</v>
      </c>
      <c r="Q23" s="2858"/>
      <c r="R23" s="2924">
        <f>ROUND(M23*N23*O23*P23/10000,0)</f>
        <v>0</v>
      </c>
      <c r="S23" s="2839"/>
      <c r="T23" s="2839"/>
      <c r="U23" s="2839"/>
      <c r="V23" s="2847"/>
    </row>
    <row r="24" spans="1:22" s="2851" customFormat="1" ht="13.15" customHeight="1">
      <c r="A24" s="2936"/>
      <c r="B24" s="2937" t="s">
        <v>2410</v>
      </c>
      <c r="C24" s="2938"/>
      <c r="D24" s="2939"/>
      <c r="E24" s="2940"/>
      <c r="F24" s="2941"/>
      <c r="G24" s="2935"/>
      <c r="H24" s="2846"/>
      <c r="I24" s="2847"/>
      <c r="J24" s="3666"/>
      <c r="K24" s="3669"/>
      <c r="L24" s="2901" t="s">
        <v>2371</v>
      </c>
      <c r="M24" s="2902">
        <f>SUM(M21:M23)</f>
        <v>0</v>
      </c>
      <c r="N24" s="2902"/>
      <c r="O24" s="2903"/>
      <c r="P24" s="2916" t="s">
        <v>2435</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2411</v>
      </c>
      <c r="L25" s="2944"/>
      <c r="M25" s="2944"/>
      <c r="N25" s="2944"/>
      <c r="O25" s="2944"/>
      <c r="P25" s="2945"/>
      <c r="Q25" s="2946">
        <v>0</v>
      </c>
      <c r="R25" s="2917">
        <f>ROUND(R14*Q25,0)</f>
        <v>0</v>
      </c>
      <c r="S25" s="2839"/>
      <c r="T25" s="2839"/>
      <c r="U25" s="2839"/>
      <c r="V25" s="2947"/>
    </row>
    <row r="26" spans="1:22" s="2948" customFormat="1" ht="13.15" customHeight="1">
      <c r="A26" s="2929">
        <v>2</v>
      </c>
      <c r="B26" s="2930" t="s">
        <v>2412</v>
      </c>
      <c r="C26" s="2931">
        <f>D7</f>
        <v>0</v>
      </c>
      <c r="D26" s="2932">
        <f>D23*D27</f>
        <v>0</v>
      </c>
      <c r="E26" s="2933">
        <f>E23*E27</f>
        <v>0</v>
      </c>
      <c r="F26" s="2934"/>
      <c r="G26" s="2935"/>
      <c r="H26" s="2846"/>
      <c r="I26" s="2847"/>
      <c r="J26" s="3670">
        <v>5</v>
      </c>
      <c r="K26" s="2949" t="s">
        <v>2413</v>
      </c>
      <c r="L26" s="2950"/>
      <c r="M26" s="2951"/>
      <c r="N26" s="2952" t="s">
        <v>2414</v>
      </c>
      <c r="O26" s="2952" t="s">
        <v>2415</v>
      </c>
      <c r="P26" s="2953" t="s">
        <v>2416</v>
      </c>
      <c r="Q26" s="2953" t="s">
        <v>2417</v>
      </c>
      <c r="R26" s="2856" t="s">
        <v>2342</v>
      </c>
      <c r="S26" s="2954"/>
      <c r="T26" s="2954"/>
      <c r="U26" s="2954"/>
      <c r="V26" s="2947"/>
    </row>
    <row r="27" spans="1:22" s="2851" customFormat="1" ht="13.15" customHeight="1">
      <c r="A27" s="2936"/>
      <c r="B27" s="2937" t="s">
        <v>2418</v>
      </c>
      <c r="C27" s="2955" t="e">
        <f>E7</f>
        <v>#DIV/0!</v>
      </c>
      <c r="D27" s="2939"/>
      <c r="E27" s="2940"/>
      <c r="F27" s="2941"/>
      <c r="G27" s="2935"/>
      <c r="H27" s="2956"/>
      <c r="I27" s="2947"/>
      <c r="J27" s="3671"/>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2419</v>
      </c>
      <c r="F28" s="2941"/>
      <c r="G28" s="2928"/>
      <c r="H28" s="2956"/>
      <c r="I28" s="2947"/>
      <c r="J28" s="2962">
        <v>6</v>
      </c>
      <c r="K28" s="2963" t="s">
        <v>2420</v>
      </c>
      <c r="L28" s="2964" t="s">
        <v>2421</v>
      </c>
      <c r="M28" s="2965"/>
      <c r="N28" s="2964" t="s">
        <v>2422</v>
      </c>
      <c r="O28" s="2966"/>
      <c r="P28" s="2964" t="s">
        <v>2423</v>
      </c>
      <c r="Q28" s="2967">
        <v>1.4999999999999999E-2</v>
      </c>
      <c r="R28" s="2968"/>
      <c r="S28" s="2920"/>
      <c r="T28" s="2920"/>
      <c r="U28" s="2920"/>
      <c r="V28" s="2947"/>
    </row>
    <row r="29" spans="1:22" s="2948" customFormat="1" ht="13.15" customHeight="1">
      <c r="A29" s="2929">
        <v>3</v>
      </c>
      <c r="B29" s="2930" t="s">
        <v>2424</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2418</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2425</v>
      </c>
      <c r="K31" s="2837"/>
      <c r="L31" s="2837"/>
      <c r="M31" s="2837"/>
      <c r="N31" s="2837"/>
      <c r="O31" s="2837"/>
      <c r="P31" s="2837"/>
      <c r="Q31" s="2837"/>
      <c r="R31" s="2838"/>
      <c r="S31" s="2920"/>
      <c r="T31" s="2839"/>
      <c r="U31" s="2839"/>
      <c r="V31" s="2947"/>
    </row>
    <row r="32" spans="1:22" s="2948" customFormat="1" ht="13.15" customHeight="1">
      <c r="A32" s="2929">
        <v>4</v>
      </c>
      <c r="B32" s="2930" t="s">
        <v>2426</v>
      </c>
      <c r="C32" s="2931">
        <f>C23-C26-C29</f>
        <v>0</v>
      </c>
      <c r="D32" s="2932">
        <f>D23-D26-D29</f>
        <v>0</v>
      </c>
      <c r="E32" s="2933">
        <f>E23-E26-E29</f>
        <v>0</v>
      </c>
      <c r="F32" s="2934"/>
      <c r="G32" s="2928"/>
      <c r="H32" s="2846"/>
      <c r="I32" s="2847"/>
      <c r="J32" s="3672" t="s">
        <v>2318</v>
      </c>
      <c r="K32" s="3673"/>
      <c r="L32" s="2848" t="s">
        <v>2319</v>
      </c>
      <c r="M32" s="2848" t="s">
        <v>2320</v>
      </c>
      <c r="N32" s="2848" t="s">
        <v>2321</v>
      </c>
      <c r="O32" s="2848" t="s">
        <v>2322</v>
      </c>
      <c r="P32" s="2848" t="s">
        <v>2323</v>
      </c>
      <c r="Q32" s="2849" t="s">
        <v>2324</v>
      </c>
      <c r="R32" s="2971" t="s">
        <v>2325</v>
      </c>
      <c r="S32" s="2920"/>
      <c r="T32" s="2839"/>
      <c r="U32" s="2839"/>
      <c r="V32" s="2947"/>
    </row>
    <row r="33" spans="1:23" s="2851" customFormat="1" ht="13.15" customHeight="1">
      <c r="A33" s="2929"/>
      <c r="B33" s="2930"/>
      <c r="C33" s="2931"/>
      <c r="D33" s="2972"/>
      <c r="E33" s="2973"/>
      <c r="F33" s="2934"/>
      <c r="G33" s="2928"/>
      <c r="H33" s="2956"/>
      <c r="I33" s="2947"/>
      <c r="J33" s="3674" t="s">
        <v>2328</v>
      </c>
      <c r="K33" s="3675"/>
      <c r="L33" s="2854"/>
      <c r="M33" s="2854"/>
      <c r="N33" s="2854"/>
      <c r="O33" s="2854"/>
      <c r="P33" s="2854"/>
      <c r="Q33" s="2855"/>
      <c r="R33" s="2974">
        <f>SUM(L33:Q33)</f>
        <v>0</v>
      </c>
      <c r="S33" s="2920"/>
      <c r="T33" s="2839"/>
      <c r="U33" s="2839"/>
      <c r="V33" s="2847"/>
    </row>
    <row r="34" spans="1:23" s="2851" customFormat="1" ht="13.15" customHeight="1">
      <c r="A34" s="2929">
        <v>5</v>
      </c>
      <c r="B34" s="2930" t="s">
        <v>2427</v>
      </c>
      <c r="C34" s="2975"/>
      <c r="D34" s="2976"/>
      <c r="E34" s="2977"/>
      <c r="F34" s="2934"/>
      <c r="G34" s="2928"/>
      <c r="H34" s="2956"/>
      <c r="I34" s="2947"/>
      <c r="J34" s="3674" t="s">
        <v>2330</v>
      </c>
      <c r="K34" s="367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2428</v>
      </c>
      <c r="C35" s="2979"/>
      <c r="D35" s="2980"/>
      <c r="E35" s="2981"/>
      <c r="F35" s="2934"/>
      <c r="G35" s="2982"/>
      <c r="H35" s="2846"/>
      <c r="I35" s="2947"/>
      <c r="J35" s="2865" t="s">
        <v>2332</v>
      </c>
      <c r="K35" s="2866"/>
      <c r="L35" s="2866"/>
      <c r="M35" s="2867"/>
      <c r="N35" s="2867"/>
      <c r="O35" s="2867"/>
      <c r="P35" s="2867"/>
      <c r="Q35" s="2867"/>
      <c r="R35" s="2983">
        <f>R40+R41+R43</f>
        <v>0</v>
      </c>
      <c r="S35" s="2920"/>
      <c r="T35" s="2839" t="s">
        <v>2333</v>
      </c>
      <c r="U35" s="2839"/>
      <c r="V35" s="2847"/>
    </row>
    <row r="36" spans="1:23" s="2851" customFormat="1" ht="13.15" customHeight="1" thickBot="1">
      <c r="A36" s="2929">
        <v>7</v>
      </c>
      <c r="B36" s="2984" t="s">
        <v>2429</v>
      </c>
      <c r="C36" s="2985"/>
      <c r="D36" s="2986"/>
      <c r="E36" s="2987"/>
      <c r="F36" s="2988">
        <f>C36+D36+E36</f>
        <v>0</v>
      </c>
      <c r="G36" s="2928"/>
      <c r="H36" s="2846"/>
      <c r="I36" s="2847"/>
      <c r="J36" s="3666">
        <v>1</v>
      </c>
      <c r="K36" s="3667" t="s">
        <v>2430</v>
      </c>
      <c r="L36" s="2872"/>
      <c r="M36" s="2873"/>
      <c r="N36" s="2873"/>
      <c r="O36" s="2873"/>
      <c r="P36" s="2873"/>
      <c r="Q36" s="2873"/>
      <c r="R36" s="2856" t="s">
        <v>2342</v>
      </c>
      <c r="S36" s="2920"/>
      <c r="T36" s="2839" t="s">
        <v>2343</v>
      </c>
      <c r="U36" s="2839"/>
      <c r="V36" s="2847"/>
    </row>
    <row r="37" spans="1:23" s="2851" customFormat="1" ht="13.15" customHeight="1">
      <c r="A37" s="2929"/>
      <c r="B37" s="2930"/>
      <c r="C37" s="2930"/>
      <c r="D37" s="2930"/>
      <c r="E37" s="2930"/>
      <c r="F37" s="2934"/>
      <c r="G37" s="2928"/>
      <c r="H37" s="2846"/>
      <c r="I37" s="2847"/>
      <c r="J37" s="3666"/>
      <c r="K37" s="3668"/>
      <c r="L37" s="2881"/>
      <c r="M37" s="2882"/>
      <c r="N37" s="2858"/>
      <c r="O37" s="2883"/>
      <c r="P37" s="2883"/>
      <c r="Q37" s="2884"/>
      <c r="R37" s="2885"/>
      <c r="S37" s="2920"/>
      <c r="T37" s="2839" t="s">
        <v>2346</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66"/>
      <c r="K38" s="3668"/>
      <c r="L38" s="2881"/>
      <c r="M38" s="2882"/>
      <c r="N38" s="2858"/>
      <c r="O38" s="2883"/>
      <c r="P38" s="2883"/>
      <c r="Q38" s="2884"/>
      <c r="R38" s="2885"/>
      <c r="S38" s="2920"/>
      <c r="T38" s="2839" t="s">
        <v>2353</v>
      </c>
      <c r="U38" s="2839"/>
      <c r="V38" s="2847"/>
    </row>
    <row r="39" spans="1:23" s="2851" customFormat="1" ht="13.15" customHeight="1">
      <c r="A39" s="2929">
        <v>9</v>
      </c>
      <c r="B39" s="2930" t="s">
        <v>2431</v>
      </c>
      <c r="C39" s="2895" t="e">
        <f>C38</f>
        <v>#DIV/0!</v>
      </c>
      <c r="D39" s="2930">
        <f>D38/(1+D34)^C36</f>
        <v>0</v>
      </c>
      <c r="E39" s="2930">
        <f>E38/(1+E34)^(C36+D36)</f>
        <v>0</v>
      </c>
      <c r="F39" s="2934"/>
      <c r="G39" s="2989"/>
      <c r="H39" s="2846"/>
      <c r="I39" s="2847"/>
      <c r="J39" s="3666"/>
      <c r="K39" s="3668"/>
      <c r="L39" s="2881"/>
      <c r="M39" s="2882"/>
      <c r="N39" s="2858"/>
      <c r="O39" s="2883"/>
      <c r="P39" s="2883"/>
      <c r="Q39" s="2884"/>
      <c r="R39" s="2885"/>
      <c r="S39" s="2920"/>
      <c r="T39" s="2839"/>
      <c r="U39" s="2839"/>
      <c r="V39" s="2847"/>
    </row>
    <row r="40" spans="1:23" s="2851" customFormat="1" ht="13.15" customHeight="1">
      <c r="A40" s="2990">
        <v>10</v>
      </c>
      <c r="B40" s="2930" t="s">
        <v>2432</v>
      </c>
      <c r="C40" s="2991" t="e">
        <f>C39+D39+E39</f>
        <v>#DIV/0!</v>
      </c>
      <c r="D40" s="2992"/>
      <c r="E40" s="2992"/>
      <c r="F40" s="2993"/>
      <c r="G40" s="2928"/>
      <c r="H40" s="2846"/>
      <c r="I40" s="2847"/>
      <c r="J40" s="3666"/>
      <c r="K40" s="3669"/>
      <c r="L40" s="2901" t="s">
        <v>2371</v>
      </c>
      <c r="M40" s="2902"/>
      <c r="N40" s="2902"/>
      <c r="O40" s="2903"/>
      <c r="P40" s="2903"/>
      <c r="Q40" s="2904"/>
      <c r="R40" s="2850">
        <f>SUM(R37:R39)</f>
        <v>0</v>
      </c>
      <c r="S40" s="2920"/>
      <c r="T40" s="2839"/>
      <c r="U40" s="2839"/>
      <c r="V40" s="2847"/>
    </row>
    <row r="41" spans="1:23" s="2851" customFormat="1" ht="13.15" customHeight="1" thickBot="1">
      <c r="A41" s="2994">
        <v>11</v>
      </c>
      <c r="B41" s="2995" t="s">
        <v>2433</v>
      </c>
      <c r="C41" s="2995" t="e">
        <f>ROUND(C40*10000/B4,0)</f>
        <v>#DIV/0!</v>
      </c>
      <c r="D41" s="2996"/>
      <c r="E41" s="2996"/>
      <c r="F41" s="2997"/>
      <c r="G41" s="2998"/>
      <c r="H41" s="2846"/>
      <c r="I41" s="2847"/>
      <c r="J41" s="2942">
        <v>2</v>
      </c>
      <c r="K41" s="2943" t="s">
        <v>2411</v>
      </c>
      <c r="L41" s="2944"/>
      <c r="M41" s="2944"/>
      <c r="N41" s="2944"/>
      <c r="O41" s="2944"/>
      <c r="P41" s="2945"/>
      <c r="Q41" s="2946"/>
      <c r="R41" s="2917">
        <f>ROUND(R40*Q41,0)</f>
        <v>0</v>
      </c>
      <c r="S41" s="2920"/>
      <c r="T41" s="2839"/>
      <c r="U41" s="2954"/>
      <c r="V41" s="2847"/>
    </row>
    <row r="42" spans="1:23" s="2851" customFormat="1" ht="13.15" customHeight="1">
      <c r="G42" s="2998"/>
      <c r="H42" s="2846"/>
      <c r="I42" s="2847"/>
      <c r="J42" s="3670">
        <v>3</v>
      </c>
      <c r="K42" s="2949" t="s">
        <v>2413</v>
      </c>
      <c r="L42" s="2950"/>
      <c r="M42" s="2951"/>
      <c r="N42" s="2952" t="s">
        <v>2414</v>
      </c>
      <c r="O42" s="2952" t="s">
        <v>2415</v>
      </c>
      <c r="P42" s="2953" t="s">
        <v>2416</v>
      </c>
      <c r="Q42" s="2953" t="s">
        <v>2417</v>
      </c>
      <c r="R42" s="2856" t="s">
        <v>2342</v>
      </c>
      <c r="S42" s="2954"/>
      <c r="T42" s="2954"/>
      <c r="U42" s="2839"/>
      <c r="V42" s="2847"/>
    </row>
    <row r="43" spans="1:23" ht="13.15" customHeight="1">
      <c r="A43" s="2851"/>
      <c r="B43" s="2851"/>
      <c r="C43" s="2851"/>
      <c r="D43" s="2851"/>
      <c r="E43" s="2851"/>
      <c r="F43" s="2851"/>
      <c r="I43" s="2834"/>
      <c r="J43" s="3671"/>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2420</v>
      </c>
      <c r="L44" s="3002" t="s">
        <v>2421</v>
      </c>
      <c r="M44" s="2965"/>
      <c r="N44" s="3002" t="s">
        <v>2422</v>
      </c>
      <c r="O44" s="2965"/>
      <c r="P44" s="3002" t="s">
        <v>2423</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23</v>
      </c>
      <c r="C2" s="1870" t="s">
        <v>1651</v>
      </c>
      <c r="D2" s="1871" t="s">
        <v>1652</v>
      </c>
      <c r="E2" s="2605">
        <f>SUM(E6:E13)</f>
        <v>89.64</v>
      </c>
      <c r="F2" s="2705"/>
      <c r="G2" s="1487"/>
      <c r="H2" s="1487"/>
      <c r="I2" s="1487"/>
      <c r="J2" s="1487"/>
      <c r="K2" s="1487"/>
      <c r="L2" s="1487"/>
      <c r="M2" s="1487"/>
      <c r="N2" s="1487"/>
      <c r="O2" s="1487"/>
      <c r="P2" s="1487"/>
      <c r="Q2" s="1487"/>
      <c r="R2" s="1487"/>
      <c r="S2" s="1487"/>
    </row>
    <row r="3" spans="1:22" ht="15.75">
      <c r="A3" s="1868" t="s">
        <v>686</v>
      </c>
      <c r="B3" s="2599">
        <f ca="1">ROUND(B2*10000/E2,0)</f>
        <v>2566</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85" t="s">
        <v>1654</v>
      </c>
      <c r="C5" s="3686"/>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v>
      </c>
      <c r="B6" s="2600">
        <f ca="1">IF(F6="是",'数据-取费表'!AO6,0)</f>
        <v>23</v>
      </c>
      <c r="C6" s="1870" t="s">
        <v>1651</v>
      </c>
      <c r="D6" s="2707"/>
      <c r="E6" s="2604">
        <f>IF(OR(A6=0,F6="否"),0,'数据-取费表'!K6+'数据-取费表'!S6)</f>
        <v>89.64</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9" zoomScaleNormal="80" zoomScaleSheetLayoutView="100" workbookViewId="0">
      <selection activeCell="D37" sqref="D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0" customWidth="1"/>
    <col min="33" max="36" width="9.375" style="2051" customWidth="1"/>
    <col min="37" max="38" width="9.375" style="1996" customWidth="1"/>
    <col min="39" max="16384" width="12" style="1996"/>
  </cols>
  <sheetData>
    <row r="1" spans="1:36" ht="28.5">
      <c r="A1" s="196" t="s">
        <v>1926</v>
      </c>
      <c r="B1" s="197"/>
      <c r="C1" s="201" t="s">
        <v>1927</v>
      </c>
      <c r="D1" s="342">
        <f>SUM(D33:D34,D37:D42)</f>
        <v>89.64</v>
      </c>
      <c r="E1" s="1993"/>
      <c r="F1" s="1993"/>
      <c r="G1" s="1993"/>
      <c r="H1" s="1993"/>
      <c r="I1" s="1993"/>
      <c r="J1" s="1993"/>
      <c r="K1" s="1118"/>
      <c r="L1" s="1994" t="s">
        <v>1928</v>
      </c>
      <c r="M1" s="862">
        <f>SUMPRODUCT((区片价!B5:B9=I2)*(区片价!C3:G3=E2)*(区片价!C5:G9))</f>
        <v>0</v>
      </c>
      <c r="N1" s="865">
        <f>SUMPRODUCT((因素修正幅度!B5:B9=I2)*(因素修正幅度!C3:G3=E2)*(因素修正幅度!C5:G9))</f>
        <v>0</v>
      </c>
      <c r="O1" s="1995"/>
      <c r="P1" s="1995"/>
      <c r="Q1" s="1118"/>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71</v>
      </c>
      <c r="C2" s="1997" t="s">
        <v>1935</v>
      </c>
      <c r="D2" s="1998" t="s">
        <v>1936</v>
      </c>
      <c r="E2" s="3420" t="s">
        <v>3395</v>
      </c>
      <c r="F2" s="1998" t="s">
        <v>1937</v>
      </c>
      <c r="G2" s="1999" t="str">
        <f>IF(E2="商业",项目基本情况!B37,IF(E2="办公",项目基本情况!C37,IF(E2="住宅",项目基本情况!D37,IF(E2="工业",项目基本情况!E37,项目基本情况!F37))))</f>
        <v>九级</v>
      </c>
      <c r="H2" s="1998" t="s">
        <v>1938</v>
      </c>
      <c r="I2" s="1999" t="str">
        <f>IF(E2="商业",项目基本情况!B38,IF(E2="办公",项目基本情况!C38,IF(E2="住宅",项目基本情况!D38,IF(E2="工业",项目基本情况!E38,项目基本情况!F38))))</f>
        <v>Ⅸ-延2</v>
      </c>
      <c r="J2" s="2000"/>
      <c r="K2" s="1118"/>
      <c r="L2" s="2001" t="s">
        <v>1939</v>
      </c>
      <c r="M2" s="863">
        <f>SUMPRODUCT((区片价!B10:B29=I2)*(区片价!C3:G3=E2)*(区片价!C10:G29))</f>
        <v>0</v>
      </c>
      <c r="N2" s="865">
        <f>SUMPRODUCT((因素修正幅度!B10:B29=I2)*(因素修正幅度!C3:G3=E2)*(因素修正幅度!C10:G29))</f>
        <v>0</v>
      </c>
      <c r="O2" s="1118"/>
      <c r="P2" s="1118"/>
      <c r="Q2" s="1118"/>
      <c r="R2" s="1210">
        <v>1</v>
      </c>
      <c r="S2" s="3359">
        <f>ROUND(SUMPRODUCT((B106:B110=R2)*(C105:N105=G2)*(C106:N110)),4)</f>
        <v>1.5418000000000001</v>
      </c>
      <c r="T2" s="3359">
        <f t="shared" ref="T2:T16" si="0">ROUND($C$5*$C$22*$C$23*$C$24*S2*$C$28,0)</f>
        <v>12469</v>
      </c>
      <c r="U2" s="1211"/>
      <c r="V2" s="3359">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7921</v>
      </c>
      <c r="C3" s="1997" t="s">
        <v>1941</v>
      </c>
      <c r="D3" s="1998" t="s">
        <v>1942</v>
      </c>
      <c r="E3" s="3418" t="s">
        <v>3442</v>
      </c>
      <c r="F3" s="2002" t="s">
        <v>3443</v>
      </c>
      <c r="G3" s="751">
        <f>IF(F3="宗地容积率",'数据-汇总表'!I4,IF(F3="估价对象容积率",'数据-汇总表'!I6,'数据-汇总表'!I7))</f>
        <v>1.6</v>
      </c>
      <c r="H3" s="170" t="s">
        <v>1943</v>
      </c>
      <c r="I3" s="774"/>
      <c r="J3" s="2000" t="s">
        <v>1944</v>
      </c>
      <c r="K3" s="1118"/>
      <c r="L3" s="2001" t="s">
        <v>1945</v>
      </c>
      <c r="M3" s="863">
        <f>SUMPRODUCT((区片价!B30:B54=I2)*(区片价!C3:G3=E2)*(区片价!C30:G54))</f>
        <v>0</v>
      </c>
      <c r="N3" s="865">
        <f>SUMPRODUCT((因素修正幅度!B30:B54=I2)*(因素修正幅度!C3:G3=E2)*(因素修正幅度!C30:G54))</f>
        <v>0</v>
      </c>
      <c r="O3" s="1118"/>
      <c r="P3" s="1118"/>
      <c r="Q3" s="1118"/>
      <c r="R3" s="1210">
        <v>2</v>
      </c>
      <c r="S3" s="3359">
        <f>ROUND(SUMPRODUCT((B106:B110=R3)*(C105:N105=G2)*(C106:N110)),4)</f>
        <v>1.1883999999999999</v>
      </c>
      <c r="T3" s="3359">
        <f t="shared" si="0"/>
        <v>9611</v>
      </c>
      <c r="U3" s="1211"/>
      <c r="V3" s="3359">
        <f t="shared" ref="V3:V16" si="1">ROUND(T3*U3/10000,0)</f>
        <v>0</v>
      </c>
      <c r="W3" s="1214"/>
      <c r="X3" s="1214"/>
      <c r="Y3" s="1214"/>
      <c r="Z3" s="1214"/>
      <c r="AA3" s="1214"/>
      <c r="AB3" s="1214"/>
      <c r="AC3" s="1215"/>
      <c r="AD3" s="1216"/>
      <c r="AE3" s="1216"/>
      <c r="AF3" s="1216"/>
      <c r="AG3" s="1216"/>
      <c r="AH3" s="1216"/>
      <c r="AI3" s="1216"/>
      <c r="AJ3" s="1217"/>
    </row>
    <row r="4" spans="1:36" ht="15.75">
      <c r="A4" s="3694"/>
      <c r="B4" s="3695"/>
      <c r="C4" s="3695"/>
      <c r="D4" s="3696"/>
      <c r="E4" s="3696"/>
      <c r="F4" s="3696"/>
      <c r="G4" s="3696"/>
      <c r="H4" s="3696"/>
      <c r="I4" s="3696"/>
      <c r="J4" s="3697"/>
      <c r="K4" s="1118"/>
      <c r="L4" s="2001" t="s">
        <v>1946</v>
      </c>
      <c r="M4" s="863">
        <f>SUMPRODUCT((区片价!B55:B86=I2)*(区片价!C3:G3=E2)*(区片价!C55:G86))</f>
        <v>0</v>
      </c>
      <c r="N4" s="865">
        <f>SUMPRODUCT((因素修正幅度!B55:B86=I2)*(因素修正幅度!C3:G3=E2)*(因素修正幅度!C55:G86))</f>
        <v>0</v>
      </c>
      <c r="O4" s="1118"/>
      <c r="P4" s="1118"/>
      <c r="Q4" s="1118"/>
      <c r="R4" s="1210">
        <v>3</v>
      </c>
      <c r="S4" s="3359">
        <f>ROUND(SUMPRODUCT((B106:B110=R4)*(C105:N105=G2)*(C106:N110)),4)</f>
        <v>0.96940000000000004</v>
      </c>
      <c r="T4" s="3359">
        <f t="shared" si="0"/>
        <v>7840</v>
      </c>
      <c r="U4" s="1211"/>
      <c r="V4" s="3359">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2">
        <f>ROUND(IF(E2="商业",C6*C7*C17+C20,(IF(E2="住宅",C6*C13*C17+C20,IF(E2="办公",C6*C12*C17+C20,C6+C20)))),0)</f>
        <v>7197</v>
      </c>
      <c r="D5" s="1337">
        <f>ROUND(C6*C17+C20,0)</f>
        <v>6547</v>
      </c>
      <c r="E5" s="1337"/>
      <c r="F5" s="2005"/>
      <c r="G5" s="2006"/>
      <c r="H5" s="2006"/>
      <c r="I5" s="2006"/>
      <c r="J5" s="2007"/>
      <c r="K5" s="2008"/>
      <c r="L5" s="2001" t="s">
        <v>1948</v>
      </c>
      <c r="M5" s="863">
        <f>SUMPRODUCT((区片价!B87:B126=I2)*(区片价!C3:G3=E2)*(区片价!C87:G126))</f>
        <v>0</v>
      </c>
      <c r="N5" s="865">
        <f>SUMPRODUCT((因素修正幅度!B87:B126=I2)*(因素修正幅度!C3:G3=E2)*(因素修正幅度!C87:G126))</f>
        <v>0</v>
      </c>
      <c r="O5" s="1118"/>
      <c r="P5" s="1118"/>
      <c r="Q5" s="1118"/>
      <c r="R5" s="1210">
        <v>4</v>
      </c>
      <c r="S5" s="3359">
        <f>ROUND(SUMPRODUCT((B106:B110=R5)*(C105:N105=G2)*(C106:N110)),4)</f>
        <v>0.82299999999999995</v>
      </c>
      <c r="T5" s="3359">
        <f t="shared" si="0"/>
        <v>6656</v>
      </c>
      <c r="U5" s="1211"/>
      <c r="V5" s="3359">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3">
        <f>SUMIF(L1:L12,G2,M1:M12)</f>
        <v>6500</v>
      </c>
      <c r="D6" s="2015"/>
      <c r="E6" s="2016"/>
      <c r="F6" s="2016"/>
      <c r="G6" s="2017"/>
      <c r="H6" s="2017"/>
      <c r="I6" s="2017"/>
      <c r="J6" s="2018"/>
      <c r="K6" s="1382"/>
      <c r="L6" s="2001" t="s">
        <v>1951</v>
      </c>
      <c r="M6" s="863">
        <f>SUMPRODUCT((区片价!B127:B189=I2)*(区片价!C3:G3=E2)*(区片价!C127:G189))</f>
        <v>0</v>
      </c>
      <c r="N6" s="865">
        <f>SUMPRODUCT((因素修正幅度!B127:B189=I2)*(因素修正幅度!C3:G3=E2)*(因素修正幅度!C127:G189))</f>
        <v>0</v>
      </c>
      <c r="O6" s="1118"/>
      <c r="P6" s="1118"/>
      <c r="Q6" s="1118"/>
      <c r="R6" s="1210">
        <v>5</v>
      </c>
      <c r="S6" s="3359">
        <f>ROUND(SUMPRODUCT((B106:B110=R6)*(C105:N105=G2)*(C106:N110)),4)</f>
        <v>0.74980000000000002</v>
      </c>
      <c r="T6" s="3359">
        <f t="shared" si="0"/>
        <v>6064</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3238</v>
      </c>
      <c r="B7" s="2019" t="s">
        <v>1952</v>
      </c>
      <c r="C7" s="754">
        <f>IF(C8="不临65条商业街",1,ROUND(1+(1.6*E8+1.2*E9+0.8*E10+0.4*E11)*C9,4))</f>
        <v>1</v>
      </c>
      <c r="D7" s="2020" t="s">
        <v>1953</v>
      </c>
      <c r="E7" s="775"/>
      <c r="F7" s="2021"/>
      <c r="G7" s="2022"/>
      <c r="H7" s="2022"/>
      <c r="I7" s="2022"/>
      <c r="J7" s="2023"/>
      <c r="K7" s="1382"/>
      <c r="L7" s="2001" t="s">
        <v>1954</v>
      </c>
      <c r="M7" s="863">
        <f>SUMPRODUCT((区片价!B190:B233=I2)*(区片价!C3:G3=E2)*(区片价!C190:G233))</f>
        <v>0</v>
      </c>
      <c r="N7" s="865">
        <f>SUMPRODUCT((因素修正幅度!B190:B233=I2)*(因素修正幅度!C3:G3=E2)*(因素修正幅度!C190:G233))</f>
        <v>0</v>
      </c>
      <c r="O7" s="1118"/>
      <c r="P7" s="1118"/>
      <c r="Q7" s="1118"/>
      <c r="R7" s="1210">
        <v>6</v>
      </c>
      <c r="S7" s="3417"/>
      <c r="T7" s="3359">
        <f t="shared" si="0"/>
        <v>0</v>
      </c>
      <c r="U7" s="1211"/>
      <c r="V7" s="3359">
        <f t="shared" si="1"/>
        <v>0</v>
      </c>
      <c r="W7" s="1356" t="s">
        <v>1955</v>
      </c>
      <c r="X7" s="1212" t="str">
        <f>G2</f>
        <v>九级</v>
      </c>
      <c r="Y7" s="1212" t="s">
        <v>1956</v>
      </c>
      <c r="Z7" s="1213">
        <f>G3</f>
        <v>1.6</v>
      </c>
      <c r="AA7" s="1214"/>
      <c r="AB7" s="1214"/>
      <c r="AC7" s="1215"/>
      <c r="AD7" s="1216"/>
      <c r="AE7" s="1216"/>
      <c r="AF7" s="1216"/>
      <c r="AG7" s="1216"/>
      <c r="AH7" s="1216"/>
      <c r="AI7" s="1216"/>
      <c r="AJ7" s="1217"/>
    </row>
    <row r="8" spans="1:36" ht="25.5">
      <c r="A8" s="3297"/>
      <c r="B8" s="170" t="s">
        <v>1957</v>
      </c>
      <c r="C8" s="2024" t="s">
        <v>3444</v>
      </c>
      <c r="D8" s="755" t="s">
        <v>112</v>
      </c>
      <c r="E8" s="756" t="e">
        <f>ROUND(C11/E7,4)</f>
        <v>#DIV/0!</v>
      </c>
      <c r="F8" s="2025" t="s">
        <v>1958</v>
      </c>
      <c r="G8" s="2026"/>
      <c r="H8" s="2026"/>
      <c r="I8" s="2026"/>
      <c r="J8" s="2027"/>
      <c r="K8" s="1118"/>
      <c r="L8" s="2001" t="s">
        <v>1959</v>
      </c>
      <c r="M8" s="863">
        <f>SUMPRODUCT((区片价!B234:B276=I2)*(区片价!C3:G3=E2)*(区片价!C234:G276))</f>
        <v>0</v>
      </c>
      <c r="N8" s="865">
        <f>SUMPRODUCT((因素修正幅度!B234:B276=I2)*(因素修正幅度!C3:G3=E2)*(因素修正幅度!C234:G276))</f>
        <v>0</v>
      </c>
      <c r="O8" s="1118"/>
      <c r="P8" s="1118"/>
      <c r="Q8" s="1118"/>
      <c r="R8" s="1210">
        <v>7</v>
      </c>
      <c r="S8" s="1211"/>
      <c r="T8" s="3359">
        <f t="shared" si="0"/>
        <v>0</v>
      </c>
      <c r="U8" s="1211"/>
      <c r="V8" s="3359">
        <f t="shared" si="1"/>
        <v>0</v>
      </c>
      <c r="W8" s="3691" t="s">
        <v>1960</v>
      </c>
      <c r="X8" s="3692"/>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7">
        <f>SUMIF(修正!C71:C138,C8,修正!E71:E138)</f>
        <v>0</v>
      </c>
      <c r="D9" s="171" t="s">
        <v>113</v>
      </c>
      <c r="E9" s="171" t="e">
        <f>ROUND(C11/E7,4)</f>
        <v>#DIV/0!</v>
      </c>
      <c r="F9" s="2025" t="s">
        <v>1974</v>
      </c>
      <c r="G9" s="2026"/>
      <c r="H9" s="2026"/>
      <c r="I9" s="2026"/>
      <c r="J9" s="2027"/>
      <c r="K9" s="1118"/>
      <c r="L9" s="2001" t="s">
        <v>1975</v>
      </c>
      <c r="M9" s="863">
        <f>SUMPRODUCT((区片价!B277:B326=I2)*(区片价!C3:G3=E2)*(区片价!C277:G326))</f>
        <v>6500</v>
      </c>
      <c r="N9" s="865">
        <f>SUMPRODUCT((因素修正幅度!B277:B326=I2)*(因素修正幅度!C3:G3=E2)*(因素修正幅度!C277:G326))</f>
        <v>0.15</v>
      </c>
      <c r="O9" s="1118"/>
      <c r="P9" s="1118"/>
      <c r="Q9" s="1118"/>
      <c r="R9" s="1210">
        <v>8</v>
      </c>
      <c r="S9" s="1211"/>
      <c r="T9" s="3359">
        <f t="shared" si="0"/>
        <v>0</v>
      </c>
      <c r="U9" s="1211"/>
      <c r="V9" s="3359">
        <f t="shared" si="1"/>
        <v>0</v>
      </c>
      <c r="W9" s="3693"/>
      <c r="X9" s="3360" t="s">
        <v>3268</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8"/>
      <c r="L10" s="2001" t="s">
        <v>1978</v>
      </c>
      <c r="M10" s="863">
        <f>SUMPRODUCT((区片价!B327:B357=I2)*(区片价!C3:G3=E2)*(区片价!C327:G357))</f>
        <v>0</v>
      </c>
      <c r="N10" s="865">
        <f>SUMPRODUCT((因素修正幅度!B327:B357=I2)*(因素修正幅度!C3:G3=E2)*(因素修正幅度!C327:G357))</f>
        <v>0</v>
      </c>
      <c r="O10" s="1118"/>
      <c r="P10" s="1118"/>
      <c r="Q10" s="1118"/>
      <c r="R10" s="1210">
        <v>9</v>
      </c>
      <c r="S10" s="1211"/>
      <c r="T10" s="3359">
        <f t="shared" si="0"/>
        <v>0</v>
      </c>
      <c r="U10" s="1211"/>
      <c r="V10" s="3359">
        <f t="shared" si="1"/>
        <v>0</v>
      </c>
      <c r="W10" s="3693"/>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8">
        <f>C10/4</f>
        <v>0</v>
      </c>
      <c r="D11" s="758" t="s">
        <v>115</v>
      </c>
      <c r="E11" s="758" t="e">
        <f>ROUND(C11/E7,4)</f>
        <v>#DIV/0!</v>
      </c>
      <c r="F11" s="2029" t="s">
        <v>1980</v>
      </c>
      <c r="G11" s="2030"/>
      <c r="H11" s="2030"/>
      <c r="I11" s="2030"/>
      <c r="J11" s="2031"/>
      <c r="K11" s="1118"/>
      <c r="L11" s="2001" t="s">
        <v>1981</v>
      </c>
      <c r="M11" s="863">
        <f>SUMPRODUCT((区片价!B358:B377=I2)*(区片价!C3:G3=E2)*(区片价!C358:G377))</f>
        <v>0</v>
      </c>
      <c r="N11" s="865">
        <f>SUMPRODUCT((因素修正幅度!B358:B377=I2)*(因素修正幅度!C3:G3=E2)*(因素修正幅度!C358:G377))</f>
        <v>0</v>
      </c>
      <c r="O11" s="1118"/>
      <c r="P11" s="1118"/>
      <c r="Q11" s="1118"/>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3239</v>
      </c>
      <c r="B12" s="3303" t="s">
        <v>3240</v>
      </c>
      <c r="C12" s="3304">
        <v>1</v>
      </c>
      <c r="D12" s="3305" t="s">
        <v>3241</v>
      </c>
      <c r="E12" s="3306" t="s">
        <v>3242</v>
      </c>
      <c r="F12" s="3307"/>
      <c r="G12" s="3308"/>
      <c r="H12" s="3308"/>
      <c r="I12" s="3308"/>
      <c r="J12" s="3309"/>
      <c r="K12" s="1118"/>
      <c r="L12" s="2037" t="s">
        <v>1984</v>
      </c>
      <c r="M12" s="864">
        <f>SUMPRODUCT((区片价!B378:B384=I2)*(区片价!C3:G3=E2)*(区片价!C378:G384))</f>
        <v>0</v>
      </c>
      <c r="N12" s="865">
        <f>SUMPRODUCT((因素修正幅度!B378:B384=I2)*(因素修正幅度!C3:G3=E2)*(因素修正幅度!C378:G384))</f>
        <v>0</v>
      </c>
      <c r="O12" s="1118"/>
      <c r="P12" s="1118"/>
      <c r="Q12" s="1118"/>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3243</v>
      </c>
      <c r="B13" s="2032" t="s">
        <v>1982</v>
      </c>
      <c r="C13" s="754">
        <f>ROUND(C16*D16*E16*F16*G16*H16*I16*J16,4)</f>
        <v>1.1000000000000001</v>
      </c>
      <c r="D13" s="2033" t="s">
        <v>1983</v>
      </c>
      <c r="E13" s="2034"/>
      <c r="F13" s="2034"/>
      <c r="G13" s="2035"/>
      <c r="H13" s="2035"/>
      <c r="I13" s="2035"/>
      <c r="J13" s="2036"/>
      <c r="K13" s="1118"/>
      <c r="L13" s="3298"/>
      <c r="M13" s="3299"/>
      <c r="N13" s="3300"/>
      <c r="O13" s="1118"/>
      <c r="P13" s="1118"/>
      <c r="Q13" s="1118"/>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3244</v>
      </c>
      <c r="G14" s="3310" t="s">
        <v>3244</v>
      </c>
      <c r="H14" s="3310" t="s">
        <v>3244</v>
      </c>
      <c r="I14" s="3310" t="s">
        <v>3244</v>
      </c>
      <c r="J14" s="3310" t="s">
        <v>3244</v>
      </c>
      <c r="K14" s="1118"/>
      <c r="L14" s="1118"/>
      <c r="M14" s="1118"/>
      <c r="N14" s="1118"/>
      <c r="O14" s="1118"/>
      <c r="P14" s="1118"/>
      <c r="Q14" s="1118"/>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t="s">
        <v>3445</v>
      </c>
      <c r="D15" s="2042"/>
      <c r="E15" s="2043"/>
      <c r="F15" s="3311" t="s">
        <v>3245</v>
      </c>
      <c r="G15" s="3312"/>
      <c r="H15" s="3313"/>
      <c r="I15" s="3314"/>
      <c r="J15" s="3315"/>
      <c r="K15" s="1118"/>
      <c r="L15" s="1118"/>
      <c r="M15" s="1118"/>
      <c r="N15" s="1118"/>
      <c r="O15" s="1118"/>
      <c r="P15" s="1118"/>
      <c r="Q15" s="1118"/>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v>1.1000000000000001</v>
      </c>
      <c r="D16" s="3316">
        <v>1</v>
      </c>
      <c r="E16" s="3316">
        <v>1</v>
      </c>
      <c r="F16" s="3316">
        <v>1</v>
      </c>
      <c r="G16" s="3316">
        <v>1</v>
      </c>
      <c r="H16" s="3316">
        <v>1</v>
      </c>
      <c r="I16" s="3316">
        <v>1</v>
      </c>
      <c r="J16" s="3317">
        <v>1</v>
      </c>
      <c r="K16" s="1118"/>
      <c r="L16" s="1995"/>
      <c r="M16" s="1995"/>
      <c r="N16" s="1995"/>
      <c r="O16" s="1995"/>
      <c r="P16" s="1995"/>
      <c r="Q16" s="1118"/>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3246</v>
      </c>
      <c r="B17" s="3319" t="s">
        <v>3247</v>
      </c>
      <c r="C17" s="3329">
        <f>ROUND(IF(OR(E2="工业",E2="公共服务"),1,IF(AND(E18=0,E19=0),1,IF(AND(E18=J24,E19=G19),0.8,IF(E19=0,1+E17*(-0.2),1+E17*G17*(-0.2))))),4)</f>
        <v>1</v>
      </c>
      <c r="D17" s="3320" t="s">
        <v>3248</v>
      </c>
      <c r="E17" s="3329">
        <f>ROUND(G18/I18,2)</f>
        <v>0</v>
      </c>
      <c r="F17" s="3320" t="s">
        <v>3251</v>
      </c>
      <c r="G17" s="3329" t="e">
        <f>ROUND(E19/G19,2)</f>
        <v>#DIV/0!</v>
      </c>
      <c r="H17" s="3329"/>
      <c r="I17" s="3329"/>
      <c r="J17" s="3330"/>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4.25">
      <c r="A18" s="3331"/>
      <c r="B18" s="3008"/>
      <c r="C18" s="3326"/>
      <c r="D18" s="3321" t="s">
        <v>3249</v>
      </c>
      <c r="E18" s="3327"/>
      <c r="F18" s="3322" t="s">
        <v>3252</v>
      </c>
      <c r="G18" s="3326">
        <f>ROUND(1-(1/(POWER(1+G24,E18))),4)</f>
        <v>0</v>
      </c>
      <c r="H18" s="3322" t="s">
        <v>3254</v>
      </c>
      <c r="I18" s="3326">
        <f>ROUND(1-(1/(POWER(1+G24,J24))),4)</f>
        <v>0.96709999999999996</v>
      </c>
      <c r="J18" s="3332"/>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6"/>
    </row>
    <row r="19" spans="1:37" s="2012" customFormat="1" ht="15" thickBot="1">
      <c r="A19" s="3333"/>
      <c r="B19" s="3334"/>
      <c r="C19" s="3335"/>
      <c r="D19" s="3335" t="s">
        <v>3250</v>
      </c>
      <c r="E19" s="3336"/>
      <c r="F19" s="3337" t="s">
        <v>3253</v>
      </c>
      <c r="G19" s="3336"/>
      <c r="H19" s="3335"/>
      <c r="I19" s="3335"/>
      <c r="J19" s="3338"/>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9"/>
      <c r="AH19" s="2139"/>
      <c r="AI19" s="2790"/>
      <c r="AJ19" s="2790"/>
      <c r="AK19" s="2055"/>
    </row>
    <row r="20" spans="1:37" s="2012" customFormat="1" ht="14.25">
      <c r="A20" s="3698" t="s">
        <v>3255</v>
      </c>
      <c r="B20" s="167" t="s">
        <v>1994</v>
      </c>
      <c r="C20" s="3323">
        <f>ROUND(IF(F21="与级别开发程度一致",0,(G21-E21)/C21),0)</f>
        <v>47</v>
      </c>
      <c r="D20" s="3339" t="s">
        <v>1998</v>
      </c>
      <c r="E20" s="3340"/>
      <c r="F20" s="3704" t="s">
        <v>1995</v>
      </c>
      <c r="G20" s="3705"/>
      <c r="H20" s="3324" t="s">
        <v>3447</v>
      </c>
      <c r="I20" s="3324" t="s">
        <v>3448</v>
      </c>
      <c r="J20" s="3325" t="s">
        <v>3449</v>
      </c>
      <c r="K20" s="2045" t="s">
        <v>3450</v>
      </c>
      <c r="L20" s="2045" t="s">
        <v>3451</v>
      </c>
      <c r="M20" s="2045" t="s">
        <v>3452</v>
      </c>
      <c r="N20" s="2045" t="s">
        <v>3453</v>
      </c>
      <c r="O20" s="2046" t="s">
        <v>3454</v>
      </c>
      <c r="P20" s="1995"/>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2" customFormat="1" ht="26.25" thickBot="1">
      <c r="A21" s="3699"/>
      <c r="B21" s="2162" t="s">
        <v>1997</v>
      </c>
      <c r="C21" s="2163">
        <f>IF(E3="M4科研用地",SUMPRODUCT((修正!A2:A7=E3)*(修正!B1:M1=G2)*(修正!B2:M7)),SUMPRODUCT((修正!A2:A7=E2)*(修正!B1:M1=G2)*(修正!B2:M7)))</f>
        <v>1.5</v>
      </c>
      <c r="D21" s="187" t="str">
        <f>IF(OR(G2="八级",G2="九级",G2="十级",G2="十一级",G2="十二级"),"五通一平","七通一平")</f>
        <v>五通一平</v>
      </c>
      <c r="E21" s="2153">
        <f>SUMPRODUCT((修正!B1:M1=G2)*(修正!B17:M17))</f>
        <v>185</v>
      </c>
      <c r="F21" s="2154" t="s">
        <v>3446</v>
      </c>
      <c r="G21" s="2155">
        <f>SUM(H21:O21)</f>
        <v>255</v>
      </c>
      <c r="H21" s="2163">
        <f>SUMPRODUCT((七通一平=H20)*(修正!B1:M1=G2)*(修正!B8:M16))</f>
        <v>60</v>
      </c>
      <c r="I21" s="2163">
        <f>SUMPRODUCT((七通一平=I20)*(修正!B1:M1=G2)*(修正!B8:M16))</f>
        <v>50</v>
      </c>
      <c r="J21" s="2164">
        <f>SUMPRODUCT((七通一平=J20)*(修正!B1:M1=G2)*(修正!B8:M16))</f>
        <v>10</v>
      </c>
      <c r="K21" s="2163">
        <f>SUMPRODUCT((七通一平=K20)*(修正!B1:M1=G2)*(修正!B8:M16))</f>
        <v>20</v>
      </c>
      <c r="L21" s="2163">
        <f>SUMPRODUCT((七通一平=L20)*(修正!B1:M1=G2)*(修正!B8:M16))</f>
        <v>35</v>
      </c>
      <c r="M21" s="2163">
        <f>SUMPRODUCT((七通一平=M20)*(修正!B1:M1=G2)*(修正!B8:M16))</f>
        <v>40</v>
      </c>
      <c r="N21" s="2163">
        <f>SUMPRODUCT((七通一平=N20)*(修正!B1:M1=G2)*(修正!B8:M16))</f>
        <v>30</v>
      </c>
      <c r="O21" s="2165">
        <f>SUMPRODUCT((七通一平=O20)*(修正!B1:M1=G2)*(修正!B8:M16))</f>
        <v>10</v>
      </c>
      <c r="P21" s="1995"/>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8" t="s">
        <v>364</v>
      </c>
      <c r="B23" s="2049" t="s">
        <v>2001</v>
      </c>
      <c r="C23" s="7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1.079</v>
      </c>
      <c r="D23" s="2052" t="s">
        <v>2002</v>
      </c>
      <c r="E23" s="760">
        <v>44197</v>
      </c>
      <c r="F23" s="2052" t="s">
        <v>2003</v>
      </c>
      <c r="G23" s="761">
        <f>'数据-取费表'!B2</f>
        <v>45581</v>
      </c>
      <c r="H23" s="3341" t="s">
        <v>3256</v>
      </c>
      <c r="I23" s="3342" t="str">
        <f>IF(H23="季度增幅（自定义）",SUMIF(N25:N28,E2,O25:O28),"")</f>
        <v/>
      </c>
      <c r="J23" s="3444" t="s">
        <v>3455</v>
      </c>
      <c r="K23" s="1124"/>
      <c r="L23" s="2053" t="s">
        <v>2004</v>
      </c>
      <c r="M23" s="1326">
        <f>ROUND(SUMIF(地价!B2:G2,E2,地价!B16:G16),0)</f>
        <v>687</v>
      </c>
      <c r="N23" s="2054" t="s">
        <v>2005</v>
      </c>
      <c r="O23" s="762">
        <f>ROUNDDOWN(DATEDIF(E23,G23,"M")/3,0)</f>
        <v>15</v>
      </c>
      <c r="P23" s="1121"/>
      <c r="Q23" s="2786"/>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75" thickBot="1">
      <c r="A24" s="2056" t="s">
        <v>365</v>
      </c>
      <c r="B24" s="2057" t="s">
        <v>2006</v>
      </c>
      <c r="C24" s="763">
        <f>ROUND(POWER(1+G24,J24-I24)*(POWER(1+G24,I24)-1)/(POWER(1+G24,J24)-1),4)</f>
        <v>0.98619999999999997</v>
      </c>
      <c r="D24" s="2058" t="s">
        <v>2007</v>
      </c>
      <c r="E24" s="1333">
        <f>存贷款利率!E26/100</f>
        <v>4.3499999999999997E-2</v>
      </c>
      <c r="F24" s="2058" t="s">
        <v>1999</v>
      </c>
      <c r="G24" s="767">
        <f>SUMIF(M30:Q30,E2,M33:Q33)</f>
        <v>0.05</v>
      </c>
      <c r="H24" s="2058" t="s">
        <v>2008</v>
      </c>
      <c r="I24" s="768">
        <f>SUMIF('数据-取费表'!C6:C15,E2,'数据-取费表'!F6:F15)/COUNTIF('数据-取费表'!C6:C15,E2)</f>
        <v>63.02</v>
      </c>
      <c r="J24" s="769">
        <f>IF(E2="住宅",70,IF(E2="商业",40,50))</f>
        <v>70</v>
      </c>
      <c r="K24" s="1124"/>
      <c r="L24" s="2059" t="s">
        <v>2009</v>
      </c>
      <c r="M24" s="1327">
        <f>ROUND(SUMPRODUCT((地价!A4:A16=YEAR(G23)&amp;"-"&amp;ROUNDUP(MONTH(G23)/3,0))*(地价!B2:G2=E2)*(地价!B4:G16)),0)</f>
        <v>0</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3" t="s">
        <v>366</v>
      </c>
      <c r="B25" s="2064" t="s">
        <v>3335</v>
      </c>
      <c r="C25" s="770">
        <f>IF(B25="容积率修正",IF(G3&lt;10,D26,J26),C27)</f>
        <v>0.98229999999999995</v>
      </c>
      <c r="D25" s="2065"/>
      <c r="E25" s="2065"/>
      <c r="F25" s="2065"/>
      <c r="G25" s="2065"/>
      <c r="H25" s="2065"/>
      <c r="I25" s="2065"/>
      <c r="J25" s="2066"/>
      <c r="K25" s="1124"/>
      <c r="L25" s="2786"/>
      <c r="M25" s="2786"/>
      <c r="N25" s="2067" t="s">
        <v>2013</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25">
      <c r="A26" s="1953" t="s">
        <v>2014</v>
      </c>
      <c r="B26" s="2068" t="s">
        <v>2015</v>
      </c>
      <c r="C26" s="3343" t="s">
        <v>3257</v>
      </c>
      <c r="D26" s="1350">
        <f>IF(E26=G26,F26,IF(G3&lt;10,ROUND(F26+(H26-F26)*(G3-E26)/(G26-E26),4),"——"))</f>
        <v>0.98229999999999995</v>
      </c>
      <c r="E26" s="751">
        <f>ROUNDDOWN(G3,1)</f>
        <v>1.6</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0.98229999999999995</v>
      </c>
      <c r="G26" s="751">
        <f>ROUNDUP(G3,1)</f>
        <v>1.6</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0.98229999999999995</v>
      </c>
      <c r="I26" s="3343" t="s">
        <v>3258</v>
      </c>
      <c r="J26" s="771" t="str">
        <f>IF(G3&gt;=10,D115,"——")</f>
        <v>——</v>
      </c>
      <c r="K26" s="1124"/>
      <c r="L26" s="2786"/>
      <c r="M26" s="2786"/>
      <c r="N26" s="2067" t="s">
        <v>2016</v>
      </c>
      <c r="O26" s="1172"/>
      <c r="P26" s="1173">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75" thickBot="1">
      <c r="A27" s="1953" t="s">
        <v>2017</v>
      </c>
      <c r="B27" s="2069" t="s">
        <v>2018</v>
      </c>
      <c r="C27" s="840">
        <f>ROUND(IF(I3&lt;6,SUMPRODUCT((B106:B110=I3)*(C105:N105=G2)*(C106:N110)),SUMIF(C105:N105,G2,C112:N112)),4)</f>
        <v>0</v>
      </c>
      <c r="D27" s="2044"/>
      <c r="E27" s="2044"/>
      <c r="F27" s="2070"/>
      <c r="G27" s="2071"/>
      <c r="H27" s="2072"/>
      <c r="I27" s="2073"/>
      <c r="J27" s="2074"/>
      <c r="K27" s="1118"/>
      <c r="L27" s="1995"/>
      <c r="M27" s="1995"/>
      <c r="N27" s="2067" t="s">
        <v>2019</v>
      </c>
      <c r="O27" s="1172"/>
      <c r="P27" s="1173">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75" thickBot="1">
      <c r="A28" s="2056" t="s">
        <v>367</v>
      </c>
      <c r="B28" s="2049" t="s">
        <v>2020</v>
      </c>
      <c r="C28" s="759">
        <f>SUMIF(A47:A101,E2,B47:B101)</f>
        <v>1.056</v>
      </c>
      <c r="D28" s="2050"/>
      <c r="E28" s="2075"/>
      <c r="F28" s="2075"/>
      <c r="G28" s="2075"/>
      <c r="H28" s="2075"/>
      <c r="I28" s="2075"/>
      <c r="J28" s="2076"/>
      <c r="K28" s="1124"/>
      <c r="L28" s="2786"/>
      <c r="M28" s="2786"/>
      <c r="N28" s="2077"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75" thickBot="1">
      <c r="A29" s="2056" t="s">
        <v>368</v>
      </c>
      <c r="B29" s="2078" t="s">
        <v>2022</v>
      </c>
      <c r="C29" s="764"/>
      <c r="D29" s="2022"/>
      <c r="E29" s="2022"/>
      <c r="F29" s="2079"/>
      <c r="G29" s="2022"/>
      <c r="H29" s="2022"/>
      <c r="I29" s="2022"/>
      <c r="J29" s="2023"/>
      <c r="K29" s="1118"/>
      <c r="L29" s="1995"/>
      <c r="M29" s="1995"/>
      <c r="N29" s="2783" t="s">
        <v>2023</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5">
      <c r="A30" s="2080"/>
      <c r="B30" s="2068" t="s">
        <v>2024</v>
      </c>
      <c r="C30" s="2319">
        <f>IF(B25="容积率修正",E33+SUM(E37:E42),SUM(V2:V16)+SUM(E37:E42))</f>
        <v>71</v>
      </c>
      <c r="D30" s="2081"/>
      <c r="E30" s="2044"/>
      <c r="F30" s="2082"/>
      <c r="G30" s="2044"/>
      <c r="H30" s="2044"/>
      <c r="I30" s="2044"/>
      <c r="J30" s="2083"/>
      <c r="K30" s="1118"/>
      <c r="L30" s="3349" t="s">
        <v>1936</v>
      </c>
      <c r="M30" s="3350" t="s">
        <v>1990</v>
      </c>
      <c r="N30" s="3350" t="s">
        <v>1991</v>
      </c>
      <c r="O30" s="3350" t="s">
        <v>1992</v>
      </c>
      <c r="P30" s="3350" t="s">
        <v>1993</v>
      </c>
      <c r="Q30" s="3353" t="s">
        <v>3262</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75" thickBot="1">
      <c r="A31" s="2080"/>
      <c r="B31" s="2084" t="s">
        <v>2025</v>
      </c>
      <c r="C31" s="765">
        <f>E34+SUM(I37:I42)</f>
        <v>0</v>
      </c>
      <c r="D31" s="2085"/>
      <c r="E31" s="2086"/>
      <c r="F31" s="2087"/>
      <c r="G31" s="2086"/>
      <c r="H31" s="2086"/>
      <c r="I31" s="2086"/>
      <c r="J31" s="2088"/>
      <c r="K31" s="1118"/>
      <c r="L31" s="3351" t="s">
        <v>1996</v>
      </c>
      <c r="M31" s="1998">
        <v>0.25</v>
      </c>
      <c r="N31" s="1998">
        <v>0.2</v>
      </c>
      <c r="O31" s="1998">
        <v>0.15</v>
      </c>
      <c r="P31" s="1998">
        <v>0.1</v>
      </c>
      <c r="Q31" s="3346">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8"/>
      <c r="L32" s="3352" t="s">
        <v>1999</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4.25">
      <c r="A33" s="2094"/>
      <c r="B33" s="2095" t="s">
        <v>2030</v>
      </c>
      <c r="C33" s="175">
        <f>ROUND(C5*C22*C23*C24*C25*C28,0)</f>
        <v>7944</v>
      </c>
      <c r="D33" s="2096">
        <f>'数据-基础表'!I13</f>
        <v>89.64</v>
      </c>
      <c r="E33" s="772">
        <f>ROUND(C33*D33/10000,0)</f>
        <v>71</v>
      </c>
      <c r="F33" s="3344" t="s">
        <v>3260</v>
      </c>
      <c r="G33" s="2097"/>
      <c r="H33" s="2097"/>
      <c r="I33" s="2097"/>
      <c r="J33" s="2098"/>
      <c r="K33" s="1118"/>
      <c r="L33" s="3347" t="s">
        <v>3263</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5" thickBot="1">
      <c r="A34" s="2099"/>
      <c r="B34" s="2100" t="s">
        <v>2031</v>
      </c>
      <c r="C34" s="187">
        <f>ROUND(IF(E2="工业",C33*M42,IF(B25="楼层修正",SUM(V2:V16)*M41*10000/D34,C33*M41)),0)</f>
        <v>1986</v>
      </c>
      <c r="D34" s="2101"/>
      <c r="E34" s="772">
        <f>ROUND(IF(B25="楼层修正",SUM(V2:V16)*M40,C34*D34/10000),0)</f>
        <v>0</v>
      </c>
      <c r="F34" s="2102" t="s">
        <v>2032</v>
      </c>
      <c r="G34" s="2103"/>
      <c r="H34" s="2103"/>
      <c r="I34" s="2103"/>
      <c r="J34" s="2104"/>
      <c r="K34" s="1118"/>
      <c r="L34" s="3347" t="s">
        <v>3264</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5" t="s">
        <v>3261</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3265</v>
      </c>
      <c r="L36" s="3445">
        <f ca="1">'数据-取费表'!B40</f>
        <v>3.3500000000000002E-2</v>
      </c>
      <c r="M36" s="3356">
        <f ca="1">ROUND($L$36*(1+M31),3)</f>
        <v>4.2000000000000003E-2</v>
      </c>
      <c r="N36" s="3356">
        <f ca="1">ROUND($L$36*(1+N31),3)</f>
        <v>0.04</v>
      </c>
      <c r="O36" s="3356">
        <f ca="1">ROUND($L$36*(1+O31),3)</f>
        <v>3.9E-2</v>
      </c>
      <c r="P36" s="3356">
        <f ca="1">ROUND($L$36*(1+P31),3)</f>
        <v>3.6999999999999998E-2</v>
      </c>
      <c r="Q36" s="3356">
        <f ca="1">ROUND($L$36*(1+Q31),3)</f>
        <v>3.9E-2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75" thickBot="1">
      <c r="A37" s="3702"/>
      <c r="B37" s="2111" t="s">
        <v>2036</v>
      </c>
      <c r="C37" s="175">
        <f>ROUND(D5*C22*C23*C24*C28*F37,0)</f>
        <v>3678</v>
      </c>
      <c r="D37" s="2096"/>
      <c r="E37" s="171">
        <f>ROUND(C37*D37/10000,0)</f>
        <v>0</v>
      </c>
      <c r="F37" s="171">
        <f>SUMIF(修正!A57:A68,G2,修正!B57:B68)</f>
        <v>0.5</v>
      </c>
      <c r="G37" s="171">
        <f>ROUND(IF(E2="工业",C37*$M$42,C37*$M$41),0)</f>
        <v>920</v>
      </c>
      <c r="H37" s="171">
        <f>D37</f>
        <v>0</v>
      </c>
      <c r="I37" s="171">
        <f>ROUND(G37*H37/10000,0)</f>
        <v>0</v>
      </c>
      <c r="J37" s="3010"/>
      <c r="K37" s="3357" t="s">
        <v>3266</v>
      </c>
      <c r="L37" s="3355">
        <f ca="1">L36+K38</f>
        <v>3.85E-2</v>
      </c>
      <c r="M37" s="3356">
        <f ca="1">ROUND($L$37*(1+M31),3)</f>
        <v>4.8000000000000001E-2</v>
      </c>
      <c r="N37" s="3356">
        <f t="shared" ref="N37:Q37" ca="1" si="3">ROUND($L$37*(1+N31),3)</f>
        <v>4.5999999999999999E-2</v>
      </c>
      <c r="O37" s="3356">
        <f t="shared" ca="1" si="3"/>
        <v>4.3999999999999997E-2</v>
      </c>
      <c r="P37" s="3356">
        <f t="shared" ca="1" si="3"/>
        <v>4.2000000000000003E-2</v>
      </c>
      <c r="Q37" s="3356">
        <f t="shared" ca="1" si="3"/>
        <v>4.3999999999999997E-2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703"/>
      <c r="B38" s="2039" t="s">
        <v>2037</v>
      </c>
      <c r="C38" s="175">
        <f>ROUND(D5*C22*C23*C24*C28*F38,0)</f>
        <v>1471</v>
      </c>
      <c r="D38" s="2096"/>
      <c r="E38" s="171">
        <f t="shared" ref="E38:E42" si="4">ROUND(C38*D38/10000,0)</f>
        <v>0</v>
      </c>
      <c r="F38" s="171">
        <f>SUMIF(修正!A57:A68,G2,修正!C57:C68)</f>
        <v>0.2</v>
      </c>
      <c r="G38" s="171">
        <f>ROUND(IF(E2="工业",C38*$M$42,C38*$M$41),0)</f>
        <v>368</v>
      </c>
      <c r="H38" s="171">
        <f t="shared" ref="H38:H42" si="5">D38</f>
        <v>0</v>
      </c>
      <c r="I38" s="171">
        <f t="shared" ref="I38:I42" si="6">ROUND(G38*H38/10000,0)</f>
        <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03"/>
      <c r="B39" s="2039" t="s">
        <v>3259</v>
      </c>
      <c r="C39" s="175">
        <f>ROUND(D5*C22*C23*C24*C28*F39,0)</f>
        <v>1471</v>
      </c>
      <c r="D39" s="2096"/>
      <c r="E39" s="171">
        <f t="shared" si="4"/>
        <v>0</v>
      </c>
      <c r="F39" s="171">
        <f>SUMIF(修正!A57:A68,G2,修正!D57:D68)</f>
        <v>0.2</v>
      </c>
      <c r="G39" s="171">
        <f>ROUND(IF(E2="工业",C39*$M$42,C39*$M$41),0)</f>
        <v>368</v>
      </c>
      <c r="H39" s="171">
        <f t="shared" si="5"/>
        <v>0</v>
      </c>
      <c r="I39" s="171">
        <f t="shared" si="6"/>
        <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1">
        <f>ROUND(D5*C22*C23*C24*C28*F40,0)</f>
        <v>1471</v>
      </c>
      <c r="D40" s="2096"/>
      <c r="E40" s="171">
        <f t="shared" si="4"/>
        <v>0</v>
      </c>
      <c r="F40" s="175">
        <f>SUMIF(修正!A57:A68,G2,修正!E57:E68)</f>
        <v>0.2</v>
      </c>
      <c r="G40" s="171">
        <f>ROUND(IF(E2="工业",C40*$M$42,C40*$M$41),0)</f>
        <v>368</v>
      </c>
      <c r="H40" s="171">
        <f t="shared" si="5"/>
        <v>0</v>
      </c>
      <c r="I40" s="171">
        <f t="shared" si="6"/>
        <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1">
        <f>ROUND(D5*C22*C23*C44*C28*F41,0)</f>
        <v>1559</v>
      </c>
      <c r="D41" s="2096"/>
      <c r="E41" s="171">
        <f t="shared" si="4"/>
        <v>0</v>
      </c>
      <c r="F41" s="175">
        <f>SUMIF(修正!A57:A68,G2,修正!F57:F68)</f>
        <v>0.2</v>
      </c>
      <c r="G41" s="171">
        <f>ROUND(IF(E2="工业",C41*$M$42,C41*$M$41),0)</f>
        <v>390</v>
      </c>
      <c r="H41" s="171">
        <f t="shared" si="5"/>
        <v>0</v>
      </c>
      <c r="I41" s="171">
        <f t="shared" si="6"/>
        <v>0</v>
      </c>
      <c r="J41" s="2112"/>
      <c r="L41" s="3358" t="s">
        <v>3267</v>
      </c>
      <c r="M41" s="2116">
        <v>0.25</v>
      </c>
      <c r="Z41" s="1119"/>
      <c r="AA41" s="1119"/>
      <c r="AB41" s="1119"/>
      <c r="AC41" s="1119"/>
      <c r="AD41" s="1119"/>
      <c r="AE41" s="1119"/>
      <c r="AF41" s="1119"/>
      <c r="AG41" s="1119"/>
      <c r="AH41" s="1119"/>
      <c r="AI41" s="1119"/>
      <c r="AJ41" s="1119"/>
    </row>
    <row r="42" spans="1:37" s="1118" customFormat="1" ht="13.5" thickBot="1">
      <c r="A42" s="2099"/>
      <c r="B42" s="2117" t="s">
        <v>2041</v>
      </c>
      <c r="C42" s="187">
        <f>ROUND(D5*C22*C23*C44*C28*F42,0)</f>
        <v>779</v>
      </c>
      <c r="D42" s="2101"/>
      <c r="E42" s="187">
        <f t="shared" si="4"/>
        <v>0</v>
      </c>
      <c r="F42" s="766">
        <f>SUMIF(修正!A57:A68,G2,修正!G57:G68)</f>
        <v>0.1</v>
      </c>
      <c r="G42" s="187">
        <f>ROUND(IF(E2="工业",C42*$M$42,C42*$M$41),0)</f>
        <v>195</v>
      </c>
      <c r="H42" s="187">
        <f t="shared" si="5"/>
        <v>0</v>
      </c>
      <c r="I42" s="187">
        <f t="shared" si="6"/>
        <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2" t="s">
        <v>2121</v>
      </c>
      <c r="C44" s="342">
        <f>ROUND(POWER(1+E44,H44-G44)*(POWER(1+E44,G44)-1)/(POWER(1+E44,H44)-1),4)</f>
        <v>1.0448999999999999</v>
      </c>
      <c r="D44" s="171" t="s">
        <v>1999</v>
      </c>
      <c r="E44" s="2151">
        <f>G24</f>
        <v>0.05</v>
      </c>
      <c r="F44" s="171" t="s">
        <v>2008</v>
      </c>
      <c r="G44" s="183">
        <f>项目基本情况!C15</f>
        <v>63.02</v>
      </c>
      <c r="H44" s="171">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75" thickBot="1">
      <c r="A47" s="2122" t="s">
        <v>2042</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5">
      <c r="A48" s="2124" t="s">
        <v>2043</v>
      </c>
      <c r="B48" s="2125">
        <f>1+E50</f>
        <v>1</v>
      </c>
      <c r="C48" s="2126"/>
      <c r="D48" s="740"/>
      <c r="E48" s="741"/>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4.75">
      <c r="A49" s="2128" t="s">
        <v>2044</v>
      </c>
      <c r="B49" s="1349" t="s">
        <v>2045</v>
      </c>
      <c r="C49" s="1349" t="s">
        <v>2046</v>
      </c>
      <c r="D49" s="1349" t="s">
        <v>2047</v>
      </c>
      <c r="E49" s="742" t="s">
        <v>2048</v>
      </c>
      <c r="F49" s="2129" t="s">
        <v>2049</v>
      </c>
      <c r="G49" s="1349" t="s">
        <v>310</v>
      </c>
      <c r="H49" s="2130" t="s">
        <v>2050</v>
      </c>
      <c r="I49" s="1349"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8" t="s">
        <v>2052</v>
      </c>
      <c r="B50" s="2131" t="str">
        <f>估价对象房地状况!C4</f>
        <v>估价对象位于XX商圈，周边商业氛围成熟，人流量大，商业繁华度好</v>
      </c>
      <c r="C50" s="2042"/>
      <c r="D50" s="1064">
        <f t="shared" ref="D50:D58" si="7">SUMIF($J$49:$N$49,C50,J50:N50)</f>
        <v>0</v>
      </c>
      <c r="E50" s="743">
        <f>ROUND(SUM(D50:D58),4)</f>
        <v>0</v>
      </c>
      <c r="F50" s="1812" t="str">
        <f>IF(E2="商业",SUMIF(L1:L12,G2,N1:N12),"——")</f>
        <v>——</v>
      </c>
      <c r="G50" s="1062"/>
      <c r="H50" s="1065" t="str">
        <f t="shared" ref="H50:H58" si="8">IFERROR(ROUNDDOWN($F$50*I50/2,4),"——")</f>
        <v>——</v>
      </c>
      <c r="I50" s="3365">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8" t="s">
        <v>2053</v>
      </c>
      <c r="B51" s="2132" t="str">
        <f>估价对象房地状况!C18</f>
        <v>估价对象周边道路状况、公共交通通达情况、停车便捷程度，综合评价交通便捷度较好</v>
      </c>
      <c r="C51" s="2042"/>
      <c r="D51" s="1064">
        <f t="shared" si="7"/>
        <v>0</v>
      </c>
      <c r="E51" s="744"/>
      <c r="F51" s="1812"/>
      <c r="G51" s="1062"/>
      <c r="H51" s="1065" t="str">
        <f t="shared" si="8"/>
        <v>——</v>
      </c>
      <c r="I51" s="3365">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7" t="s">
        <v>3269</v>
      </c>
      <c r="B52" s="2132">
        <f>估价对象房地状况!C19</f>
        <v>0</v>
      </c>
      <c r="C52" s="2042"/>
      <c r="D52" s="1064">
        <f t="shared" si="7"/>
        <v>0</v>
      </c>
      <c r="E52" s="744"/>
      <c r="F52" s="1812"/>
      <c r="G52" s="1062"/>
      <c r="H52" s="1065" t="str">
        <f t="shared" si="8"/>
        <v>——</v>
      </c>
      <c r="I52" s="3365">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8" t="s">
        <v>2054</v>
      </c>
      <c r="B53" s="2133" t="s">
        <v>2055</v>
      </c>
      <c r="C53" s="2042"/>
      <c r="D53" s="1064">
        <f t="shared" si="7"/>
        <v>0</v>
      </c>
      <c r="E53" s="744"/>
      <c r="F53" s="1812"/>
      <c r="G53" s="1062"/>
      <c r="H53" s="1065" t="str">
        <f t="shared" si="8"/>
        <v>——</v>
      </c>
      <c r="I53" s="3365">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c r="D54" s="1064">
        <f t="shared" si="7"/>
        <v>0</v>
      </c>
      <c r="E54" s="744"/>
      <c r="F54" s="1812"/>
      <c r="G54" s="1062"/>
      <c r="H54" s="1065" t="str">
        <f t="shared" si="8"/>
        <v>——</v>
      </c>
      <c r="I54" s="3365">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8" t="s">
        <v>2057</v>
      </c>
      <c r="B55" s="2134" t="s">
        <v>2058</v>
      </c>
      <c r="C55" s="2042"/>
      <c r="D55" s="1064">
        <f t="shared" si="7"/>
        <v>0</v>
      </c>
      <c r="E55" s="744"/>
      <c r="F55" s="1812"/>
      <c r="G55" s="1062"/>
      <c r="H55" s="1065" t="str">
        <f t="shared" si="8"/>
        <v>——</v>
      </c>
      <c r="I55" s="3365">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5" t="s">
        <v>2059</v>
      </c>
      <c r="B56" s="1324" t="str">
        <f>估价对象房地状况!C21</f>
        <v>估价对象所在区域公共配套设施齐备情况</v>
      </c>
      <c r="C56" s="2042"/>
      <c r="D56" s="1064">
        <f t="shared" si="7"/>
        <v>0</v>
      </c>
      <c r="E56" s="744"/>
      <c r="F56" s="1812"/>
      <c r="G56" s="1062"/>
      <c r="H56" s="1065" t="str">
        <f t="shared" si="8"/>
        <v>——</v>
      </c>
      <c r="I56" s="3365">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5" t="s">
        <v>2060</v>
      </c>
      <c r="B57" s="2132" t="str">
        <f>估价对象房地状况!C22</f>
        <v>估价对象所在区域基础设施水平</v>
      </c>
      <c r="C57" s="2042"/>
      <c r="D57" s="1064">
        <f t="shared" si="7"/>
        <v>0</v>
      </c>
      <c r="E57" s="744"/>
      <c r="F57" s="1812"/>
      <c r="G57" s="1062"/>
      <c r="H57" s="1065" t="str">
        <f t="shared" si="8"/>
        <v>——</v>
      </c>
      <c r="I57" s="3365">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6" t="s">
        <v>2061</v>
      </c>
      <c r="B58" s="2137" t="str">
        <f>估价对象房地状况!C20</f>
        <v>区域自然环境：；人文环境；综合评价环境状况一般</v>
      </c>
      <c r="C58" s="2042"/>
      <c r="D58" s="1064">
        <f t="shared" si="7"/>
        <v>0</v>
      </c>
      <c r="E58" s="745"/>
      <c r="F58" s="1812"/>
      <c r="G58" s="1062"/>
      <c r="H58" s="1065" t="str">
        <f t="shared" si="8"/>
        <v>——</v>
      </c>
      <c r="I58" s="3366">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4" t="s">
        <v>2062</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8" t="s">
        <v>2044</v>
      </c>
      <c r="B60" s="1349"/>
      <c r="C60" s="1349" t="s">
        <v>2046</v>
      </c>
      <c r="D60" s="1349" t="s">
        <v>2047</v>
      </c>
      <c r="E60" s="742" t="s">
        <v>2048</v>
      </c>
      <c r="F60" s="2129" t="s">
        <v>2063</v>
      </c>
      <c r="G60" s="1349" t="s">
        <v>310</v>
      </c>
      <c r="H60" s="2130" t="s">
        <v>2050</v>
      </c>
      <c r="I60" s="1349"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8" t="s">
        <v>2064</v>
      </c>
      <c r="B61" s="2131" t="str">
        <f>估价对象房地状况!C17</f>
        <v>估价对象位于XX商圈，周边办公楼项目较多，入驻率高，办公集聚程度较好</v>
      </c>
      <c r="C61" s="2042"/>
      <c r="D61" s="1064">
        <f t="shared" ref="D61:D69" si="12">SUMIF($J$60:$N$60,C61,J61:N61)</f>
        <v>0</v>
      </c>
      <c r="E61" s="743">
        <f>ROUND(SUM(D61:D69),4)</f>
        <v>0</v>
      </c>
      <c r="F61" s="1812" t="str">
        <f>IF(E2="办公",SUMIF(L1:L12,G2,N1:N12),"——")</f>
        <v>——</v>
      </c>
      <c r="G61" s="1062"/>
      <c r="H61" s="1065" t="str">
        <f t="shared" ref="H61:H69" si="13">IFERROR(ROUNDDOWN($F$61*I61/2,4),"——")</f>
        <v>——</v>
      </c>
      <c r="I61" s="3365">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8" t="s">
        <v>2053</v>
      </c>
      <c r="B62" s="2132" t="str">
        <f>估价对象房地状况!C18</f>
        <v>估价对象周边道路状况、公共交通通达情况、停车便捷程度，综合评价交通便捷度较好</v>
      </c>
      <c r="C62" s="2042"/>
      <c r="D62" s="1064">
        <f t="shared" si="12"/>
        <v>0</v>
      </c>
      <c r="E62" s="744"/>
      <c r="F62" s="1812"/>
      <c r="G62" s="1062"/>
      <c r="H62" s="1065" t="str">
        <f t="shared" si="13"/>
        <v>——</v>
      </c>
      <c r="I62" s="3365">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7" t="s">
        <v>3269</v>
      </c>
      <c r="B63" s="2132">
        <f>估价对象房地状况!C19</f>
        <v>0</v>
      </c>
      <c r="C63" s="2042"/>
      <c r="D63" s="1064">
        <f t="shared" si="12"/>
        <v>0</v>
      </c>
      <c r="E63" s="744"/>
      <c r="F63" s="1812"/>
      <c r="G63" s="1062"/>
      <c r="H63" s="1065" t="str">
        <f t="shared" si="13"/>
        <v>——</v>
      </c>
      <c r="I63" s="3365">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8" t="s">
        <v>2054</v>
      </c>
      <c r="B64" s="2133" t="s">
        <v>2055</v>
      </c>
      <c r="C64" s="2042"/>
      <c r="D64" s="1064">
        <f t="shared" si="12"/>
        <v>0</v>
      </c>
      <c r="E64" s="744"/>
      <c r="F64" s="1812"/>
      <c r="G64" s="1062"/>
      <c r="H64" s="1065" t="str">
        <f t="shared" si="13"/>
        <v>——</v>
      </c>
      <c r="I64" s="3365">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4"/>
      <c r="F65" s="1812"/>
      <c r="G65" s="1062"/>
      <c r="H65" s="1065" t="str">
        <f t="shared" si="13"/>
        <v>——</v>
      </c>
      <c r="I65" s="3365">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8" t="s">
        <v>2057</v>
      </c>
      <c r="B66" s="2134" t="s">
        <v>2058</v>
      </c>
      <c r="C66" s="2042"/>
      <c r="D66" s="1064">
        <f t="shared" si="12"/>
        <v>0</v>
      </c>
      <c r="E66" s="744"/>
      <c r="F66" s="1812"/>
      <c r="G66" s="1062"/>
      <c r="H66" s="1065" t="str">
        <f t="shared" si="13"/>
        <v>——</v>
      </c>
      <c r="I66" s="3365">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8" t="s">
        <v>2059</v>
      </c>
      <c r="B67" s="1324" t="str">
        <f>估价对象房地状况!C21</f>
        <v>估价对象所在区域公共配套设施齐备情况</v>
      </c>
      <c r="C67" s="2042"/>
      <c r="D67" s="1064">
        <f t="shared" si="12"/>
        <v>0</v>
      </c>
      <c r="E67" s="744"/>
      <c r="F67" s="1812"/>
      <c r="G67" s="1062"/>
      <c r="H67" s="1065" t="str">
        <f t="shared" si="13"/>
        <v>——</v>
      </c>
      <c r="I67" s="3365">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8" t="s">
        <v>2060</v>
      </c>
      <c r="B68" s="1324" t="str">
        <f>估价对象房地状况!C22</f>
        <v>估价对象所在区域基础设施水平</v>
      </c>
      <c r="C68" s="2042"/>
      <c r="D68" s="1064">
        <f t="shared" si="12"/>
        <v>0</v>
      </c>
      <c r="E68" s="744"/>
      <c r="F68" s="1812"/>
      <c r="G68" s="1062"/>
      <c r="H68" s="1065" t="str">
        <f t="shared" si="13"/>
        <v>——</v>
      </c>
      <c r="I68" s="3365">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6" t="s">
        <v>2061</v>
      </c>
      <c r="B69" s="2138" t="str">
        <f>估价对象房地状况!C20</f>
        <v>区域自然环境：；人文环境；综合评价环境状况一般</v>
      </c>
      <c r="C69" s="2042"/>
      <c r="D69" s="1064">
        <f t="shared" si="12"/>
        <v>0</v>
      </c>
      <c r="E69" s="745"/>
      <c r="F69" s="1812"/>
      <c r="G69" s="1062"/>
      <c r="H69" s="1065" t="str">
        <f t="shared" si="13"/>
        <v>——</v>
      </c>
      <c r="I69" s="3366">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4" t="s">
        <v>2065</v>
      </c>
      <c r="B70" s="2125">
        <f>1+E72</f>
        <v>1.056</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8" t="s">
        <v>2044</v>
      </c>
      <c r="B71" s="1349"/>
      <c r="C71" s="1349" t="s">
        <v>2046</v>
      </c>
      <c r="D71" s="1349" t="s">
        <v>2047</v>
      </c>
      <c r="E71" s="742" t="s">
        <v>2048</v>
      </c>
      <c r="F71" s="2129" t="s">
        <v>2063</v>
      </c>
      <c r="G71" s="1349" t="s">
        <v>310</v>
      </c>
      <c r="H71" s="2130" t="s">
        <v>2050</v>
      </c>
      <c r="I71" s="1349"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8" t="s">
        <v>2066</v>
      </c>
      <c r="B72" s="2131" t="str">
        <f>估价对象房地状况!C15</f>
        <v>估价对象周边居住用地比例、居住小区规模和社区发展完善程度，综合评价居住社区成熟度一般</v>
      </c>
      <c r="C72" s="2042" t="s">
        <v>3456</v>
      </c>
      <c r="D72" s="1064">
        <f t="shared" ref="D72:D80" si="17">SUMIF($J$71:$N$71,C72,J72:N72)</f>
        <v>1.4999999999999999E-2</v>
      </c>
      <c r="E72" s="743">
        <f>ROUND(SUM(D72:D80),4)</f>
        <v>5.6000000000000001E-2</v>
      </c>
      <c r="F72" s="1812">
        <f>IF(E2="住宅",SUMIF(L1:L12,G2,N1:N12),"——")</f>
        <v>0.15</v>
      </c>
      <c r="G72" s="1062">
        <f>H72</f>
        <v>1.4999999999999999E-2</v>
      </c>
      <c r="H72" s="1065">
        <f t="shared" ref="H72:H80" si="18">IFERROR(ROUNDDOWN($F$72*I72/2,4),"——")</f>
        <v>1.4999999999999999E-2</v>
      </c>
      <c r="I72" s="3365">
        <v>0.2</v>
      </c>
      <c r="J72" s="1063">
        <f t="shared" ref="J72:J80" si="19">K72+$G72</f>
        <v>0.03</v>
      </c>
      <c r="K72" s="1063">
        <f t="shared" ref="K72:K80" si="20">$L72+$G72</f>
        <v>1.4999999999999999E-2</v>
      </c>
      <c r="L72" s="1063">
        <v>0</v>
      </c>
      <c r="M72" s="1063">
        <f t="shared" ref="M72:N80" si="21">L72-$G72</f>
        <v>-1.4999999999999999E-2</v>
      </c>
      <c r="N72" s="1063">
        <f t="shared" si="21"/>
        <v>-0.03</v>
      </c>
      <c r="AA72" s="1119"/>
      <c r="AB72" s="1119"/>
      <c r="AC72" s="1119"/>
      <c r="AD72" s="1119"/>
      <c r="AE72" s="1119"/>
      <c r="AF72" s="1119"/>
      <c r="AG72" s="1119"/>
      <c r="AH72" s="1119"/>
      <c r="AI72" s="1119"/>
      <c r="AJ72" s="1119"/>
      <c r="AK72" s="1119"/>
    </row>
    <row r="73" spans="1:37" s="1118" customFormat="1" ht="38.25">
      <c r="A73" s="2128" t="s">
        <v>2053</v>
      </c>
      <c r="B73" s="2132" t="str">
        <f>估价对象房地状况!C18</f>
        <v>估价对象周边道路状况、公共交通通达情况、停车便捷程度，综合评价交通便捷度较好</v>
      </c>
      <c r="C73" s="2042" t="s">
        <v>3457</v>
      </c>
      <c r="D73" s="1064">
        <f t="shared" si="17"/>
        <v>0</v>
      </c>
      <c r="E73" s="746"/>
      <c r="F73" s="1812"/>
      <c r="G73" s="1062">
        <f t="shared" ref="G73:G80" si="22">H73</f>
        <v>1.95E-2</v>
      </c>
      <c r="H73" s="1065">
        <f t="shared" si="18"/>
        <v>1.95E-2</v>
      </c>
      <c r="I73" s="3365">
        <v>0.26</v>
      </c>
      <c r="J73" s="1063">
        <f t="shared" si="19"/>
        <v>3.9E-2</v>
      </c>
      <c r="K73" s="1063">
        <f t="shared" si="20"/>
        <v>1.95E-2</v>
      </c>
      <c r="L73" s="1063">
        <v>0</v>
      </c>
      <c r="M73" s="1063">
        <f t="shared" si="21"/>
        <v>-1.95E-2</v>
      </c>
      <c r="N73" s="1063">
        <f t="shared" si="21"/>
        <v>-3.9E-2</v>
      </c>
      <c r="AA73" s="1119"/>
      <c r="AB73" s="1119"/>
      <c r="AC73" s="1119"/>
      <c r="AD73" s="1119"/>
      <c r="AE73" s="1119"/>
      <c r="AF73" s="1119"/>
      <c r="AG73" s="1119"/>
      <c r="AH73" s="1119"/>
      <c r="AI73" s="1119"/>
      <c r="AJ73" s="1119"/>
      <c r="AK73" s="1119"/>
    </row>
    <row r="74" spans="1:37" s="1995" customFormat="1" ht="36">
      <c r="A74" s="3367" t="s">
        <v>3269</v>
      </c>
      <c r="B74" s="2132">
        <f>估价对象房地状况!C19</f>
        <v>0</v>
      </c>
      <c r="C74" s="2042" t="s">
        <v>3456</v>
      </c>
      <c r="D74" s="1064">
        <f t="shared" si="17"/>
        <v>7.4999999999999997E-3</v>
      </c>
      <c r="E74" s="746"/>
      <c r="F74" s="1812"/>
      <c r="G74" s="1062">
        <f t="shared" si="22"/>
        <v>7.4999999999999997E-3</v>
      </c>
      <c r="H74" s="1065">
        <f t="shared" si="18"/>
        <v>7.4999999999999997E-3</v>
      </c>
      <c r="I74" s="3365">
        <v>0.1</v>
      </c>
      <c r="J74" s="1063">
        <f t="shared" si="19"/>
        <v>1.4999999999999999E-2</v>
      </c>
      <c r="K74" s="1063">
        <f t="shared" si="20"/>
        <v>7.4999999999999997E-3</v>
      </c>
      <c r="L74" s="1063">
        <v>0</v>
      </c>
      <c r="M74" s="1063">
        <f t="shared" si="21"/>
        <v>-7.4999999999999997E-3</v>
      </c>
      <c r="N74" s="1063">
        <f t="shared" si="21"/>
        <v>-1.4999999999999999E-2</v>
      </c>
      <c r="O74" s="1118"/>
      <c r="P74" s="1118"/>
      <c r="Q74" s="1118"/>
      <c r="AA74" s="2139"/>
      <c r="AB74" s="1119"/>
      <c r="AC74" s="1119"/>
      <c r="AD74" s="1119"/>
      <c r="AE74" s="1119"/>
      <c r="AF74" s="1119"/>
      <c r="AG74" s="1119"/>
      <c r="AH74" s="2139"/>
      <c r="AI74" s="2139"/>
      <c r="AJ74" s="2139"/>
      <c r="AK74" s="2139"/>
    </row>
    <row r="75" spans="1:37" ht="14.25">
      <c r="A75" s="2128" t="s">
        <v>2067</v>
      </c>
      <c r="B75" s="2132">
        <f>估价对象房地状况!C24</f>
        <v>0</v>
      </c>
      <c r="C75" s="2042" t="s">
        <v>3456</v>
      </c>
      <c r="D75" s="1064">
        <f t="shared" si="17"/>
        <v>3.7000000000000002E-3</v>
      </c>
      <c r="E75" s="746"/>
      <c r="F75" s="1812"/>
      <c r="G75" s="1062">
        <f t="shared" si="22"/>
        <v>3.7000000000000002E-3</v>
      </c>
      <c r="H75" s="1065">
        <f t="shared" si="18"/>
        <v>3.7000000000000002E-3</v>
      </c>
      <c r="I75" s="3365">
        <v>0.05</v>
      </c>
      <c r="J75" s="1063">
        <f t="shared" si="19"/>
        <v>7.4000000000000003E-3</v>
      </c>
      <c r="K75" s="1063">
        <f t="shared" si="20"/>
        <v>3.7000000000000002E-3</v>
      </c>
      <c r="L75" s="1063">
        <v>0</v>
      </c>
      <c r="M75" s="1063">
        <f t="shared" si="21"/>
        <v>-3.7000000000000002E-3</v>
      </c>
      <c r="N75" s="1063">
        <f t="shared" si="21"/>
        <v>-7.4000000000000003E-3</v>
      </c>
      <c r="O75" s="1118"/>
      <c r="P75" s="1118"/>
      <c r="Q75" s="1995"/>
      <c r="Z75" s="1996"/>
      <c r="AA75" s="2051"/>
      <c r="AG75" s="1120"/>
      <c r="AK75" s="2051"/>
    </row>
    <row r="76" spans="1:37" ht="25.5">
      <c r="A76" s="2128" t="s">
        <v>2059</v>
      </c>
      <c r="B76" s="1324" t="str">
        <f>估价对象房地状况!C21</f>
        <v>估价对象所在区域公共配套设施齐备情况</v>
      </c>
      <c r="C76" s="2042" t="s">
        <v>3457</v>
      </c>
      <c r="D76" s="1064">
        <f t="shared" si="17"/>
        <v>0</v>
      </c>
      <c r="E76" s="746"/>
      <c r="F76" s="1812"/>
      <c r="G76" s="1062">
        <f t="shared" si="22"/>
        <v>6.0000000000000001E-3</v>
      </c>
      <c r="H76" s="1065">
        <f t="shared" si="18"/>
        <v>6.0000000000000001E-3</v>
      </c>
      <c r="I76" s="3365">
        <v>0.08</v>
      </c>
      <c r="J76" s="1063">
        <f t="shared" si="19"/>
        <v>1.2E-2</v>
      </c>
      <c r="K76" s="1063">
        <f t="shared" si="20"/>
        <v>6.0000000000000001E-3</v>
      </c>
      <c r="L76" s="1063">
        <v>0</v>
      </c>
      <c r="M76" s="1063">
        <f t="shared" si="21"/>
        <v>-6.0000000000000001E-3</v>
      </c>
      <c r="N76" s="1063">
        <f t="shared" si="21"/>
        <v>-1.2E-2</v>
      </c>
      <c r="O76" s="1118"/>
      <c r="P76" s="1118"/>
      <c r="Z76" s="1996"/>
      <c r="AA76" s="2051"/>
      <c r="AG76" s="1120"/>
      <c r="AK76" s="2051"/>
    </row>
    <row r="77" spans="1:37" ht="25.5">
      <c r="A77" s="2128" t="s">
        <v>2060</v>
      </c>
      <c r="B77" s="1324" t="str">
        <f>估价对象房地状况!C22</f>
        <v>估价对象所在区域基础设施水平</v>
      </c>
      <c r="C77" s="2042" t="s">
        <v>3458</v>
      </c>
      <c r="D77" s="1064">
        <f t="shared" si="17"/>
        <v>1.34E-2</v>
      </c>
      <c r="E77" s="746"/>
      <c r="F77" s="1812"/>
      <c r="G77" s="1062">
        <f t="shared" si="22"/>
        <v>6.7000000000000002E-3</v>
      </c>
      <c r="H77" s="1065">
        <f t="shared" si="18"/>
        <v>6.7000000000000002E-3</v>
      </c>
      <c r="I77" s="3365">
        <v>0.09</v>
      </c>
      <c r="J77" s="1063">
        <f t="shared" si="19"/>
        <v>1.34E-2</v>
      </c>
      <c r="K77" s="1063">
        <f t="shared" si="20"/>
        <v>6.7000000000000002E-3</v>
      </c>
      <c r="L77" s="1063">
        <v>0</v>
      </c>
      <c r="M77" s="1063">
        <f t="shared" si="21"/>
        <v>-6.7000000000000002E-3</v>
      </c>
      <c r="N77" s="1063">
        <f t="shared" si="21"/>
        <v>-1.34E-2</v>
      </c>
      <c r="O77" s="1118"/>
      <c r="P77" s="1118"/>
      <c r="Z77" s="1996"/>
      <c r="AA77" s="2051"/>
      <c r="AG77" s="1120"/>
      <c r="AK77" s="2051"/>
    </row>
    <row r="78" spans="1:37" ht="24">
      <c r="A78" s="2128" t="s">
        <v>2057</v>
      </c>
      <c r="B78" s="2134" t="s">
        <v>2058</v>
      </c>
      <c r="C78" s="2042" t="s">
        <v>3456</v>
      </c>
      <c r="D78" s="1064">
        <f t="shared" si="17"/>
        <v>3.7000000000000002E-3</v>
      </c>
      <c r="E78" s="746"/>
      <c r="F78" s="1812"/>
      <c r="G78" s="1062">
        <f t="shared" si="22"/>
        <v>3.7000000000000002E-3</v>
      </c>
      <c r="H78" s="1065">
        <f t="shared" si="18"/>
        <v>3.7000000000000002E-3</v>
      </c>
      <c r="I78" s="3365">
        <v>0.05</v>
      </c>
      <c r="J78" s="1063">
        <f t="shared" si="19"/>
        <v>7.4000000000000003E-3</v>
      </c>
      <c r="K78" s="1063">
        <f t="shared" si="20"/>
        <v>3.7000000000000002E-3</v>
      </c>
      <c r="L78" s="1063">
        <v>0</v>
      </c>
      <c r="M78" s="1063">
        <f t="shared" si="21"/>
        <v>-3.7000000000000002E-3</v>
      </c>
      <c r="N78" s="1063">
        <f t="shared" si="21"/>
        <v>-7.4000000000000003E-3</v>
      </c>
      <c r="O78" s="1995"/>
      <c r="P78" s="1995"/>
      <c r="Z78" s="1996"/>
      <c r="AA78" s="2051"/>
      <c r="AG78" s="1120"/>
      <c r="AK78" s="2051"/>
    </row>
    <row r="79" spans="1:37" ht="25.5">
      <c r="A79" s="2128" t="s">
        <v>2061</v>
      </c>
      <c r="B79" s="2131" t="str">
        <f>估价对象房地状况!C20</f>
        <v>区域自然环境：；人文环境；综合评价环境状况一般</v>
      </c>
      <c r="C79" s="2042" t="s">
        <v>3456</v>
      </c>
      <c r="D79" s="1064">
        <f t="shared" si="17"/>
        <v>8.9999999999999993E-3</v>
      </c>
      <c r="E79" s="746"/>
      <c r="F79" s="1812"/>
      <c r="G79" s="1062">
        <f t="shared" si="22"/>
        <v>8.9999999999999993E-3</v>
      </c>
      <c r="H79" s="1065">
        <f t="shared" si="18"/>
        <v>8.9999999999999993E-3</v>
      </c>
      <c r="I79" s="3365">
        <v>0.12</v>
      </c>
      <c r="J79" s="1063">
        <f t="shared" si="19"/>
        <v>1.7999999999999999E-2</v>
      </c>
      <c r="K79" s="1063">
        <f t="shared" si="20"/>
        <v>8.9999999999999993E-3</v>
      </c>
      <c r="L79" s="1063">
        <v>0</v>
      </c>
      <c r="M79" s="1063">
        <f t="shared" si="21"/>
        <v>-8.9999999999999993E-3</v>
      </c>
      <c r="N79" s="1063">
        <f t="shared" si="21"/>
        <v>-1.7999999999999999E-2</v>
      </c>
      <c r="Z79" s="1996"/>
      <c r="AA79" s="2051"/>
      <c r="AG79" s="1120"/>
      <c r="AK79" s="2051"/>
    </row>
    <row r="80" spans="1:37" ht="24.75" thickBot="1">
      <c r="A80" s="2136" t="s">
        <v>2068</v>
      </c>
      <c r="B80" s="2140"/>
      <c r="C80" s="2042" t="s">
        <v>3456</v>
      </c>
      <c r="D80" s="1064">
        <f t="shared" si="17"/>
        <v>3.7000000000000002E-3</v>
      </c>
      <c r="E80" s="747"/>
      <c r="F80" s="1812"/>
      <c r="G80" s="1062">
        <f t="shared" si="22"/>
        <v>3.7000000000000002E-3</v>
      </c>
      <c r="H80" s="1065">
        <f t="shared" si="18"/>
        <v>3.7000000000000002E-3</v>
      </c>
      <c r="I80" s="3366">
        <v>0.05</v>
      </c>
      <c r="J80" s="1063">
        <f t="shared" si="19"/>
        <v>7.4000000000000003E-3</v>
      </c>
      <c r="K80" s="1063">
        <f t="shared" si="20"/>
        <v>3.7000000000000002E-3</v>
      </c>
      <c r="L80" s="1063">
        <v>0</v>
      </c>
      <c r="M80" s="1063">
        <f t="shared" si="21"/>
        <v>-3.7000000000000002E-3</v>
      </c>
      <c r="N80" s="1063">
        <f t="shared" si="21"/>
        <v>-7.4000000000000003E-3</v>
      </c>
      <c r="Z80" s="1996"/>
      <c r="AA80" s="2051"/>
      <c r="AG80" s="1120"/>
      <c r="AK80" s="2051"/>
    </row>
    <row r="81" spans="1:37" ht="15">
      <c r="A81" s="2124" t="s">
        <v>2069</v>
      </c>
      <c r="B81" s="2125">
        <f>1+E83</f>
        <v>1</v>
      </c>
      <c r="C81" s="740"/>
      <c r="D81" s="740"/>
      <c r="E81" s="741"/>
      <c r="F81" s="2127"/>
      <c r="G81" s="3"/>
      <c r="H81" s="3"/>
      <c r="I81" s="3"/>
      <c r="J81" s="4"/>
      <c r="K81" s="4"/>
      <c r="L81" s="4"/>
      <c r="M81" s="4"/>
      <c r="N81" s="4"/>
      <c r="Z81" s="1996"/>
      <c r="AA81" s="2051"/>
      <c r="AG81" s="1120"/>
      <c r="AK81" s="2051"/>
    </row>
    <row r="82" spans="1:37" ht="24.75">
      <c r="A82" s="2128" t="s">
        <v>2044</v>
      </c>
      <c r="B82" s="1349"/>
      <c r="C82" s="1349" t="s">
        <v>2046</v>
      </c>
      <c r="D82" s="1349" t="s">
        <v>2047</v>
      </c>
      <c r="E82" s="742" t="s">
        <v>2048</v>
      </c>
      <c r="F82" s="2129" t="s">
        <v>2063</v>
      </c>
      <c r="G82" s="1349" t="s">
        <v>310</v>
      </c>
      <c r="H82" s="2130" t="s">
        <v>2050</v>
      </c>
      <c r="I82" s="1349" t="s">
        <v>2051</v>
      </c>
      <c r="J82" s="552" t="s">
        <v>1721</v>
      </c>
      <c r="K82" s="552" t="s">
        <v>1722</v>
      </c>
      <c r="L82" s="552" t="s">
        <v>1723</v>
      </c>
      <c r="M82" s="552" t="s">
        <v>1724</v>
      </c>
      <c r="N82" s="552" t="s">
        <v>1725</v>
      </c>
      <c r="Z82" s="1996"/>
      <c r="AA82" s="2051"/>
      <c r="AG82" s="1120"/>
      <c r="AK82" s="2051"/>
    </row>
    <row r="83" spans="1:37" ht="38.25">
      <c r="A83" s="2128" t="s">
        <v>2070</v>
      </c>
      <c r="B83" s="2132" t="str">
        <f>估价对象房地状况!G15</f>
        <v>估价对象位于XX开发区，园区建设成熟度XX，产业集聚程度XX</v>
      </c>
      <c r="C83" s="2042"/>
      <c r="D83" s="1064">
        <f t="shared" ref="D83:D90" si="23">SUMIF($J$82:$N$82,C83,J83:N83)</f>
        <v>0</v>
      </c>
      <c r="E83" s="743">
        <f>ROUND(SUM(D83:D90),4)</f>
        <v>0</v>
      </c>
      <c r="F83" s="1812" t="str">
        <f>IF(E2="工业",SUMIF(L1:L12,G2,N1:N12),"——")</f>
        <v>——</v>
      </c>
      <c r="G83" s="1062"/>
      <c r="H83" s="1065" t="str">
        <f t="shared" ref="H83:H90" si="24">IFERROR(ROUNDDOWN($F$83*I83/2,4),"——")</f>
        <v>——</v>
      </c>
      <c r="I83" s="3365">
        <v>0.26</v>
      </c>
      <c r="J83" s="1063">
        <f t="shared" ref="J83:J90" si="25">K83+$G83</f>
        <v>0</v>
      </c>
      <c r="K83" s="1063">
        <f t="shared" ref="K83:K90" si="26">$L83+$G83</f>
        <v>0</v>
      </c>
      <c r="L83" s="1063">
        <v>0</v>
      </c>
      <c r="M83" s="1063">
        <f t="shared" ref="M83:N90" si="27">L83-$G83</f>
        <v>0</v>
      </c>
      <c r="N83" s="1063">
        <f t="shared" si="27"/>
        <v>0</v>
      </c>
      <c r="Z83" s="1996"/>
      <c r="AA83" s="2051"/>
      <c r="AG83" s="1120"/>
      <c r="AK83" s="2051"/>
    </row>
    <row r="84" spans="1:37" ht="38.25">
      <c r="A84" s="2128" t="s">
        <v>2053</v>
      </c>
      <c r="B84" s="2132" t="str">
        <f>估价对象房地状况!G16</f>
        <v>估价对象周边道路状况、公共交通通达情况、停车便捷程度，综合评价交通便捷度较好</v>
      </c>
      <c r="C84" s="2042"/>
      <c r="D84" s="1064">
        <f t="shared" si="23"/>
        <v>0</v>
      </c>
      <c r="E84" s="746"/>
      <c r="F84" s="1812"/>
      <c r="G84" s="1062"/>
      <c r="H84" s="1065" t="str">
        <f t="shared" si="24"/>
        <v>——</v>
      </c>
      <c r="I84" s="3365">
        <v>0.3</v>
      </c>
      <c r="J84" s="1063">
        <f t="shared" si="25"/>
        <v>0</v>
      </c>
      <c r="K84" s="1063">
        <f t="shared" si="26"/>
        <v>0</v>
      </c>
      <c r="L84" s="1063">
        <v>0</v>
      </c>
      <c r="M84" s="1063">
        <f t="shared" si="27"/>
        <v>0</v>
      </c>
      <c r="N84" s="1063">
        <f t="shared" si="27"/>
        <v>0</v>
      </c>
      <c r="Z84" s="1996"/>
      <c r="AA84" s="2051"/>
      <c r="AG84" s="1120"/>
      <c r="AK84" s="2051"/>
    </row>
    <row r="85" spans="1:37" ht="36">
      <c r="A85" s="3367" t="s">
        <v>3270</v>
      </c>
      <c r="B85" s="2132">
        <f>估价对象房地状况!G17</f>
        <v>0</v>
      </c>
      <c r="C85" s="2042"/>
      <c r="D85" s="1064">
        <f t="shared" si="23"/>
        <v>0</v>
      </c>
      <c r="E85" s="746"/>
      <c r="F85" s="1812"/>
      <c r="G85" s="1062"/>
      <c r="H85" s="1065" t="str">
        <f t="shared" si="24"/>
        <v>——</v>
      </c>
      <c r="I85" s="3365">
        <v>0.1</v>
      </c>
      <c r="J85" s="1063">
        <f t="shared" si="25"/>
        <v>0</v>
      </c>
      <c r="K85" s="1063">
        <f t="shared" si="26"/>
        <v>0</v>
      </c>
      <c r="L85" s="1063">
        <v>0</v>
      </c>
      <c r="M85" s="1063">
        <f t="shared" si="27"/>
        <v>0</v>
      </c>
      <c r="N85" s="1063">
        <f t="shared" si="27"/>
        <v>0</v>
      </c>
      <c r="Z85" s="1996"/>
      <c r="AA85" s="2051"/>
      <c r="AG85" s="1120"/>
      <c r="AK85" s="2051"/>
    </row>
    <row r="86" spans="1:37" ht="14.25">
      <c r="A86" s="2128" t="s">
        <v>2067</v>
      </c>
      <c r="B86" s="2132">
        <f>估价对象房地状况!G22</f>
        <v>0</v>
      </c>
      <c r="C86" s="2042"/>
      <c r="D86" s="1064">
        <f t="shared" si="23"/>
        <v>0</v>
      </c>
      <c r="E86" s="746"/>
      <c r="F86" s="1812"/>
      <c r="G86" s="1062"/>
      <c r="H86" s="1065" t="str">
        <f t="shared" si="24"/>
        <v>——</v>
      </c>
      <c r="I86" s="3365">
        <v>0.05</v>
      </c>
      <c r="J86" s="1063">
        <f t="shared" si="25"/>
        <v>0</v>
      </c>
      <c r="K86" s="1063">
        <f t="shared" si="26"/>
        <v>0</v>
      </c>
      <c r="L86" s="1063">
        <v>0</v>
      </c>
      <c r="M86" s="1063">
        <f t="shared" si="27"/>
        <v>0</v>
      </c>
      <c r="N86" s="1063">
        <f t="shared" si="27"/>
        <v>0</v>
      </c>
      <c r="Z86" s="1996"/>
      <c r="AA86" s="2051"/>
      <c r="AG86" s="1120"/>
      <c r="AK86" s="2051"/>
    </row>
    <row r="87" spans="1:37" ht="25.5">
      <c r="A87" s="2128" t="s">
        <v>2059</v>
      </c>
      <c r="B87" s="1324" t="str">
        <f>估价对象房地状况!G19</f>
        <v>估价对象所在区域公共配套设施齐备情况</v>
      </c>
      <c r="C87" s="2042"/>
      <c r="D87" s="1064">
        <f t="shared" si="23"/>
        <v>0</v>
      </c>
      <c r="E87" s="746"/>
      <c r="F87" s="1812"/>
      <c r="G87" s="1062"/>
      <c r="H87" s="1065" t="str">
        <f t="shared" si="24"/>
        <v>——</v>
      </c>
      <c r="I87" s="3365">
        <v>0.06</v>
      </c>
      <c r="J87" s="1063">
        <f t="shared" si="25"/>
        <v>0</v>
      </c>
      <c r="K87" s="1063">
        <f t="shared" si="26"/>
        <v>0</v>
      </c>
      <c r="L87" s="1063">
        <v>0</v>
      </c>
      <c r="M87" s="1063">
        <f t="shared" si="27"/>
        <v>0</v>
      </c>
      <c r="N87" s="1063">
        <f t="shared" si="27"/>
        <v>0</v>
      </c>
    </row>
    <row r="88" spans="1:37" ht="25.5">
      <c r="A88" s="2128" t="s">
        <v>2060</v>
      </c>
      <c r="B88" s="1324" t="str">
        <f>估价对象房地状况!G20</f>
        <v>估价对象所在区域基础设施水平</v>
      </c>
      <c r="C88" s="2042"/>
      <c r="D88" s="1064">
        <f t="shared" si="23"/>
        <v>0</v>
      </c>
      <c r="E88" s="746"/>
      <c r="F88" s="1812"/>
      <c r="G88" s="1062"/>
      <c r="H88" s="1065" t="str">
        <f t="shared" si="24"/>
        <v>——</v>
      </c>
      <c r="I88" s="3365">
        <v>0.12</v>
      </c>
      <c r="J88" s="1063">
        <f t="shared" si="25"/>
        <v>0</v>
      </c>
      <c r="K88" s="1063">
        <f t="shared" si="26"/>
        <v>0</v>
      </c>
      <c r="L88" s="1063">
        <v>0</v>
      </c>
      <c r="M88" s="1063">
        <f t="shared" si="27"/>
        <v>0</v>
      </c>
      <c r="N88" s="1063">
        <f t="shared" si="27"/>
        <v>0</v>
      </c>
    </row>
    <row r="89" spans="1:37" ht="24">
      <c r="A89" s="2128" t="s">
        <v>2057</v>
      </c>
      <c r="B89" s="2134" t="s">
        <v>2071</v>
      </c>
      <c r="C89" s="2042"/>
      <c r="D89" s="1064">
        <f t="shared" si="23"/>
        <v>0</v>
      </c>
      <c r="E89" s="746"/>
      <c r="F89" s="1812"/>
      <c r="G89" s="1062"/>
      <c r="H89" s="1065" t="str">
        <f t="shared" si="24"/>
        <v>——</v>
      </c>
      <c r="I89" s="3365">
        <v>0.06</v>
      </c>
      <c r="J89" s="1063">
        <f t="shared" si="25"/>
        <v>0</v>
      </c>
      <c r="K89" s="1063">
        <f t="shared" si="26"/>
        <v>0</v>
      </c>
      <c r="L89" s="1063">
        <v>0</v>
      </c>
      <c r="M89" s="1063">
        <f t="shared" si="27"/>
        <v>0</v>
      </c>
      <c r="N89" s="1063">
        <f t="shared" si="27"/>
        <v>0</v>
      </c>
    </row>
    <row r="90" spans="1:37" ht="39" thickBot="1">
      <c r="A90" s="2136" t="s">
        <v>2072</v>
      </c>
      <c r="B90" s="2141" t="str">
        <f>估价对象房地状况!G18</f>
        <v>该园区内是否有污染型企业，绿化情况，卫生条件，整体环境状况判断</v>
      </c>
      <c r="C90" s="2042"/>
      <c r="D90" s="1064">
        <f t="shared" si="23"/>
        <v>0</v>
      </c>
      <c r="E90" s="747"/>
      <c r="F90" s="1812"/>
      <c r="G90" s="1062"/>
      <c r="H90" s="1065" t="str">
        <f t="shared" si="24"/>
        <v>——</v>
      </c>
      <c r="I90" s="3366">
        <v>0.05</v>
      </c>
      <c r="J90" s="1063">
        <f t="shared" si="25"/>
        <v>0</v>
      </c>
      <c r="K90" s="1063">
        <f t="shared" si="26"/>
        <v>0</v>
      </c>
      <c r="L90" s="1063">
        <v>0</v>
      </c>
      <c r="M90" s="1063">
        <f t="shared" si="27"/>
        <v>0</v>
      </c>
      <c r="N90" s="1063">
        <f t="shared" si="27"/>
        <v>0</v>
      </c>
    </row>
    <row r="91" spans="1:37" ht="15">
      <c r="A91" s="3375" t="s">
        <v>2613</v>
      </c>
      <c r="B91" s="3376">
        <f>1+E93</f>
        <v>1</v>
      </c>
      <c r="C91" s="3369"/>
      <c r="D91" s="3370"/>
      <c r="E91" s="1812"/>
      <c r="F91" s="1812"/>
      <c r="G91" s="3371"/>
      <c r="H91" s="3372"/>
      <c r="I91" s="3373"/>
      <c r="J91" s="3374"/>
      <c r="K91" s="3374"/>
      <c r="L91" s="3374"/>
      <c r="M91" s="3374"/>
      <c r="N91" s="3374"/>
    </row>
    <row r="92" spans="1:37" ht="24.75">
      <c r="A92" s="3377" t="s">
        <v>3271</v>
      </c>
      <c r="B92" s="3364"/>
      <c r="C92" s="3364" t="s">
        <v>3280</v>
      </c>
      <c r="D92" s="3364" t="s">
        <v>3281</v>
      </c>
      <c r="E92" s="3346" t="s">
        <v>3282</v>
      </c>
      <c r="F92" s="3379" t="s">
        <v>3283</v>
      </c>
      <c r="G92" s="3364" t="s">
        <v>3284</v>
      </c>
      <c r="H92" s="3386" t="s">
        <v>3287</v>
      </c>
      <c r="I92" s="3364" t="s">
        <v>3288</v>
      </c>
      <c r="J92" s="3387" t="s">
        <v>3289</v>
      </c>
      <c r="K92" s="3387" t="s">
        <v>3290</v>
      </c>
      <c r="L92" s="3387" t="s">
        <v>3291</v>
      </c>
      <c r="M92" s="3387" t="s">
        <v>3292</v>
      </c>
      <c r="N92" s="3387" t="s">
        <v>3293</v>
      </c>
    </row>
    <row r="93" spans="1:37" ht="24">
      <c r="A93" s="3367" t="s">
        <v>3272</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8">K93+$G93</f>
        <v>0</v>
      </c>
      <c r="K93" s="3343">
        <f t="shared" ref="K93:K101" si="29">$L93+$G93</f>
        <v>0</v>
      </c>
      <c r="L93" s="3343">
        <v>0</v>
      </c>
      <c r="M93" s="3343">
        <f t="shared" ref="M93:N101" si="30">L93-$G93</f>
        <v>0</v>
      </c>
      <c r="N93" s="3343">
        <f t="shared" si="30"/>
        <v>0</v>
      </c>
    </row>
    <row r="94" spans="1:37" ht="38.25">
      <c r="A94" s="3377" t="s">
        <v>3273</v>
      </c>
      <c r="B94" s="3368" t="str">
        <f>估价对象房地状况!C18</f>
        <v>估价对象周边道路状况、公共交通通达情况、停车便捷程度，综合评价交通便捷度较好</v>
      </c>
      <c r="C94" s="2042"/>
      <c r="D94" s="3364">
        <f t="shared" ref="D94:D101" si="31">SUMIF($J$60:$N$60,C94,J94:N94)</f>
        <v>0</v>
      </c>
      <c r="E94" s="3381"/>
      <c r="F94" s="1812"/>
      <c r="G94" s="3371"/>
      <c r="H94" s="3419" t="str">
        <f>IFERROR(ROUNDDOWN($F$93*I94/2,4),"——")</f>
        <v>——</v>
      </c>
      <c r="I94" s="3365">
        <v>0.26</v>
      </c>
      <c r="J94" s="3343">
        <f t="shared" si="28"/>
        <v>0</v>
      </c>
      <c r="K94" s="3343">
        <f t="shared" si="29"/>
        <v>0</v>
      </c>
      <c r="L94" s="3343">
        <v>0</v>
      </c>
      <c r="M94" s="3343">
        <f t="shared" si="30"/>
        <v>0</v>
      </c>
      <c r="N94" s="3343">
        <f t="shared" si="30"/>
        <v>0</v>
      </c>
    </row>
    <row r="95" spans="1:37" ht="36">
      <c r="A95" s="3367" t="s">
        <v>3269</v>
      </c>
      <c r="B95" s="3368">
        <f>估价对象房地状况!C19</f>
        <v>0</v>
      </c>
      <c r="C95" s="2042"/>
      <c r="D95" s="3364">
        <f t="shared" si="31"/>
        <v>0</v>
      </c>
      <c r="E95" s="3381"/>
      <c r="F95" s="1812"/>
      <c r="G95" s="3371"/>
      <c r="H95" s="3419" t="str">
        <f t="shared" ref="H95:H101" si="32">IFERROR(ROUNDDOWN($F$93*I95/2,4),"——")</f>
        <v>——</v>
      </c>
      <c r="I95" s="3365">
        <v>0.11</v>
      </c>
      <c r="J95" s="3343">
        <f t="shared" si="28"/>
        <v>0</v>
      </c>
      <c r="K95" s="3343">
        <f t="shared" si="29"/>
        <v>0</v>
      </c>
      <c r="L95" s="3343">
        <v>0</v>
      </c>
      <c r="M95" s="3343">
        <f t="shared" si="30"/>
        <v>0</v>
      </c>
      <c r="N95" s="3343">
        <f t="shared" si="30"/>
        <v>0</v>
      </c>
    </row>
    <row r="96" spans="1:37" ht="36.75">
      <c r="A96" s="3377" t="s">
        <v>3274</v>
      </c>
      <c r="B96" s="3383" t="s">
        <v>3285</v>
      </c>
      <c r="C96" s="2042"/>
      <c r="D96" s="3364">
        <f t="shared" si="31"/>
        <v>0</v>
      </c>
      <c r="E96" s="3381"/>
      <c r="F96" s="1812"/>
      <c r="G96" s="3371"/>
      <c r="H96" s="3419" t="str">
        <f t="shared" si="32"/>
        <v>——</v>
      </c>
      <c r="I96" s="3365">
        <v>0.05</v>
      </c>
      <c r="J96" s="3343">
        <f t="shared" si="28"/>
        <v>0</v>
      </c>
      <c r="K96" s="3343">
        <f t="shared" si="29"/>
        <v>0</v>
      </c>
      <c r="L96" s="3343">
        <v>0</v>
      </c>
      <c r="M96" s="3343">
        <f t="shared" si="30"/>
        <v>0</v>
      </c>
      <c r="N96" s="3343">
        <f t="shared" si="30"/>
        <v>0</v>
      </c>
    </row>
    <row r="97" spans="1:14" ht="24">
      <c r="A97" s="3377" t="s">
        <v>3275</v>
      </c>
      <c r="B97" s="3368">
        <f>估价对象房地状况!C24</f>
        <v>0</v>
      </c>
      <c r="C97" s="2042"/>
      <c r="D97" s="3364">
        <f t="shared" si="31"/>
        <v>0</v>
      </c>
      <c r="E97" s="3381"/>
      <c r="F97" s="1812"/>
      <c r="G97" s="3371"/>
      <c r="H97" s="3419" t="str">
        <f t="shared" si="32"/>
        <v>——</v>
      </c>
      <c r="I97" s="3365">
        <v>0.05</v>
      </c>
      <c r="J97" s="3343">
        <f t="shared" si="28"/>
        <v>0</v>
      </c>
      <c r="K97" s="3343">
        <f t="shared" si="29"/>
        <v>0</v>
      </c>
      <c r="L97" s="3343">
        <v>0</v>
      </c>
      <c r="M97" s="3343">
        <f t="shared" si="30"/>
        <v>0</v>
      </c>
      <c r="N97" s="3343">
        <f t="shared" si="30"/>
        <v>0</v>
      </c>
    </row>
    <row r="98" spans="1:14" ht="24">
      <c r="A98" s="3377" t="s">
        <v>3276</v>
      </c>
      <c r="B98" s="3384" t="s">
        <v>3286</v>
      </c>
      <c r="C98" s="2042"/>
      <c r="D98" s="3364">
        <f t="shared" si="31"/>
        <v>0</v>
      </c>
      <c r="E98" s="3381"/>
      <c r="F98" s="1812"/>
      <c r="G98" s="3371"/>
      <c r="H98" s="3419" t="str">
        <f t="shared" si="32"/>
        <v>——</v>
      </c>
      <c r="I98" s="3365">
        <v>0.06</v>
      </c>
      <c r="J98" s="3343">
        <f t="shared" si="28"/>
        <v>0</v>
      </c>
      <c r="K98" s="3343">
        <f t="shared" si="29"/>
        <v>0</v>
      </c>
      <c r="L98" s="3343">
        <v>0</v>
      </c>
      <c r="M98" s="3343">
        <f t="shared" si="30"/>
        <v>0</v>
      </c>
      <c r="N98" s="3343">
        <f t="shared" si="30"/>
        <v>0</v>
      </c>
    </row>
    <row r="99" spans="1:14" ht="25.5">
      <c r="A99" s="3377" t="s">
        <v>3277</v>
      </c>
      <c r="B99" s="3368" t="str">
        <f>估价对象房地状况!C21</f>
        <v>估价对象所在区域公共配套设施齐备情况</v>
      </c>
      <c r="C99" s="2042"/>
      <c r="D99" s="3364">
        <f t="shared" si="31"/>
        <v>0</v>
      </c>
      <c r="E99" s="3381"/>
      <c r="F99" s="1812"/>
      <c r="G99" s="3371"/>
      <c r="H99" s="3419" t="str">
        <f t="shared" si="32"/>
        <v>——</v>
      </c>
      <c r="I99" s="3365">
        <v>0.06</v>
      </c>
      <c r="J99" s="3343">
        <f t="shared" si="28"/>
        <v>0</v>
      </c>
      <c r="K99" s="3343">
        <f t="shared" si="29"/>
        <v>0</v>
      </c>
      <c r="L99" s="3343">
        <v>0</v>
      </c>
      <c r="M99" s="3343">
        <f t="shared" si="30"/>
        <v>0</v>
      </c>
      <c r="N99" s="3343">
        <f t="shared" si="30"/>
        <v>0</v>
      </c>
    </row>
    <row r="100" spans="1:14" ht="25.5">
      <c r="A100" s="3377" t="s">
        <v>3278</v>
      </c>
      <c r="B100" s="3368" t="str">
        <f>估价对象房地状况!C22</f>
        <v>估价对象所在区域基础设施水平</v>
      </c>
      <c r="C100" s="2042"/>
      <c r="D100" s="3364">
        <f t="shared" si="31"/>
        <v>0</v>
      </c>
      <c r="E100" s="3381"/>
      <c r="F100" s="1812"/>
      <c r="G100" s="3371"/>
      <c r="H100" s="3419" t="str">
        <f t="shared" si="32"/>
        <v>——</v>
      </c>
      <c r="I100" s="3365">
        <v>0.09</v>
      </c>
      <c r="J100" s="3343">
        <f t="shared" si="28"/>
        <v>0</v>
      </c>
      <c r="K100" s="3343">
        <f t="shared" si="29"/>
        <v>0</v>
      </c>
      <c r="L100" s="3343">
        <v>0</v>
      </c>
      <c r="M100" s="3343">
        <f t="shared" si="30"/>
        <v>0</v>
      </c>
      <c r="N100" s="3343">
        <f t="shared" si="30"/>
        <v>0</v>
      </c>
    </row>
    <row r="101" spans="1:14" ht="26.25" thickBot="1">
      <c r="A101" s="3378" t="s">
        <v>3279</v>
      </c>
      <c r="B101" s="3385" t="str">
        <f>估价对象房地状况!C20</f>
        <v>区域自然环境：；人文环境；综合评价环境状况一般</v>
      </c>
      <c r="C101" s="2042"/>
      <c r="D101" s="3364">
        <f t="shared" si="31"/>
        <v>0</v>
      </c>
      <c r="E101" s="3382"/>
      <c r="F101" s="1812"/>
      <c r="G101" s="3371"/>
      <c r="H101" s="3419" t="str">
        <f t="shared" si="32"/>
        <v>——</v>
      </c>
      <c r="I101" s="3366">
        <v>7.0000000000000007E-2</v>
      </c>
      <c r="J101" s="3343">
        <f t="shared" si="28"/>
        <v>0</v>
      </c>
      <c r="K101" s="3343">
        <f t="shared" si="29"/>
        <v>0</v>
      </c>
      <c r="L101" s="3343">
        <v>0</v>
      </c>
      <c r="M101" s="3343">
        <f t="shared" si="30"/>
        <v>0</v>
      </c>
      <c r="N101" s="3343">
        <f t="shared" si="30"/>
        <v>0</v>
      </c>
    </row>
    <row r="103" spans="1:14">
      <c r="A103" s="3700" t="s">
        <v>3294</v>
      </c>
      <c r="B103" s="3700"/>
      <c r="C103" s="3700"/>
      <c r="D103" s="3700"/>
      <c r="E103" s="3700"/>
      <c r="F103" s="3700"/>
      <c r="G103" s="3700"/>
      <c r="H103" s="3700"/>
      <c r="I103" s="3700"/>
      <c r="J103" s="3700"/>
      <c r="K103" s="3388"/>
      <c r="L103" s="3388"/>
      <c r="M103" s="3388"/>
      <c r="N103" s="3388"/>
    </row>
    <row r="104" spans="1:14">
      <c r="A104" s="3701" t="s">
        <v>3295</v>
      </c>
      <c r="B104" s="3701" t="s">
        <v>3296</v>
      </c>
      <c r="C104" s="3389" t="s">
        <v>3297</v>
      </c>
      <c r="D104" s="3390"/>
      <c r="E104" s="3390"/>
      <c r="F104" s="3390"/>
      <c r="G104" s="3390"/>
      <c r="H104" s="3390"/>
      <c r="I104" s="3390"/>
      <c r="J104" s="3391"/>
      <c r="K104" s="3392"/>
      <c r="L104" s="3392"/>
      <c r="M104" s="3392"/>
      <c r="N104" s="3392"/>
    </row>
    <row r="105" spans="1:14">
      <c r="A105" s="3701"/>
      <c r="B105" s="3701"/>
      <c r="C105" s="3393" t="s">
        <v>3298</v>
      </c>
      <c r="D105" s="3393" t="s">
        <v>3299</v>
      </c>
      <c r="E105" s="3393" t="s">
        <v>3300</v>
      </c>
      <c r="F105" s="3393" t="s">
        <v>3301</v>
      </c>
      <c r="G105" s="3393" t="s">
        <v>3302</v>
      </c>
      <c r="H105" s="3393" t="s">
        <v>3303</v>
      </c>
      <c r="I105" s="3393" t="s">
        <v>3304</v>
      </c>
      <c r="J105" s="3393" t="s">
        <v>3305</v>
      </c>
      <c r="K105" s="3393" t="s">
        <v>3306</v>
      </c>
      <c r="L105" s="3393" t="s">
        <v>3307</v>
      </c>
      <c r="M105" s="3393" t="s">
        <v>3308</v>
      </c>
      <c r="N105" s="3393" t="s">
        <v>3309</v>
      </c>
    </row>
    <row r="106" spans="1:14">
      <c r="A106" s="3687" t="s">
        <v>3310</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688"/>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688"/>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688"/>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688"/>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688"/>
      <c r="B111" s="3393" t="s">
        <v>3268</v>
      </c>
      <c r="C111" s="3394">
        <f>$I$3</f>
        <v>0</v>
      </c>
      <c r="D111" s="3394">
        <f t="shared" ref="D111:M111" si="33">$I$3</f>
        <v>0</v>
      </c>
      <c r="E111" s="3394">
        <f t="shared" si="33"/>
        <v>0</v>
      </c>
      <c r="F111" s="3394">
        <f t="shared" si="33"/>
        <v>0</v>
      </c>
      <c r="G111" s="3394">
        <f t="shared" si="33"/>
        <v>0</v>
      </c>
      <c r="H111" s="3394">
        <f t="shared" si="33"/>
        <v>0</v>
      </c>
      <c r="I111" s="3394">
        <f t="shared" si="33"/>
        <v>0</v>
      </c>
      <c r="J111" s="3394">
        <f t="shared" si="33"/>
        <v>0</v>
      </c>
      <c r="K111" s="3394">
        <f t="shared" si="33"/>
        <v>0</v>
      </c>
      <c r="L111" s="3394">
        <f t="shared" si="33"/>
        <v>0</v>
      </c>
      <c r="M111" s="3394">
        <f t="shared" si="33"/>
        <v>0</v>
      </c>
      <c r="N111" s="3394">
        <f>$I$3</f>
        <v>0</v>
      </c>
    </row>
    <row r="112" spans="1:14">
      <c r="A112" s="3689"/>
      <c r="B112" s="3393">
        <v>6</v>
      </c>
      <c r="C112" s="3386">
        <f>(-0.5556*(C111^2)-0.2719*C111+8944)*(10^(-4))</f>
        <v>0.89440000000000008</v>
      </c>
      <c r="D112" s="3386">
        <f>(-0.5556*(D111^2)-0.2719*D111+8944)*(10^(-4))</f>
        <v>0.89440000000000008</v>
      </c>
      <c r="E112" s="3386">
        <f>(-0.7912*(E111^2)-11.3794*E111+8482)*(10^(-4))</f>
        <v>0.84820000000000007</v>
      </c>
      <c r="F112" s="3386">
        <f t="shared" ref="F112:I112" si="34">(-0.7912*(F111^2)-11.3794*F111+8482)*(10^(-4))</f>
        <v>0.84820000000000007</v>
      </c>
      <c r="G112" s="3386">
        <f t="shared" si="34"/>
        <v>0.84820000000000007</v>
      </c>
      <c r="H112" s="3386">
        <f t="shared" si="34"/>
        <v>0.84820000000000007</v>
      </c>
      <c r="I112" s="3386">
        <f t="shared" si="34"/>
        <v>0.84820000000000007</v>
      </c>
      <c r="J112" s="3386">
        <f>(-0.989*(J111^2)-63.78*J111+7771)*(10^(-4))</f>
        <v>0.77710000000000001</v>
      </c>
      <c r="K112" s="3386">
        <f t="shared" ref="K112:N112" si="35">(-0.989*(K111^2)-63.78*K111+7771)*(10^(-4))</f>
        <v>0.77710000000000001</v>
      </c>
      <c r="L112" s="3386">
        <f t="shared" si="35"/>
        <v>0.77710000000000001</v>
      </c>
      <c r="M112" s="3386">
        <f t="shared" si="35"/>
        <v>0.77710000000000001</v>
      </c>
      <c r="N112" s="3386">
        <f t="shared" si="35"/>
        <v>0.77710000000000001</v>
      </c>
    </row>
    <row r="113" spans="1:14">
      <c r="A113" s="3690" t="s">
        <v>3311</v>
      </c>
      <c r="B113" s="3690"/>
      <c r="C113" s="3690"/>
      <c r="D113" s="3690"/>
      <c r="E113" s="3690"/>
      <c r="F113" s="3690"/>
      <c r="G113" s="3690"/>
      <c r="H113" s="3690"/>
      <c r="I113" s="3690"/>
      <c r="J113" s="3690"/>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3312</v>
      </c>
      <c r="B116" s="3414">
        <f>G3</f>
        <v>1.6</v>
      </c>
      <c r="C116" s="3398" t="s">
        <v>3313</v>
      </c>
      <c r="D116" s="3399">
        <f>SUMPRODUCT((A118:A122=F116)*(B117:M117=H116)*B118:M122)</f>
        <v>0.76690000000000003</v>
      </c>
      <c r="E116" s="1998" t="s">
        <v>3314</v>
      </c>
      <c r="F116" s="3400" t="str">
        <f>E2</f>
        <v>住宅</v>
      </c>
      <c r="G116" s="1998" t="s">
        <v>3315</v>
      </c>
      <c r="H116" s="3400" t="str">
        <f>G2</f>
        <v>九级</v>
      </c>
      <c r="I116" s="1998"/>
      <c r="J116" s="3401"/>
      <c r="K116" s="3401"/>
      <c r="L116" s="3401"/>
      <c r="M116" s="3401"/>
      <c r="N116" s="3396"/>
    </row>
    <row r="117" spans="1:14">
      <c r="A117" s="3402"/>
      <c r="B117" s="3403" t="s">
        <v>3316</v>
      </c>
      <c r="C117" s="3403" t="s">
        <v>3317</v>
      </c>
      <c r="D117" s="3403" t="s">
        <v>3318</v>
      </c>
      <c r="E117" s="3404" t="s">
        <v>3319</v>
      </c>
      <c r="F117" s="3404" t="s">
        <v>3320</v>
      </c>
      <c r="G117" s="3404" t="s">
        <v>3321</v>
      </c>
      <c r="H117" s="3405" t="s">
        <v>3322</v>
      </c>
      <c r="I117" s="3405" t="s">
        <v>3323</v>
      </c>
      <c r="J117" s="3406" t="s">
        <v>3324</v>
      </c>
      <c r="K117" s="3406" t="s">
        <v>3325</v>
      </c>
      <c r="L117" s="3406" t="s">
        <v>3326</v>
      </c>
      <c r="M117" s="3407" t="s">
        <v>3327</v>
      </c>
      <c r="N117" s="3396"/>
    </row>
    <row r="118" spans="1:14">
      <c r="A118" s="3408" t="s">
        <v>3328</v>
      </c>
      <c r="B118" s="3386">
        <f>ROUND(0.9968-0.011*B116,4)</f>
        <v>0.97919999999999996</v>
      </c>
      <c r="C118" s="3386">
        <f>B118</f>
        <v>0.97919999999999996</v>
      </c>
      <c r="D118" s="3386">
        <f>ROUND(0.949-0.014*B116,4)</f>
        <v>0.92659999999999998</v>
      </c>
      <c r="E118" s="3386">
        <f>D118</f>
        <v>0.92659999999999998</v>
      </c>
      <c r="F118" s="3386">
        <f>E118</f>
        <v>0.92659999999999998</v>
      </c>
      <c r="G118" s="3386">
        <f>F118</f>
        <v>0.92659999999999998</v>
      </c>
      <c r="H118" s="3386">
        <f>G118</f>
        <v>0.92659999999999998</v>
      </c>
      <c r="I118" s="3386">
        <f>ROUND(0.8486-0.018*B116,4)</f>
        <v>0.81979999999999997</v>
      </c>
      <c r="J118" s="3386">
        <f t="shared" ref="J118:M122" si="36">I118</f>
        <v>0.81979999999999997</v>
      </c>
      <c r="K118" s="3386">
        <f t="shared" si="36"/>
        <v>0.81979999999999997</v>
      </c>
      <c r="L118" s="3386">
        <f t="shared" si="36"/>
        <v>0.81979999999999997</v>
      </c>
      <c r="M118" s="3409">
        <f t="shared" si="36"/>
        <v>0.81979999999999997</v>
      </c>
      <c r="N118" s="3396"/>
    </row>
    <row r="119" spans="1:14">
      <c r="A119" s="3408" t="s">
        <v>3329</v>
      </c>
      <c r="B119" s="3386">
        <f>ROUND(0.993-0.0112*B116,4)</f>
        <v>0.97509999999999997</v>
      </c>
      <c r="C119" s="3386">
        <f>B119</f>
        <v>0.97509999999999997</v>
      </c>
      <c r="D119" s="3386">
        <f>ROUND(0.9415-0.0142*B116,4)</f>
        <v>0.91879999999999995</v>
      </c>
      <c r="E119" s="3386">
        <f t="shared" ref="E119:H120" si="37">D119</f>
        <v>0.91879999999999995</v>
      </c>
      <c r="F119" s="3386">
        <f t="shared" si="37"/>
        <v>0.91879999999999995</v>
      </c>
      <c r="G119" s="3386">
        <f t="shared" si="37"/>
        <v>0.91879999999999995</v>
      </c>
      <c r="H119" s="3386">
        <f t="shared" si="37"/>
        <v>0.91879999999999995</v>
      </c>
      <c r="I119" s="3386">
        <f>ROUND(0.838-0.0182*B116,4)</f>
        <v>0.80889999999999995</v>
      </c>
      <c r="J119" s="3386">
        <f t="shared" si="36"/>
        <v>0.80889999999999995</v>
      </c>
      <c r="K119" s="3386">
        <f t="shared" si="36"/>
        <v>0.80889999999999995</v>
      </c>
      <c r="L119" s="3386">
        <f t="shared" si="36"/>
        <v>0.80889999999999995</v>
      </c>
      <c r="M119" s="3409">
        <f t="shared" si="36"/>
        <v>0.80889999999999995</v>
      </c>
      <c r="N119" s="3396"/>
    </row>
    <row r="120" spans="1:14">
      <c r="A120" s="3408" t="s">
        <v>3330</v>
      </c>
      <c r="B120" s="3386">
        <f>ROUND(0.9448-0.0115*B116,4)</f>
        <v>0.9264</v>
      </c>
      <c r="C120" s="3386">
        <f>B120</f>
        <v>0.9264</v>
      </c>
      <c r="D120" s="3386">
        <f>ROUND(0.937-0.0145*B116,4)</f>
        <v>0.91379999999999995</v>
      </c>
      <c r="E120" s="3386">
        <f t="shared" si="37"/>
        <v>0.91379999999999995</v>
      </c>
      <c r="F120" s="3386">
        <f t="shared" si="37"/>
        <v>0.91379999999999995</v>
      </c>
      <c r="G120" s="3386">
        <f t="shared" si="37"/>
        <v>0.91379999999999995</v>
      </c>
      <c r="H120" s="3386">
        <f t="shared" si="37"/>
        <v>0.91379999999999995</v>
      </c>
      <c r="I120" s="3386">
        <f>ROUND(0.7965-0.0185*B116,4)</f>
        <v>0.76690000000000003</v>
      </c>
      <c r="J120" s="3386">
        <f t="shared" si="36"/>
        <v>0.76690000000000003</v>
      </c>
      <c r="K120" s="3386">
        <f t="shared" si="36"/>
        <v>0.76690000000000003</v>
      </c>
      <c r="L120" s="3386">
        <f t="shared" si="36"/>
        <v>0.76690000000000003</v>
      </c>
      <c r="M120" s="3409">
        <f t="shared" si="36"/>
        <v>0.76690000000000003</v>
      </c>
      <c r="N120" s="3396"/>
    </row>
    <row r="121" spans="1:14" ht="13.5" thickBot="1">
      <c r="A121" s="3410" t="s">
        <v>3331</v>
      </c>
      <c r="B121" s="3411">
        <f>ROUND(0.7836-0.012*B116,4)</f>
        <v>0.76439999999999997</v>
      </c>
      <c r="C121" s="3411">
        <f>B121</f>
        <v>0.76439999999999997</v>
      </c>
      <c r="D121" s="3411">
        <f>ROUND(0.753-0.015*B116,4)</f>
        <v>0.72899999999999998</v>
      </c>
      <c r="E121" s="3411">
        <f>D121</f>
        <v>0.72899999999999998</v>
      </c>
      <c r="F121" s="3411">
        <f>E121</f>
        <v>0.72899999999999998</v>
      </c>
      <c r="G121" s="3411">
        <f>ROUND(0.6612-0.018*B116,4)</f>
        <v>0.63239999999999996</v>
      </c>
      <c r="H121" s="3411">
        <f>G121</f>
        <v>0.63239999999999996</v>
      </c>
      <c r="I121" s="3411">
        <f>ROUND(0.5905-0.019*B116,4)</f>
        <v>0.56010000000000004</v>
      </c>
      <c r="J121" s="3411">
        <f t="shared" si="36"/>
        <v>0.56010000000000004</v>
      </c>
      <c r="K121" s="3411">
        <f t="shared" si="36"/>
        <v>0.56010000000000004</v>
      </c>
      <c r="L121" s="3411">
        <f t="shared" si="36"/>
        <v>0.56010000000000004</v>
      </c>
      <c r="M121" s="3412">
        <f t="shared" si="36"/>
        <v>0.56010000000000004</v>
      </c>
      <c r="N121" s="3396"/>
    </row>
    <row r="122" spans="1:14">
      <c r="A122" s="3413" t="s">
        <v>2613</v>
      </c>
      <c r="B122" s="3386">
        <f>ROUND(0.9404-0.0106*B116,4)</f>
        <v>0.9234</v>
      </c>
      <c r="C122" s="3386">
        <f>B122</f>
        <v>0.9234</v>
      </c>
      <c r="D122" s="3386">
        <f>ROUND(0.8955-0.0135*B116,4)</f>
        <v>0.87390000000000001</v>
      </c>
      <c r="E122" s="3386">
        <f t="shared" ref="E122:H122" si="38">D122</f>
        <v>0.87390000000000001</v>
      </c>
      <c r="F122" s="3386">
        <f t="shared" si="38"/>
        <v>0.87390000000000001</v>
      </c>
      <c r="G122" s="3386">
        <f t="shared" si="38"/>
        <v>0.87390000000000001</v>
      </c>
      <c r="H122" s="3386">
        <f t="shared" si="38"/>
        <v>0.87390000000000001</v>
      </c>
      <c r="I122" s="3386">
        <f>ROUND(0.7632-0.0166*B116,4)</f>
        <v>0.73660000000000003</v>
      </c>
      <c r="J122" s="3386">
        <f t="shared" si="36"/>
        <v>0.73660000000000003</v>
      </c>
      <c r="K122" s="3386">
        <f t="shared" si="36"/>
        <v>0.73660000000000003</v>
      </c>
      <c r="L122" s="3386">
        <f t="shared" si="36"/>
        <v>0.73660000000000003</v>
      </c>
      <c r="M122" s="3409">
        <f t="shared" si="36"/>
        <v>0.73660000000000003</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4" zoomScale="90" zoomScaleNormal="60" zoomScaleSheetLayoutView="90" workbookViewId="0">
      <selection activeCell="M13" sqref="M1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f>F65</f>
        <v>4084</v>
      </c>
      <c r="C2" s="906"/>
      <c r="D2" s="906"/>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c r="AD2" s="351"/>
    </row>
    <row r="3" spans="1:30" s="352" customFormat="1" ht="28.5" customHeight="1" thickBot="1">
      <c r="A3" s="203" t="s">
        <v>1464</v>
      </c>
      <c r="B3" s="558">
        <f>ROUND(IF(D3="",B2*10000/'数据-汇总表'!E3,B2*10000/D3),0)</f>
        <v>11209</v>
      </c>
      <c r="C3" s="203" t="s">
        <v>1869</v>
      </c>
      <c r="D3" s="1191"/>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30" ht="15">
      <c r="A4" s="355" t="s">
        <v>1769</v>
      </c>
      <c r="B4" s="356"/>
      <c r="C4" s="3710" t="s">
        <v>1770</v>
      </c>
      <c r="D4" s="3722"/>
      <c r="E4" s="3723" t="s">
        <v>1771</v>
      </c>
      <c r="F4" s="3724"/>
      <c r="G4" s="3710" t="s">
        <v>1772</v>
      </c>
      <c r="H4" s="3722"/>
      <c r="I4" s="3710" t="s">
        <v>1773</v>
      </c>
      <c r="J4" s="3722"/>
      <c r="K4" s="559" t="s">
        <v>1774</v>
      </c>
      <c r="L4" s="2713"/>
      <c r="M4" s="2714"/>
      <c r="N4" s="2714"/>
      <c r="O4" s="2714"/>
      <c r="P4" s="3725" t="s">
        <v>1775</v>
      </c>
      <c r="Q4" s="3726"/>
      <c r="R4" s="3731" t="s">
        <v>1771</v>
      </c>
      <c r="S4" s="3732"/>
      <c r="T4" s="3731" t="s">
        <v>1772</v>
      </c>
      <c r="U4" s="3732"/>
      <c r="V4" s="3718" t="s">
        <v>1773</v>
      </c>
      <c r="W4" s="3718"/>
      <c r="X4" s="1353"/>
      <c r="Y4" s="3731" t="s">
        <v>1775</v>
      </c>
      <c r="Z4" s="3732"/>
      <c r="AA4" s="3719" t="s">
        <v>1771</v>
      </c>
      <c r="AB4" s="3720" t="s">
        <v>1772</v>
      </c>
      <c r="AC4" s="3719" t="s">
        <v>1773</v>
      </c>
    </row>
    <row r="5" spans="1:30" ht="51.75" customHeight="1">
      <c r="A5" s="358"/>
      <c r="B5" s="359"/>
      <c r="C5" s="3739" t="s">
        <v>1673</v>
      </c>
      <c r="D5" s="3740"/>
      <c r="E5" s="3746" t="str">
        <f>土地案例!A6</f>
        <v>北京市平谷区兴谷新消费综合体项目PG00-0106-0104地块R2二类居住用地</v>
      </c>
      <c r="F5" s="3747"/>
      <c r="G5" s="3739" t="str">
        <f>土地案例!A7</f>
        <v>北京市密云区十里堡镇王各庄棚户区改造项目MY00-0500-0001地块R2二类居住用地</v>
      </c>
      <c r="H5" s="3740"/>
      <c r="I5" s="3739" t="str">
        <f>土地案例!A12</f>
        <v>北京市密云区水源路南侧MY00-0104-6016等地块R2二类居住用地</v>
      </c>
      <c r="J5" s="3740"/>
      <c r="K5" s="559"/>
      <c r="L5" s="2713"/>
      <c r="M5" s="2714"/>
      <c r="N5" s="2714"/>
      <c r="O5" s="2714"/>
      <c r="P5" s="3727"/>
      <c r="Q5" s="3728"/>
      <c r="R5" s="3733"/>
      <c r="S5" s="3734"/>
      <c r="T5" s="3733"/>
      <c r="U5" s="3734"/>
      <c r="V5" s="3718"/>
      <c r="W5" s="3718"/>
      <c r="X5" s="1353"/>
      <c r="Y5" s="3733"/>
      <c r="Z5" s="3734"/>
      <c r="AA5" s="3720"/>
      <c r="AB5" s="3720"/>
      <c r="AC5" s="3720"/>
    </row>
    <row r="6" spans="1:30" ht="15.75" thickBot="1">
      <c r="A6" s="360"/>
      <c r="B6" s="361"/>
      <c r="C6" s="3737" t="s">
        <v>1677</v>
      </c>
      <c r="D6" s="3738"/>
      <c r="E6" s="3744" t="s">
        <v>1677</v>
      </c>
      <c r="F6" s="3745"/>
      <c r="G6" s="3737" t="s">
        <v>1677</v>
      </c>
      <c r="H6" s="3738"/>
      <c r="I6" s="3737" t="s">
        <v>1677</v>
      </c>
      <c r="J6" s="3738"/>
      <c r="K6" s="559" t="s">
        <v>1678</v>
      </c>
      <c r="L6" s="2713"/>
      <c r="M6" s="2714"/>
      <c r="N6" s="2714"/>
      <c r="O6" s="2714"/>
      <c r="P6" s="3729"/>
      <c r="Q6" s="3730"/>
      <c r="R6" s="3733"/>
      <c r="S6" s="3734"/>
      <c r="T6" s="3735"/>
      <c r="U6" s="3736"/>
      <c r="V6" s="3718"/>
      <c r="W6" s="3718"/>
      <c r="X6" s="1353"/>
      <c r="Y6" s="3735"/>
      <c r="Z6" s="3736"/>
      <c r="AA6" s="3721"/>
      <c r="AB6" s="3721"/>
      <c r="AC6" s="3721"/>
    </row>
    <row r="7" spans="1:30" s="108" customFormat="1" ht="15.75" thickBot="1">
      <c r="A7" s="362" t="s">
        <v>1679</v>
      </c>
      <c r="B7" s="363"/>
      <c r="C7" s="364">
        <f>'数据-取费表'!B2</f>
        <v>45581</v>
      </c>
      <c r="D7" s="365">
        <v>100</v>
      </c>
      <c r="E7" s="366">
        <f>土地案例!AG6</f>
        <v>45107.000497685185</v>
      </c>
      <c r="F7" s="367">
        <f>SUMIF(69:69,YEAR(E7)&amp;"-"&amp;INT((MONTH(E7)+2)/3),70:70)</f>
        <v>100</v>
      </c>
      <c r="G7" s="1972">
        <f>土地案例!AG7</f>
        <v>44826.000497685185</v>
      </c>
      <c r="H7" s="365">
        <f>SUMIF(69:69,YEAR(G7)&amp;"-"&amp;INT((MONTH(G7)+2)/3),70:70)</f>
        <v>100</v>
      </c>
      <c r="I7" s="1972">
        <f>土地案例!AG12</f>
        <v>44554.000497685185</v>
      </c>
      <c r="J7" s="365">
        <f>SUMIF(69:69,YEAR(I7)&amp;"-"&amp;INT((MONTH(I7)+2)/3),70:70)</f>
        <v>100</v>
      </c>
      <c r="K7" s="560"/>
      <c r="L7" s="2715"/>
      <c r="M7" s="2716"/>
      <c r="N7" s="2716"/>
      <c r="O7" s="2716"/>
      <c r="P7" s="3741" t="s">
        <v>1680</v>
      </c>
      <c r="Q7" s="3743"/>
      <c r="R7" s="700" t="s">
        <v>14</v>
      </c>
      <c r="S7" s="701">
        <f t="shared" ref="S7:S15" si="0">F7</f>
        <v>100</v>
      </c>
      <c r="T7" s="700" t="s">
        <v>14</v>
      </c>
      <c r="U7" s="701">
        <f t="shared" ref="U7:U15" si="1">H7</f>
        <v>100</v>
      </c>
      <c r="V7" s="700" t="s">
        <v>14</v>
      </c>
      <c r="W7" s="701">
        <f t="shared" ref="W7:W15" si="2">J7</f>
        <v>100</v>
      </c>
      <c r="X7" s="702"/>
      <c r="Y7" s="3741" t="s">
        <v>1680</v>
      </c>
      <c r="Z7" s="3742"/>
      <c r="AA7" s="703">
        <f>D7/F7</f>
        <v>1</v>
      </c>
      <c r="AB7" s="703">
        <f>D7/H7</f>
        <v>1</v>
      </c>
      <c r="AC7" s="703">
        <f>D7/J7</f>
        <v>1</v>
      </c>
    </row>
    <row r="8" spans="1:30" s="108" customFormat="1" ht="15.75" thickBot="1">
      <c r="A8" s="362" t="s">
        <v>1681</v>
      </c>
      <c r="B8" s="363"/>
      <c r="C8" s="368" t="s">
        <v>1682</v>
      </c>
      <c r="D8" s="365">
        <v>100</v>
      </c>
      <c r="E8" s="368" t="s">
        <v>1682</v>
      </c>
      <c r="F8" s="367">
        <f>SUMIF(72:72,E8,73:73)-SUMIF(72:72,C8,73:73)+100</f>
        <v>100</v>
      </c>
      <c r="G8" s="368" t="s">
        <v>1682</v>
      </c>
      <c r="H8" s="365">
        <f>SUMIF(72:72,G8,73:73)-SUMIF(72:72,C8,73:73)+100</f>
        <v>100</v>
      </c>
      <c r="I8" s="368" t="s">
        <v>1682</v>
      </c>
      <c r="J8" s="365">
        <f>SUMIF(72:72,I8,73:73)-SUMIF(72:72,C8,73:73)+100</f>
        <v>100</v>
      </c>
      <c r="K8" s="560"/>
      <c r="L8" s="2715"/>
      <c r="M8" s="2716"/>
      <c r="N8" s="2716"/>
      <c r="O8" s="2716"/>
      <c r="P8" s="3741" t="s">
        <v>1683</v>
      </c>
      <c r="Q8" s="3742"/>
      <c r="R8" s="700" t="s">
        <v>14</v>
      </c>
      <c r="S8" s="701">
        <f t="shared" si="0"/>
        <v>100</v>
      </c>
      <c r="T8" s="700" t="s">
        <v>14</v>
      </c>
      <c r="U8" s="701">
        <f t="shared" si="1"/>
        <v>100</v>
      </c>
      <c r="V8" s="700" t="s">
        <v>14</v>
      </c>
      <c r="W8" s="701">
        <f t="shared" si="2"/>
        <v>100</v>
      </c>
      <c r="X8" s="702"/>
      <c r="Y8" s="3741" t="s">
        <v>1683</v>
      </c>
      <c r="Z8" s="3742"/>
      <c r="AA8" s="703">
        <f t="shared" ref="AA8:AA45" si="3">D8/F8</f>
        <v>1</v>
      </c>
      <c r="AB8" s="703">
        <f t="shared" ref="AB8:AB45" si="4">D8/H8</f>
        <v>1</v>
      </c>
      <c r="AC8" s="703">
        <f t="shared" ref="AC8:AC45" si="5">D8/J8</f>
        <v>1</v>
      </c>
    </row>
    <row r="9" spans="1:30" s="108" customFormat="1">
      <c r="A9" s="369" t="s">
        <v>1684</v>
      </c>
      <c r="B9" s="63" t="s">
        <v>1685</v>
      </c>
      <c r="C9" s="1975" t="s">
        <v>3395</v>
      </c>
      <c r="D9" s="126">
        <v>100</v>
      </c>
      <c r="E9" s="1975" t="s">
        <v>3395</v>
      </c>
      <c r="F9" s="126">
        <f>SUMIF(74:74,E9,75:75)-SUMIF(74:74,C9,75:75)+100</f>
        <v>100</v>
      </c>
      <c r="G9" s="1975" t="s">
        <v>3395</v>
      </c>
      <c r="H9" s="126">
        <f>SUMIF(74:74,G9,75:75)-SUMIF(74:74,C9,75:75)+100</f>
        <v>100</v>
      </c>
      <c r="I9" s="1975" t="s">
        <v>3395</v>
      </c>
      <c r="J9" s="126">
        <f>SUMIF(74:74,I9,75:75)-SUMIF(74:74,C9,75:75)+100</f>
        <v>100</v>
      </c>
      <c r="K9" s="560"/>
      <c r="L9" s="2715"/>
      <c r="M9" s="2716"/>
      <c r="N9" s="2716"/>
      <c r="O9" s="2770"/>
      <c r="P9" s="3713"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102</v>
      </c>
      <c r="G10" s="414"/>
      <c r="H10" s="127">
        <f>ROUND(100/'数据-取费表'!G16,0)</f>
        <v>102</v>
      </c>
      <c r="I10" s="414"/>
      <c r="J10" s="127">
        <f>ROUND(100/'数据-取费表'!G16,0)</f>
        <v>102</v>
      </c>
      <c r="K10" s="620"/>
      <c r="L10" s="2717"/>
      <c r="M10" s="2718"/>
      <c r="N10" s="2718"/>
      <c r="O10" s="2771"/>
      <c r="P10" s="3713"/>
      <c r="Q10" s="1341" t="str">
        <f t="shared" si="6"/>
        <v>土地使用年限（年）</v>
      </c>
      <c r="R10" s="700" t="s">
        <v>14</v>
      </c>
      <c r="S10" s="701">
        <f t="shared" si="0"/>
        <v>102</v>
      </c>
      <c r="T10" s="700" t="s">
        <v>14</v>
      </c>
      <c r="U10" s="701">
        <f t="shared" si="1"/>
        <v>102</v>
      </c>
      <c r="V10" s="700" t="s">
        <v>14</v>
      </c>
      <c r="W10" s="701">
        <f t="shared" si="2"/>
        <v>102</v>
      </c>
      <c r="X10" s="702"/>
      <c r="Y10" s="3565"/>
      <c r="Z10" s="52" t="str">
        <f t="shared" si="7"/>
        <v>土地使用年限（年）</v>
      </c>
      <c r="AA10" s="703">
        <f t="shared" si="3"/>
        <v>0.98039215686274506</v>
      </c>
      <c r="AB10" s="703">
        <f t="shared" si="4"/>
        <v>0.98039215686274506</v>
      </c>
      <c r="AC10" s="703">
        <f t="shared" si="5"/>
        <v>0.98039215686274506</v>
      </c>
    </row>
    <row r="11" spans="1:30" ht="15">
      <c r="A11" s="379"/>
      <c r="B11" s="375" t="s">
        <v>1689</v>
      </c>
      <c r="C11" s="380"/>
      <c r="D11" s="127">
        <v>100</v>
      </c>
      <c r="E11" s="380"/>
      <c r="F11" s="127">
        <f>LOOKUP(E11,79:79,80:80)-LOOKUP(C11,79:79,80:80)+100</f>
        <v>100</v>
      </c>
      <c r="G11" s="381"/>
      <c r="H11" s="127">
        <f>LOOKUP(G11,79:79,80:80)-LOOKUP(C11,79:79,80:80)+100</f>
        <v>100</v>
      </c>
      <c r="I11" s="380"/>
      <c r="J11" s="127">
        <f>LOOKUP(I11,79:79,80:80)-LOOKUP(C11,79:79,80:80)+100</f>
        <v>100</v>
      </c>
      <c r="K11" s="621">
        <v>2</v>
      </c>
      <c r="L11" s="2719"/>
      <c r="M11" s="2714"/>
      <c r="N11" s="2714"/>
      <c r="O11" s="2772"/>
      <c r="P11" s="3713"/>
      <c r="Q11" s="1341" t="str">
        <f t="shared" si="6"/>
        <v>容积率</v>
      </c>
      <c r="R11" s="700" t="s">
        <v>14</v>
      </c>
      <c r="S11" s="701">
        <f t="shared" si="0"/>
        <v>100</v>
      </c>
      <c r="T11" s="700" t="s">
        <v>14</v>
      </c>
      <c r="U11" s="701">
        <f t="shared" si="1"/>
        <v>100</v>
      </c>
      <c r="V11" s="700" t="s">
        <v>14</v>
      </c>
      <c r="W11" s="701">
        <f t="shared" si="2"/>
        <v>100</v>
      </c>
      <c r="X11" s="702"/>
      <c r="Y11" s="3565"/>
      <c r="Z11" s="52" t="str">
        <f t="shared" si="7"/>
        <v>容积率</v>
      </c>
      <c r="AA11" s="703">
        <f t="shared" si="3"/>
        <v>1</v>
      </c>
      <c r="AB11" s="703">
        <f t="shared" si="4"/>
        <v>1</v>
      </c>
      <c r="AC11" s="703">
        <f t="shared" si="5"/>
        <v>1</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13"/>
      <c r="Q12" s="1341" t="str">
        <f t="shared" si="6"/>
        <v>配建</v>
      </c>
      <c r="R12" s="700" t="s">
        <v>14</v>
      </c>
      <c r="S12" s="701">
        <f t="shared" si="0"/>
        <v>100</v>
      </c>
      <c r="T12" s="700" t="s">
        <v>14</v>
      </c>
      <c r="U12" s="701">
        <f t="shared" si="1"/>
        <v>100</v>
      </c>
      <c r="V12" s="700" t="s">
        <v>14</v>
      </c>
      <c r="W12" s="701">
        <f t="shared" si="2"/>
        <v>100</v>
      </c>
      <c r="X12" s="702"/>
      <c r="Y12" s="3565"/>
      <c r="Z12" s="52" t="str">
        <f t="shared" si="7"/>
        <v>配建</v>
      </c>
      <c r="AA12" s="703">
        <f>D12/F12</f>
        <v>1</v>
      </c>
      <c r="AB12" s="703">
        <f>D12/H12</f>
        <v>1</v>
      </c>
      <c r="AC12" s="703">
        <f>D12/J12</f>
        <v>1</v>
      </c>
    </row>
    <row r="13" spans="1:30" ht="15">
      <c r="A13" s="379"/>
      <c r="B13" s="3469" t="s">
        <v>3889</v>
      </c>
      <c r="C13" s="385">
        <v>28380</v>
      </c>
      <c r="D13" s="386">
        <v>100</v>
      </c>
      <c r="E13" s="498">
        <v>32000</v>
      </c>
      <c r="F13" s="127">
        <f>SUMIF(83:83,E13,84:84)-SUMIF(83:83,C13,84:84)+100</f>
        <v>102</v>
      </c>
      <c r="G13" s="622">
        <v>30000</v>
      </c>
      <c r="H13" s="386">
        <f>SUMIF(83:83,G13,84:84)-SUMIF(83:83,C13,84:84)+100</f>
        <v>101</v>
      </c>
      <c r="I13" s="622">
        <v>30000</v>
      </c>
      <c r="J13" s="386">
        <f>SUMIF(83:83,I13,84:84)-SUMIF(83:83,C13,84:84)+100</f>
        <v>101</v>
      </c>
      <c r="K13" s="620"/>
      <c r="L13" s="2720"/>
      <c r="M13" s="2714"/>
      <c r="N13" s="2714"/>
      <c r="O13" s="2772"/>
      <c r="P13" s="3713"/>
      <c r="Q13" s="1341" t="str">
        <f t="shared" si="6"/>
        <v>限价</v>
      </c>
      <c r="R13" s="700" t="s">
        <v>14</v>
      </c>
      <c r="S13" s="701">
        <f t="shared" si="0"/>
        <v>102</v>
      </c>
      <c r="T13" s="700" t="s">
        <v>14</v>
      </c>
      <c r="U13" s="701">
        <f t="shared" si="1"/>
        <v>101</v>
      </c>
      <c r="V13" s="700" t="s">
        <v>14</v>
      </c>
      <c r="W13" s="701">
        <f t="shared" si="2"/>
        <v>101</v>
      </c>
      <c r="X13" s="702"/>
      <c r="Y13" s="3565"/>
      <c r="Z13" s="52" t="str">
        <f t="shared" si="7"/>
        <v>限价</v>
      </c>
      <c r="AA13" s="703">
        <f>D13/F13</f>
        <v>0.98039215686274506</v>
      </c>
      <c r="AB13" s="703">
        <f>D13/H13</f>
        <v>0.99009900990099009</v>
      </c>
      <c r="AC13" s="703">
        <f>D13/J13</f>
        <v>0.99009900990099009</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13"/>
      <c r="Q14" s="1341">
        <f t="shared" si="6"/>
        <v>111</v>
      </c>
      <c r="R14" s="700" t="s">
        <v>14</v>
      </c>
      <c r="S14" s="701">
        <f t="shared" si="0"/>
        <v>100</v>
      </c>
      <c r="T14" s="700" t="s">
        <v>14</v>
      </c>
      <c r="U14" s="701">
        <f t="shared" si="1"/>
        <v>100</v>
      </c>
      <c r="V14" s="700" t="s">
        <v>14</v>
      </c>
      <c r="W14" s="701">
        <f t="shared" si="2"/>
        <v>100</v>
      </c>
      <c r="X14" s="702"/>
      <c r="Y14" s="3565"/>
      <c r="Z14" s="52">
        <f t="shared" si="7"/>
        <v>111</v>
      </c>
      <c r="AA14" s="703">
        <f>D14/F14</f>
        <v>1</v>
      </c>
      <c r="AB14" s="703">
        <f>D14/H14</f>
        <v>1</v>
      </c>
      <c r="AC14" s="703">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98</v>
      </c>
      <c r="I15" s="395"/>
      <c r="J15" s="392">
        <f>SUMIF(87:87,I16,88:88)-SUMIF(87:87,C16,88:88)+100</f>
        <v>100</v>
      </c>
      <c r="K15" s="621">
        <v>2</v>
      </c>
      <c r="L15" s="2720"/>
      <c r="M15" s="2714"/>
      <c r="N15" s="2714"/>
      <c r="O15" s="2772"/>
      <c r="P15" s="3714" t="s">
        <v>1691</v>
      </c>
      <c r="Q15" s="1350" t="str">
        <f t="shared" si="6"/>
        <v>居住社区成熟度</v>
      </c>
      <c r="R15" s="704" t="s">
        <v>14</v>
      </c>
      <c r="S15" s="705">
        <f t="shared" si="0"/>
        <v>100</v>
      </c>
      <c r="T15" s="704" t="s">
        <v>14</v>
      </c>
      <c r="U15" s="705">
        <f t="shared" si="1"/>
        <v>98</v>
      </c>
      <c r="V15" s="704" t="s">
        <v>14</v>
      </c>
      <c r="W15" s="705">
        <f t="shared" si="2"/>
        <v>100</v>
      </c>
      <c r="X15" s="1353"/>
      <c r="Y15" s="3714" t="s">
        <v>1691</v>
      </c>
      <c r="Z15" s="1354" t="str">
        <f t="shared" si="7"/>
        <v>居住社区成熟度</v>
      </c>
      <c r="AA15" s="1351">
        <f t="shared" si="3"/>
        <v>1</v>
      </c>
      <c r="AB15" s="1351">
        <f t="shared" si="4"/>
        <v>1.0204081632653061</v>
      </c>
      <c r="AC15" s="1351">
        <f t="shared" si="5"/>
        <v>1</v>
      </c>
    </row>
    <row r="16" spans="1:30" ht="15">
      <c r="A16" s="379"/>
      <c r="B16" s="397"/>
      <c r="C16" s="398" t="s">
        <v>3456</v>
      </c>
      <c r="D16" s="399"/>
      <c r="E16" s="1896" t="s">
        <v>3456</v>
      </c>
      <c r="F16" s="399"/>
      <c r="G16" s="1896" t="s">
        <v>3457</v>
      </c>
      <c r="H16" s="401"/>
      <c r="I16" s="1895" t="s">
        <v>3456</v>
      </c>
      <c r="J16" s="399"/>
      <c r="K16" s="620"/>
      <c r="L16" s="2720"/>
      <c r="M16" s="2714"/>
      <c r="N16" s="2714"/>
      <c r="O16" s="2772"/>
      <c r="P16" s="3715"/>
      <c r="Q16" s="1350"/>
      <c r="R16" s="704"/>
      <c r="S16" s="705"/>
      <c r="T16" s="704"/>
      <c r="U16" s="705"/>
      <c r="V16" s="704"/>
      <c r="W16" s="705"/>
      <c r="X16" s="1353"/>
      <c r="Y16" s="3715"/>
      <c r="Z16" s="1354"/>
      <c r="AA16" s="1351">
        <v>1</v>
      </c>
      <c r="AB16" s="1351">
        <v>1</v>
      </c>
      <c r="AC16" s="1351">
        <v>1</v>
      </c>
    </row>
    <row r="17" spans="1:29" ht="71.25" hidden="1">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15"/>
      <c r="Q17" s="1350" t="str">
        <f>B17</f>
        <v>商业繁华度</v>
      </c>
      <c r="R17" s="704" t="s">
        <v>14</v>
      </c>
      <c r="S17" s="705">
        <f>F17</f>
        <v>100</v>
      </c>
      <c r="T17" s="704" t="s">
        <v>14</v>
      </c>
      <c r="U17" s="705">
        <f>H17</f>
        <v>100</v>
      </c>
      <c r="V17" s="704" t="s">
        <v>14</v>
      </c>
      <c r="W17" s="705">
        <f>J17</f>
        <v>100</v>
      </c>
      <c r="X17" s="1353"/>
      <c r="Y17" s="3715"/>
      <c r="Z17" s="1354" t="str">
        <f>Q17</f>
        <v>商业繁华度</v>
      </c>
      <c r="AA17" s="1351">
        <f t="shared" si="3"/>
        <v>1</v>
      </c>
      <c r="AB17" s="1351">
        <f t="shared" si="4"/>
        <v>1</v>
      </c>
      <c r="AC17" s="1351">
        <f t="shared" si="5"/>
        <v>1</v>
      </c>
    </row>
    <row r="18" spans="1:29" ht="15" hidden="1">
      <c r="A18" s="379"/>
      <c r="B18" s="407"/>
      <c r="C18" s="1899"/>
      <c r="D18" s="401"/>
      <c r="E18" s="1901"/>
      <c r="F18" s="401"/>
      <c r="G18" s="1901"/>
      <c r="H18" s="399"/>
      <c r="I18" s="1900"/>
      <c r="J18" s="399"/>
      <c r="K18" s="620"/>
      <c r="L18" s="2720"/>
      <c r="M18" s="2714"/>
      <c r="N18" s="2714"/>
      <c r="O18" s="2772"/>
      <c r="P18" s="3715"/>
      <c r="Q18" s="1350"/>
      <c r="R18" s="704"/>
      <c r="S18" s="705"/>
      <c r="T18" s="704"/>
      <c r="U18" s="705"/>
      <c r="V18" s="704"/>
      <c r="W18" s="705"/>
      <c r="X18" s="1353"/>
      <c r="Y18" s="3715"/>
      <c r="Z18" s="1354"/>
      <c r="AA18" s="1351">
        <v>1</v>
      </c>
      <c r="AB18" s="1351">
        <v>1</v>
      </c>
      <c r="AC18" s="1351">
        <v>1</v>
      </c>
    </row>
    <row r="19" spans="1:29" ht="71.25" hidden="1">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15"/>
      <c r="Q19" s="1350" t="str">
        <f>B19</f>
        <v>办公集聚程度</v>
      </c>
      <c r="R19" s="704" t="s">
        <v>14</v>
      </c>
      <c r="S19" s="705">
        <f>F19</f>
        <v>100</v>
      </c>
      <c r="T19" s="704" t="s">
        <v>14</v>
      </c>
      <c r="U19" s="705">
        <f>H19</f>
        <v>100</v>
      </c>
      <c r="V19" s="704" t="s">
        <v>14</v>
      </c>
      <c r="W19" s="705">
        <f>J19</f>
        <v>100</v>
      </c>
      <c r="X19" s="1353"/>
      <c r="Y19" s="3715"/>
      <c r="Z19" s="1354" t="str">
        <f>Q19</f>
        <v>办公集聚程度</v>
      </c>
      <c r="AA19" s="1351">
        <f t="shared" si="3"/>
        <v>1</v>
      </c>
      <c r="AB19" s="1351">
        <f t="shared" si="4"/>
        <v>1</v>
      </c>
      <c r="AC19" s="1351">
        <f t="shared" si="5"/>
        <v>1</v>
      </c>
    </row>
    <row r="20" spans="1:29" ht="15" hidden="1">
      <c r="A20" s="379"/>
      <c r="B20" s="407"/>
      <c r="C20" s="398"/>
      <c r="D20" s="399"/>
      <c r="E20" s="1896"/>
      <c r="F20" s="399"/>
      <c r="G20" s="1896"/>
      <c r="H20" s="399"/>
      <c r="I20" s="1895"/>
      <c r="J20" s="399"/>
      <c r="K20" s="620"/>
      <c r="L20" s="2720"/>
      <c r="M20" s="2714"/>
      <c r="N20" s="2714"/>
      <c r="O20" s="2772"/>
      <c r="P20" s="3715"/>
      <c r="Q20" s="1350"/>
      <c r="R20" s="704"/>
      <c r="S20" s="705"/>
      <c r="T20" s="704"/>
      <c r="U20" s="705"/>
      <c r="V20" s="704"/>
      <c r="W20" s="705"/>
      <c r="X20" s="1353"/>
      <c r="Y20" s="3715"/>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v>2</v>
      </c>
      <c r="L21" s="2720"/>
      <c r="M21" s="2714"/>
      <c r="N21" s="2714"/>
      <c r="O21" s="2772"/>
      <c r="P21" s="3715"/>
      <c r="Q21" s="1350" t="str">
        <f>B21</f>
        <v>交通便捷度</v>
      </c>
      <c r="R21" s="704" t="s">
        <v>14</v>
      </c>
      <c r="S21" s="705">
        <f>F21</f>
        <v>100</v>
      </c>
      <c r="T21" s="704" t="s">
        <v>14</v>
      </c>
      <c r="U21" s="705">
        <f>H21</f>
        <v>100</v>
      </c>
      <c r="V21" s="704" t="s">
        <v>14</v>
      </c>
      <c r="W21" s="705">
        <f>J21</f>
        <v>100</v>
      </c>
      <c r="X21" s="1353"/>
      <c r="Y21" s="3715"/>
      <c r="Z21" s="1354" t="str">
        <f>Q21</f>
        <v>交通便捷度</v>
      </c>
      <c r="AA21" s="1351">
        <f t="shared" si="3"/>
        <v>1</v>
      </c>
      <c r="AB21" s="1351">
        <f t="shared" si="4"/>
        <v>1</v>
      </c>
      <c r="AC21" s="1351">
        <f t="shared" si="5"/>
        <v>1</v>
      </c>
    </row>
    <row r="22" spans="1:29" ht="15">
      <c r="A22" s="379"/>
      <c r="B22" s="1130"/>
      <c r="C22" s="398" t="s">
        <v>3457</v>
      </c>
      <c r="D22" s="401"/>
      <c r="E22" s="398" t="s">
        <v>3457</v>
      </c>
      <c r="F22" s="399"/>
      <c r="G22" s="398" t="s">
        <v>3457</v>
      </c>
      <c r="H22" s="399"/>
      <c r="I22" s="398" t="s">
        <v>3457</v>
      </c>
      <c r="J22" s="399"/>
      <c r="K22" s="620"/>
      <c r="L22" s="2720"/>
      <c r="M22" s="2714"/>
      <c r="N22" s="2714"/>
      <c r="O22" s="2772"/>
      <c r="P22" s="3715"/>
      <c r="Q22" s="1350"/>
      <c r="R22" s="704"/>
      <c r="S22" s="705"/>
      <c r="T22" s="704"/>
      <c r="U22" s="705"/>
      <c r="V22" s="704"/>
      <c r="W22" s="705"/>
      <c r="X22" s="1353"/>
      <c r="Y22" s="3715"/>
      <c r="Z22" s="1354"/>
      <c r="AA22" s="1351">
        <v>1</v>
      </c>
      <c r="AB22" s="1351">
        <v>1</v>
      </c>
      <c r="AC22" s="1351">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v>1</v>
      </c>
      <c r="L23" s="2720"/>
      <c r="M23" s="2714"/>
      <c r="N23" s="2714"/>
      <c r="O23" s="2772"/>
      <c r="P23" s="3715"/>
      <c r="Q23" s="1350" t="str">
        <f t="shared" ref="Q23:Q37" si="8">B23</f>
        <v>区域土地利用方向</v>
      </c>
      <c r="R23" s="704" t="s">
        <v>14</v>
      </c>
      <c r="S23" s="705">
        <f>F23</f>
        <v>100</v>
      </c>
      <c r="T23" s="704" t="s">
        <v>14</v>
      </c>
      <c r="U23" s="705">
        <f>H23</f>
        <v>100</v>
      </c>
      <c r="V23" s="704" t="s">
        <v>14</v>
      </c>
      <c r="W23" s="705">
        <f>J23</f>
        <v>100</v>
      </c>
      <c r="X23" s="1353"/>
      <c r="Y23" s="3715"/>
      <c r="Z23" s="1354" t="str">
        <f>Q23</f>
        <v>区域土地利用方向</v>
      </c>
      <c r="AA23" s="1351">
        <f t="shared" si="3"/>
        <v>1</v>
      </c>
      <c r="AB23" s="1351">
        <f t="shared" si="4"/>
        <v>1</v>
      </c>
      <c r="AC23" s="1351">
        <f t="shared" si="5"/>
        <v>1</v>
      </c>
    </row>
    <row r="24" spans="1:29" ht="15">
      <c r="A24" s="358"/>
      <c r="B24" s="407"/>
      <c r="C24" s="565" t="s">
        <v>3456</v>
      </c>
      <c r="D24" s="399"/>
      <c r="E24" s="565" t="s">
        <v>3456</v>
      </c>
      <c r="F24" s="399"/>
      <c r="G24" s="565" t="s">
        <v>3456</v>
      </c>
      <c r="H24" s="399"/>
      <c r="I24" s="565" t="s">
        <v>3456</v>
      </c>
      <c r="J24" s="399"/>
      <c r="K24" s="739"/>
      <c r="L24" s="2720"/>
      <c r="M24" s="2714"/>
      <c r="N24" s="2714"/>
      <c r="O24" s="2772"/>
      <c r="P24" s="3715"/>
      <c r="Q24" s="1350"/>
      <c r="R24" s="704"/>
      <c r="S24" s="705"/>
      <c r="T24" s="704"/>
      <c r="U24" s="705"/>
      <c r="V24" s="704"/>
      <c r="W24" s="705"/>
      <c r="X24" s="1353"/>
      <c r="Y24" s="3715"/>
      <c r="Z24" s="1354"/>
      <c r="AA24" s="1351"/>
      <c r="AB24" s="1351"/>
      <c r="AC24" s="1351"/>
    </row>
    <row r="25" spans="1:29" ht="57">
      <c r="A25" s="358"/>
      <c r="B25" s="1130" t="s">
        <v>1872</v>
      </c>
      <c r="C25" s="1953" t="str">
        <f>估价对象房地状况!C20</f>
        <v>区域自然环境：；人文环境；综合评价环境状况一般</v>
      </c>
      <c r="D25" s="401">
        <v>100</v>
      </c>
      <c r="E25" s="403"/>
      <c r="F25" s="401">
        <f>SUMIF(97:97,E26,98:98)-SUMIF(97:97,C26,98:98)+100</f>
        <v>98</v>
      </c>
      <c r="G25" s="403"/>
      <c r="H25" s="401">
        <f>SUMIF(97:97,G26,98:98)-SUMIF(97:97,C26,98:98)+100</f>
        <v>98</v>
      </c>
      <c r="I25" s="405"/>
      <c r="J25" s="401">
        <f>SUMIF(97:97,I26,98:98)-SUMIF(97:97,C26,98:98)+100</f>
        <v>98</v>
      </c>
      <c r="K25" s="621">
        <v>2</v>
      </c>
      <c r="L25" s="2720"/>
      <c r="M25" s="2714"/>
      <c r="N25" s="2714"/>
      <c r="O25" s="2772"/>
      <c r="P25" s="3715"/>
      <c r="Q25" s="1350" t="str">
        <f t="shared" si="8"/>
        <v>自然及人文环境状况</v>
      </c>
      <c r="R25" s="704" t="s">
        <v>14</v>
      </c>
      <c r="S25" s="705">
        <f>F25</f>
        <v>98</v>
      </c>
      <c r="T25" s="704" t="s">
        <v>14</v>
      </c>
      <c r="U25" s="705">
        <f>H25</f>
        <v>98</v>
      </c>
      <c r="V25" s="704" t="s">
        <v>14</v>
      </c>
      <c r="W25" s="705">
        <f>J25</f>
        <v>98</v>
      </c>
      <c r="X25" s="1353"/>
      <c r="Y25" s="3715"/>
      <c r="Z25" s="1354" t="str">
        <f>Q25</f>
        <v>自然及人文环境状况</v>
      </c>
      <c r="AA25" s="1351">
        <f t="shared" si="3"/>
        <v>1.0204081632653061</v>
      </c>
      <c r="AB25" s="1351">
        <f t="shared" si="4"/>
        <v>1.0204081632653061</v>
      </c>
      <c r="AC25" s="1351">
        <f t="shared" si="5"/>
        <v>1.0204081632653061</v>
      </c>
    </row>
    <row r="26" spans="1:29" ht="15">
      <c r="A26" s="358"/>
      <c r="B26" s="407"/>
      <c r="C26" s="398" t="s">
        <v>3456</v>
      </c>
      <c r="D26" s="399"/>
      <c r="E26" s="1902" t="s">
        <v>3457</v>
      </c>
      <c r="F26" s="399"/>
      <c r="G26" s="1902" t="s">
        <v>3457</v>
      </c>
      <c r="H26" s="399"/>
      <c r="I26" s="1902" t="s">
        <v>3457</v>
      </c>
      <c r="J26" s="399"/>
      <c r="K26" s="620"/>
      <c r="L26" s="2720"/>
      <c r="M26" s="2714"/>
      <c r="N26" s="2714"/>
      <c r="O26" s="2772"/>
      <c r="P26" s="3715"/>
      <c r="Q26" s="1350"/>
      <c r="R26" s="704"/>
      <c r="S26" s="705"/>
      <c r="T26" s="704"/>
      <c r="U26" s="705"/>
      <c r="V26" s="704"/>
      <c r="W26" s="705"/>
      <c r="X26" s="1353"/>
      <c r="Y26" s="3715"/>
      <c r="Z26" s="1354"/>
      <c r="AA26" s="1351">
        <v>1</v>
      </c>
      <c r="AB26" s="1351">
        <v>1</v>
      </c>
      <c r="AC26" s="1351">
        <v>1</v>
      </c>
    </row>
    <row r="27" spans="1:29" s="108" customFormat="1" ht="42.75">
      <c r="A27" s="597"/>
      <c r="B27" s="1130"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98</v>
      </c>
      <c r="I27" s="405"/>
      <c r="J27" s="401">
        <f>SUMIF(99:99,I28,100:100)-SUMIF(99:99,C28,100:100)+100</f>
        <v>100</v>
      </c>
      <c r="K27" s="621">
        <v>2</v>
      </c>
      <c r="L27" s="2715"/>
      <c r="M27" s="2716"/>
      <c r="N27" s="2716"/>
      <c r="O27" s="2770"/>
      <c r="P27" s="3715"/>
      <c r="Q27" s="1341" t="str">
        <f t="shared" si="8"/>
        <v>公共配套设施</v>
      </c>
      <c r="R27" s="700" t="s">
        <v>14</v>
      </c>
      <c r="S27" s="701">
        <f>F27</f>
        <v>100</v>
      </c>
      <c r="T27" s="700" t="s">
        <v>14</v>
      </c>
      <c r="U27" s="701">
        <f>H27</f>
        <v>98</v>
      </c>
      <c r="V27" s="700" t="s">
        <v>14</v>
      </c>
      <c r="W27" s="701">
        <f>J27</f>
        <v>100</v>
      </c>
      <c r="X27" s="702"/>
      <c r="Y27" s="3715"/>
      <c r="Z27" s="52" t="str">
        <f>Q27</f>
        <v>公共配套设施</v>
      </c>
      <c r="AA27" s="1351">
        <f>D27/F27</f>
        <v>1</v>
      </c>
      <c r="AB27" s="1351">
        <f>D27/H27</f>
        <v>1.0204081632653061</v>
      </c>
      <c r="AC27" s="1351">
        <f>D27/J27</f>
        <v>1</v>
      </c>
    </row>
    <row r="28" spans="1:29" s="108" customFormat="1" ht="15">
      <c r="A28" s="597"/>
      <c r="B28" s="407"/>
      <c r="C28" s="1976" t="s">
        <v>3457</v>
      </c>
      <c r="D28" s="399"/>
      <c r="E28" s="1902" t="s">
        <v>3457</v>
      </c>
      <c r="F28" s="399"/>
      <c r="G28" s="1902" t="s">
        <v>3900</v>
      </c>
      <c r="H28" s="399"/>
      <c r="I28" s="398" t="s">
        <v>3457</v>
      </c>
      <c r="J28" s="399"/>
      <c r="K28" s="620"/>
      <c r="L28" s="2715"/>
      <c r="M28" s="2716"/>
      <c r="N28" s="2716"/>
      <c r="O28" s="2770"/>
      <c r="P28" s="3715"/>
      <c r="Q28" s="1341"/>
      <c r="R28" s="700"/>
      <c r="S28" s="701"/>
      <c r="T28" s="700"/>
      <c r="U28" s="701"/>
      <c r="V28" s="700"/>
      <c r="W28" s="701"/>
      <c r="X28" s="702"/>
      <c r="Y28" s="3715"/>
      <c r="Z28" s="52"/>
      <c r="AA28" s="1351">
        <v>1</v>
      </c>
      <c r="AB28" s="1351">
        <v>1</v>
      </c>
      <c r="AC28" s="1351">
        <v>1</v>
      </c>
    </row>
    <row r="29" spans="1:29" s="108" customFormat="1" ht="28.5">
      <c r="A29" s="597"/>
      <c r="B29" s="1130"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v>1</v>
      </c>
      <c r="L29" s="2715"/>
      <c r="M29" s="2716"/>
      <c r="N29" s="2716"/>
      <c r="O29" s="2770"/>
      <c r="P29" s="3715"/>
      <c r="Q29" s="1341" t="str">
        <f t="shared" ref="Q29" si="9">B29</f>
        <v>基础设施水平</v>
      </c>
      <c r="R29" s="700" t="s">
        <v>14</v>
      </c>
      <c r="S29" s="701">
        <f>F29</f>
        <v>100</v>
      </c>
      <c r="T29" s="700" t="s">
        <v>14</v>
      </c>
      <c r="U29" s="701">
        <f>H29</f>
        <v>100</v>
      </c>
      <c r="V29" s="700" t="s">
        <v>14</v>
      </c>
      <c r="W29" s="701">
        <f>J29</f>
        <v>100</v>
      </c>
      <c r="X29" s="702"/>
      <c r="Y29" s="3715"/>
      <c r="Z29" s="52" t="str">
        <f>Q29</f>
        <v>基础设施水平</v>
      </c>
      <c r="AA29" s="1351">
        <f>D29/F29</f>
        <v>1</v>
      </c>
      <c r="AB29" s="1351">
        <f>D29/H29</f>
        <v>1</v>
      </c>
      <c r="AC29" s="1351">
        <f>D29/J29</f>
        <v>1</v>
      </c>
    </row>
    <row r="30" spans="1:29" s="108" customFormat="1" ht="15">
      <c r="A30" s="597"/>
      <c r="B30" s="407"/>
      <c r="C30" s="1976" t="s">
        <v>3901</v>
      </c>
      <c r="D30" s="399"/>
      <c r="E30" s="1976" t="s">
        <v>3901</v>
      </c>
      <c r="F30" s="399"/>
      <c r="G30" s="1976" t="s">
        <v>3901</v>
      </c>
      <c r="H30" s="399"/>
      <c r="I30" s="1976" t="s">
        <v>3901</v>
      </c>
      <c r="J30" s="399"/>
      <c r="K30" s="620"/>
      <c r="L30" s="2715"/>
      <c r="M30" s="2716"/>
      <c r="N30" s="2716"/>
      <c r="O30" s="2770"/>
      <c r="P30" s="3715"/>
      <c r="Q30" s="1341"/>
      <c r="R30" s="700"/>
      <c r="S30" s="701"/>
      <c r="T30" s="700"/>
      <c r="U30" s="701"/>
      <c r="V30" s="700"/>
      <c r="W30" s="701"/>
      <c r="X30" s="702"/>
      <c r="Y30" s="3715"/>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15"/>
      <c r="Q31" s="1350" t="str">
        <f t="shared" si="8"/>
        <v>临街状况</v>
      </c>
      <c r="R31" s="704" t="s">
        <v>14</v>
      </c>
      <c r="S31" s="705">
        <f t="shared" ref="S31:S45" si="10">F31</f>
        <v>100</v>
      </c>
      <c r="T31" s="704" t="s">
        <v>14</v>
      </c>
      <c r="U31" s="705">
        <f t="shared" ref="U31:U45" si="11">H31</f>
        <v>100</v>
      </c>
      <c r="V31" s="704" t="s">
        <v>14</v>
      </c>
      <c r="W31" s="705">
        <f t="shared" ref="W31:W45" si="12">J31</f>
        <v>100</v>
      </c>
      <c r="X31" s="1353"/>
      <c r="Y31" s="3715"/>
      <c r="Z31" s="1354" t="str">
        <f t="shared" ref="Z31:Z45" si="13">Q31</f>
        <v>临街状况</v>
      </c>
      <c r="AA31" s="1351">
        <f t="shared" si="3"/>
        <v>1</v>
      </c>
      <c r="AB31" s="1351">
        <f t="shared" si="4"/>
        <v>1</v>
      </c>
      <c r="AC31" s="1351">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15"/>
      <c r="Q32" s="1350" t="str">
        <f t="shared" si="8"/>
        <v>毗邻道路的类型与等级</v>
      </c>
      <c r="R32" s="704" t="s">
        <v>14</v>
      </c>
      <c r="S32" s="705">
        <f t="shared" si="10"/>
        <v>100</v>
      </c>
      <c r="T32" s="704" t="s">
        <v>14</v>
      </c>
      <c r="U32" s="705">
        <f t="shared" si="11"/>
        <v>100</v>
      </c>
      <c r="V32" s="704" t="s">
        <v>14</v>
      </c>
      <c r="W32" s="705">
        <f t="shared" si="12"/>
        <v>100</v>
      </c>
      <c r="X32" s="1353"/>
      <c r="Y32" s="3715"/>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715"/>
      <c r="Q33" s="1350"/>
      <c r="R33" s="704"/>
      <c r="S33" s="705"/>
      <c r="T33" s="704"/>
      <c r="U33" s="705"/>
      <c r="V33" s="704"/>
      <c r="W33" s="705"/>
      <c r="X33" s="1353"/>
      <c r="Y33" s="3715"/>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15"/>
      <c r="Q34" s="1350" t="str">
        <f t="shared" si="8"/>
        <v>土地级别</v>
      </c>
      <c r="R34" s="704" t="s">
        <v>14</v>
      </c>
      <c r="S34" s="705">
        <f t="shared" si="10"/>
        <v>100</v>
      </c>
      <c r="T34" s="704" t="s">
        <v>14</v>
      </c>
      <c r="U34" s="705">
        <f t="shared" si="11"/>
        <v>100</v>
      </c>
      <c r="V34" s="704" t="s">
        <v>14</v>
      </c>
      <c r="W34" s="705">
        <f t="shared" si="12"/>
        <v>100</v>
      </c>
      <c r="X34" s="1353"/>
      <c r="Y34" s="3715"/>
      <c r="Z34" s="1354" t="str">
        <f t="shared" si="13"/>
        <v>土地级别</v>
      </c>
      <c r="AA34" s="1351">
        <f t="shared" si="3"/>
        <v>1</v>
      </c>
      <c r="AB34" s="1351">
        <f t="shared" si="4"/>
        <v>1</v>
      </c>
      <c r="AC34" s="1351">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15"/>
      <c r="Q35" s="1350">
        <f t="shared" si="8"/>
        <v>111</v>
      </c>
      <c r="R35" s="704" t="s">
        <v>14</v>
      </c>
      <c r="S35" s="705">
        <f t="shared" si="10"/>
        <v>100</v>
      </c>
      <c r="T35" s="704" t="s">
        <v>14</v>
      </c>
      <c r="U35" s="705">
        <f t="shared" si="11"/>
        <v>100</v>
      </c>
      <c r="V35" s="704" t="s">
        <v>14</v>
      </c>
      <c r="W35" s="705">
        <f t="shared" si="12"/>
        <v>100</v>
      </c>
      <c r="X35" s="1353"/>
      <c r="Y35" s="3715"/>
      <c r="Z35" s="1354">
        <f t="shared" si="13"/>
        <v>111</v>
      </c>
      <c r="AA35" s="1351">
        <f t="shared" si="3"/>
        <v>1</v>
      </c>
      <c r="AB35" s="1351">
        <f t="shared" si="4"/>
        <v>1</v>
      </c>
      <c r="AC35" s="1351">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16" t="s">
        <v>1696</v>
      </c>
      <c r="Q36" s="1350">
        <f t="shared" si="8"/>
        <v>111</v>
      </c>
      <c r="R36" s="704" t="s">
        <v>14</v>
      </c>
      <c r="S36" s="705">
        <f t="shared" si="10"/>
        <v>100</v>
      </c>
      <c r="T36" s="704" t="s">
        <v>14</v>
      </c>
      <c r="U36" s="705">
        <f t="shared" si="11"/>
        <v>100</v>
      </c>
      <c r="V36" s="704" t="s">
        <v>14</v>
      </c>
      <c r="W36" s="705">
        <f t="shared" si="12"/>
        <v>100</v>
      </c>
      <c r="X36" s="1353"/>
      <c r="Y36" s="3717" t="s">
        <v>1696</v>
      </c>
      <c r="Z36" s="1354">
        <f t="shared" si="13"/>
        <v>111</v>
      </c>
      <c r="AA36" s="1351">
        <f t="shared" si="3"/>
        <v>1</v>
      </c>
      <c r="AB36" s="1351">
        <f t="shared" si="4"/>
        <v>1</v>
      </c>
      <c r="AC36" s="1351">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7"/>
      <c r="Q37" s="1350">
        <f t="shared" si="8"/>
        <v>111</v>
      </c>
      <c r="R37" s="707" t="s">
        <v>14</v>
      </c>
      <c r="S37" s="708">
        <f t="shared" si="10"/>
        <v>100</v>
      </c>
      <c r="T37" s="707" t="s">
        <v>14</v>
      </c>
      <c r="U37" s="708">
        <f t="shared" si="11"/>
        <v>100</v>
      </c>
      <c r="V37" s="707" t="s">
        <v>14</v>
      </c>
      <c r="W37" s="708">
        <f t="shared" si="12"/>
        <v>100</v>
      </c>
      <c r="X37" s="709"/>
      <c r="Y37" s="3717"/>
      <c r="Z37" s="710">
        <f t="shared" si="13"/>
        <v>111</v>
      </c>
      <c r="AA37" s="1351">
        <f t="shared" si="3"/>
        <v>1</v>
      </c>
      <c r="AB37" s="1351">
        <f t="shared" si="4"/>
        <v>1</v>
      </c>
      <c r="AC37" s="1351">
        <f t="shared" si="5"/>
        <v>1</v>
      </c>
    </row>
    <row r="38" spans="1:29" ht="15">
      <c r="A38" s="423" t="s">
        <v>1694</v>
      </c>
      <c r="B38" s="407" t="s">
        <v>1874</v>
      </c>
      <c r="C38" s="627"/>
      <c r="D38" s="418">
        <v>100</v>
      </c>
      <c r="E38" s="627"/>
      <c r="F38" s="418">
        <f>LOOKUP(E38,116:116,117:117)-LOOKUP(C38,116:116,117:117)+100</f>
        <v>100</v>
      </c>
      <c r="G38" s="627"/>
      <c r="H38" s="418">
        <f>LOOKUP(G38,116:116,117:117)-LOOKUP(C38,116:116,117:117)+100</f>
        <v>100</v>
      </c>
      <c r="I38" s="479"/>
      <c r="J38" s="418">
        <f>LOOKUP(I38,116:116,117:117)-LOOKUP(C38,116:116,117:117)+100</f>
        <v>100</v>
      </c>
      <c r="K38" s="562"/>
      <c r="L38" s="2720"/>
      <c r="M38" s="2714"/>
      <c r="N38" s="2714"/>
      <c r="O38" s="2772"/>
      <c r="P38" s="3717"/>
      <c r="Q38" s="1350" t="str">
        <f>B38</f>
        <v>宗地面积</v>
      </c>
      <c r="R38" s="704" t="s">
        <v>14</v>
      </c>
      <c r="S38" s="705">
        <f t="shared" si="10"/>
        <v>100</v>
      </c>
      <c r="T38" s="704" t="s">
        <v>14</v>
      </c>
      <c r="U38" s="705">
        <f t="shared" si="11"/>
        <v>100</v>
      </c>
      <c r="V38" s="704" t="s">
        <v>14</v>
      </c>
      <c r="W38" s="705">
        <f t="shared" si="12"/>
        <v>100</v>
      </c>
      <c r="X38" s="1353"/>
      <c r="Y38" s="3717"/>
      <c r="Z38" s="1354" t="str">
        <f t="shared" si="13"/>
        <v>宗地面积</v>
      </c>
      <c r="AA38" s="1351">
        <f t="shared" si="3"/>
        <v>1</v>
      </c>
      <c r="AB38" s="1351">
        <f t="shared" si="4"/>
        <v>1</v>
      </c>
      <c r="AC38" s="1351">
        <f t="shared" si="5"/>
        <v>1</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v>1</v>
      </c>
      <c r="L39" s="2720"/>
      <c r="M39" s="2714"/>
      <c r="N39" s="2714"/>
      <c r="O39" s="2772"/>
      <c r="P39" s="3717"/>
      <c r="Q39" s="1350" t="str">
        <f t="shared" ref="Q39:Q45" si="14">B39</f>
        <v>宗地形状</v>
      </c>
      <c r="R39" s="704" t="s">
        <v>14</v>
      </c>
      <c r="S39" s="705">
        <f t="shared" si="10"/>
        <v>100</v>
      </c>
      <c r="T39" s="704" t="s">
        <v>14</v>
      </c>
      <c r="U39" s="705">
        <f t="shared" si="11"/>
        <v>100</v>
      </c>
      <c r="V39" s="704" t="s">
        <v>14</v>
      </c>
      <c r="W39" s="705">
        <f t="shared" si="12"/>
        <v>100</v>
      </c>
      <c r="X39" s="1353"/>
      <c r="Y39" s="3717"/>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v>1</v>
      </c>
      <c r="L40" s="2720"/>
      <c r="M40" s="2714"/>
      <c r="N40" s="2714"/>
      <c r="O40" s="2772"/>
      <c r="P40" s="3717"/>
      <c r="Q40" s="1350" t="str">
        <f t="shared" si="14"/>
        <v>临街宽度及深度</v>
      </c>
      <c r="R40" s="704" t="s">
        <v>14</v>
      </c>
      <c r="S40" s="705">
        <f t="shared" si="10"/>
        <v>100</v>
      </c>
      <c r="T40" s="704" t="s">
        <v>14</v>
      </c>
      <c r="U40" s="705">
        <f t="shared" si="11"/>
        <v>100</v>
      </c>
      <c r="V40" s="704" t="s">
        <v>14</v>
      </c>
      <c r="W40" s="705">
        <f t="shared" si="12"/>
        <v>100</v>
      </c>
      <c r="X40" s="1353"/>
      <c r="Y40" s="3717"/>
      <c r="Z40" s="1354" t="str">
        <f t="shared" si="13"/>
        <v>临街宽度及深度</v>
      </c>
      <c r="AA40" s="1351">
        <f t="shared" si="3"/>
        <v>1</v>
      </c>
      <c r="AB40" s="1351">
        <f t="shared" si="4"/>
        <v>1</v>
      </c>
      <c r="AC40" s="1351">
        <f t="shared" si="5"/>
        <v>1</v>
      </c>
    </row>
    <row r="41" spans="1:29" s="108" customFormat="1" ht="15">
      <c r="A41" s="424"/>
      <c r="B41" s="375" t="s">
        <v>1877</v>
      </c>
      <c r="C41" s="1978" t="s">
        <v>3897</v>
      </c>
      <c r="D41" s="127">
        <v>100</v>
      </c>
      <c r="E41" s="1978" t="s">
        <v>3898</v>
      </c>
      <c r="F41" s="386">
        <f>SUMIF(122:122,E41,123:123)-SUMIF(122:122,C41,123:123)+100</f>
        <v>98</v>
      </c>
      <c r="G41" s="1978" t="s">
        <v>3897</v>
      </c>
      <c r="H41" s="386">
        <f>SUMIF(122:122,G41,123:123)-SUMIF(122:122,C41,123:123)+100</f>
        <v>100</v>
      </c>
      <c r="I41" s="1978" t="s">
        <v>3899</v>
      </c>
      <c r="J41" s="386">
        <f>SUMIF(122:122,I41,123:123)-SUMIF(122:122,C41,123:123)+100</f>
        <v>99</v>
      </c>
      <c r="K41" s="561">
        <v>1</v>
      </c>
      <c r="L41" s="2715"/>
      <c r="M41" s="2716"/>
      <c r="N41" s="2716"/>
      <c r="O41" s="2770"/>
      <c r="P41" s="3717"/>
      <c r="Q41" s="1350" t="str">
        <f t="shared" si="14"/>
        <v>宗地开发程度</v>
      </c>
      <c r="R41" s="700" t="s">
        <v>14</v>
      </c>
      <c r="S41" s="701">
        <f t="shared" si="10"/>
        <v>98</v>
      </c>
      <c r="T41" s="700" t="s">
        <v>14</v>
      </c>
      <c r="U41" s="701">
        <f t="shared" si="11"/>
        <v>100</v>
      </c>
      <c r="V41" s="700" t="s">
        <v>14</v>
      </c>
      <c r="W41" s="701">
        <f t="shared" si="12"/>
        <v>99</v>
      </c>
      <c r="X41" s="702"/>
      <c r="Y41" s="3717"/>
      <c r="Z41" s="52" t="str">
        <f t="shared" si="13"/>
        <v>宗地开发程度</v>
      </c>
      <c r="AA41" s="703">
        <f t="shared" si="3"/>
        <v>1.0204081632653061</v>
      </c>
      <c r="AB41" s="703">
        <f t="shared" si="4"/>
        <v>1</v>
      </c>
      <c r="AC41" s="703">
        <f t="shared" si="5"/>
        <v>1.0101010101010102</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v>1</v>
      </c>
      <c r="L42" s="2720"/>
      <c r="M42" s="2714"/>
      <c r="N42" s="2714"/>
      <c r="O42" s="2772"/>
      <c r="P42" s="3717" t="s">
        <v>1696</v>
      </c>
      <c r="Q42" s="1350" t="str">
        <f t="shared" si="14"/>
        <v>工程地质条件</v>
      </c>
      <c r="R42" s="704" t="s">
        <v>14</v>
      </c>
      <c r="S42" s="705">
        <f t="shared" si="10"/>
        <v>100</v>
      </c>
      <c r="T42" s="704" t="s">
        <v>14</v>
      </c>
      <c r="U42" s="705">
        <f t="shared" si="11"/>
        <v>100</v>
      </c>
      <c r="V42" s="704" t="s">
        <v>14</v>
      </c>
      <c r="W42" s="705">
        <f t="shared" si="12"/>
        <v>100</v>
      </c>
      <c r="X42" s="1353"/>
      <c r="Y42" s="3717" t="s">
        <v>1696</v>
      </c>
      <c r="Z42" s="1354" t="str">
        <f t="shared" si="13"/>
        <v>工程地质条件</v>
      </c>
      <c r="AA42" s="1351">
        <f t="shared" si="3"/>
        <v>1</v>
      </c>
      <c r="AB42" s="1351">
        <f t="shared" si="4"/>
        <v>1</v>
      </c>
      <c r="AC42" s="1351">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7"/>
      <c r="Q43" s="1350">
        <f t="shared" si="14"/>
        <v>111</v>
      </c>
      <c r="R43" s="704" t="s">
        <v>14</v>
      </c>
      <c r="S43" s="705">
        <f t="shared" si="10"/>
        <v>100</v>
      </c>
      <c r="T43" s="704" t="s">
        <v>14</v>
      </c>
      <c r="U43" s="705">
        <f t="shared" si="11"/>
        <v>100</v>
      </c>
      <c r="V43" s="704" t="s">
        <v>14</v>
      </c>
      <c r="W43" s="705">
        <f t="shared" si="12"/>
        <v>100</v>
      </c>
      <c r="X43" s="1353"/>
      <c r="Y43" s="3717"/>
      <c r="Z43" s="1354">
        <f t="shared" si="13"/>
        <v>111</v>
      </c>
      <c r="AA43" s="1351">
        <f t="shared" si="3"/>
        <v>1</v>
      </c>
      <c r="AB43" s="1351">
        <f t="shared" si="4"/>
        <v>1</v>
      </c>
      <c r="AC43" s="1351">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7"/>
      <c r="Q44" s="1350">
        <f t="shared" si="14"/>
        <v>111</v>
      </c>
      <c r="R44" s="704" t="s">
        <v>14</v>
      </c>
      <c r="S44" s="705">
        <f t="shared" si="10"/>
        <v>100</v>
      </c>
      <c r="T44" s="704" t="s">
        <v>14</v>
      </c>
      <c r="U44" s="705">
        <f t="shared" si="11"/>
        <v>100</v>
      </c>
      <c r="V44" s="704" t="s">
        <v>14</v>
      </c>
      <c r="W44" s="705">
        <f t="shared" si="12"/>
        <v>100</v>
      </c>
      <c r="X44" s="1353"/>
      <c r="Y44" s="3717"/>
      <c r="Z44" s="1354">
        <f t="shared" si="13"/>
        <v>111</v>
      </c>
      <c r="AA44" s="1351">
        <f t="shared" si="3"/>
        <v>1</v>
      </c>
      <c r="AB44" s="1351">
        <f t="shared" si="4"/>
        <v>1</v>
      </c>
      <c r="AC44" s="1351">
        <f t="shared" si="5"/>
        <v>1</v>
      </c>
    </row>
    <row r="45" spans="1:29" s="422" customFormat="1" ht="15.75" thickBot="1">
      <c r="A45" s="419"/>
      <c r="B45" s="1133">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7"/>
      <c r="Q45" s="1350">
        <f t="shared" si="14"/>
        <v>111</v>
      </c>
      <c r="R45" s="707" t="s">
        <v>14</v>
      </c>
      <c r="S45" s="708">
        <f t="shared" si="10"/>
        <v>100</v>
      </c>
      <c r="T45" s="707" t="s">
        <v>14</v>
      </c>
      <c r="U45" s="708">
        <f t="shared" si="11"/>
        <v>100</v>
      </c>
      <c r="V45" s="707" t="s">
        <v>14</v>
      </c>
      <c r="W45" s="708">
        <f t="shared" si="12"/>
        <v>100</v>
      </c>
      <c r="X45" s="709"/>
      <c r="Y45" s="3717"/>
      <c r="Z45" s="710">
        <f t="shared" si="13"/>
        <v>111</v>
      </c>
      <c r="AA45" s="1351">
        <f t="shared" si="3"/>
        <v>1</v>
      </c>
      <c r="AB45" s="1351">
        <f t="shared" si="4"/>
        <v>1</v>
      </c>
      <c r="AC45" s="1351">
        <f t="shared" si="5"/>
        <v>1</v>
      </c>
    </row>
    <row r="46" spans="1:29" ht="15">
      <c r="A46" s="430" t="s">
        <v>1844</v>
      </c>
      <c r="B46" s="1980" t="s">
        <v>1879</v>
      </c>
      <c r="C46" s="630" t="s">
        <v>0</v>
      </c>
      <c r="D46" s="432"/>
      <c r="E46" s="433">
        <f>土地案例!AW6</f>
        <v>10454</v>
      </c>
      <c r="F46" s="434"/>
      <c r="G46" s="435">
        <f>土地案例!AW7</f>
        <v>12433</v>
      </c>
      <c r="H46" s="436"/>
      <c r="I46" s="433">
        <f>土地案例!AW12</f>
        <v>10339</v>
      </c>
      <c r="J46" s="436"/>
      <c r="K46" s="713"/>
      <c r="L46" s="2722"/>
      <c r="M46" s="2723"/>
      <c r="N46" s="2714"/>
      <c r="O46" s="2723"/>
      <c r="P46" s="3713" t="str">
        <f>A46</f>
        <v>成交单价</v>
      </c>
      <c r="Q46" s="3713"/>
      <c r="R46" s="3718">
        <f>E46</f>
        <v>10454</v>
      </c>
      <c r="S46" s="3718"/>
      <c r="T46" s="3718">
        <f>G46</f>
        <v>12433</v>
      </c>
      <c r="U46" s="3718"/>
      <c r="V46" s="3718">
        <f>I46</f>
        <v>10339</v>
      </c>
      <c r="W46" s="3718"/>
      <c r="X46" s="689"/>
      <c r="Y46" s="711"/>
      <c r="Z46" s="689"/>
      <c r="AA46" s="689"/>
      <c r="AB46" s="689"/>
      <c r="AC46" s="689"/>
    </row>
    <row r="47" spans="1:29" ht="15.75" thickBot="1">
      <c r="A47" s="437" t="s">
        <v>1793</v>
      </c>
      <c r="B47" s="631"/>
      <c r="C47" s="440">
        <f>R48</f>
        <v>11210</v>
      </c>
      <c r="D47" s="2315" t="s">
        <v>2137</v>
      </c>
      <c r="E47" s="440">
        <f>R47</f>
        <v>10462</v>
      </c>
      <c r="F47" s="2316"/>
      <c r="G47" s="439">
        <f>T47</f>
        <v>12823</v>
      </c>
      <c r="H47" s="2316"/>
      <c r="I47" s="440">
        <f>V47</f>
        <v>10344</v>
      </c>
      <c r="J47" s="2316"/>
      <c r="K47" s="2318">
        <f>F47+H47+J47</f>
        <v>0</v>
      </c>
      <c r="L47" s="2722"/>
      <c r="M47" s="2723"/>
      <c r="N47" s="2723"/>
      <c r="O47" s="2723"/>
      <c r="P47" s="3713" t="str">
        <f>A47</f>
        <v>比较价值（元/平方米）</v>
      </c>
      <c r="Q47" s="3713"/>
      <c r="R47" s="3706">
        <f>ROUND(PRODUCT(R46,AA7:AA45),0)</f>
        <v>10462</v>
      </c>
      <c r="S47" s="3706"/>
      <c r="T47" s="3706">
        <f>ROUND(PRODUCT(T46,AB7:AB45),0)</f>
        <v>12823</v>
      </c>
      <c r="U47" s="3706"/>
      <c r="V47" s="3706">
        <f>ROUND(PRODUCT(V46,AC7:AC45),0)</f>
        <v>10344</v>
      </c>
      <c r="W47" s="3706"/>
      <c r="X47" s="689"/>
      <c r="Y47" s="689"/>
      <c r="Z47" s="689"/>
      <c r="AA47" s="689"/>
      <c r="AB47" s="689"/>
      <c r="AC47" s="689"/>
    </row>
    <row r="48" spans="1:29" ht="15.75" thickBot="1">
      <c r="A48" s="441" t="s">
        <v>1880</v>
      </c>
      <c r="B48" s="442"/>
      <c r="C48" s="443">
        <f>R48</f>
        <v>11210</v>
      </c>
      <c r="D48" s="443"/>
      <c r="E48" s="443"/>
      <c r="F48" s="443"/>
      <c r="G48" s="443"/>
      <c r="H48" s="443"/>
      <c r="I48" s="443"/>
      <c r="J48" s="443"/>
      <c r="K48" s="714"/>
      <c r="L48" s="2722"/>
      <c r="M48" s="2723"/>
      <c r="N48" s="2723"/>
      <c r="O48" s="2723"/>
      <c r="P48" s="3707" t="str">
        <f>A48</f>
        <v>估价对象XX用房的比较价值（楼面单价，元/平方米）</v>
      </c>
      <c r="Q48" s="3708"/>
      <c r="R48" s="3709">
        <f>ROUND(IF(D47="简单平均",AVERAGE(R47:W47),R47*F47+T47*H47+V47*J47),0)</f>
        <v>11210</v>
      </c>
      <c r="S48" s="3709"/>
      <c r="T48" s="3709"/>
      <c r="U48" s="3709"/>
      <c r="V48" s="3709"/>
      <c r="W48" s="3709"/>
      <c r="X48" s="689"/>
      <c r="Y48" s="689"/>
      <c r="Z48" s="689"/>
      <c r="AA48" s="689"/>
      <c r="AB48" s="689"/>
      <c r="AC48" s="689"/>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f>IF(E46&lt;E47,E47/E46-1,E46/E47-1)</f>
        <v>7.6525731777299377E-4</v>
      </c>
      <c r="F51" s="449" t="str">
        <f>IF(OR(E51&gt;=0.3,E51&lt;=-0.3),"超过30%","")</f>
        <v/>
      </c>
      <c r="G51" s="448">
        <f>IF(G46&lt;G47,G47/G46-1,G46/G47-1)</f>
        <v>3.1368133193919512E-2</v>
      </c>
      <c r="H51" s="449" t="str">
        <f>IF(OR(G51&gt;=0.3,G51&lt;=-0.3),"超过30%","")</f>
        <v/>
      </c>
      <c r="I51" s="448">
        <f>IF(I46&lt;I47,I47/I46-1,I46/I47-1)</f>
        <v>4.8360576458073012E-4</v>
      </c>
      <c r="J51" s="449" t="str">
        <f>IF(OR(I51&gt;=0.3,I51&lt;=-0.3),"超过30%","")</f>
        <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f>IF(E47&lt;G47,G47/E47-1,E47/G47-1)</f>
        <v>0.22567386732938255</v>
      </c>
      <c r="F52" s="449" t="str">
        <f>IF(OR(E52&gt;=0.2,E52&lt;=-0.2),"超过20%","")</f>
        <v>超过20%</v>
      </c>
      <c r="G52" s="448">
        <f>IF(G47&lt;I47,I47/G47-1,G47/I47-1)</f>
        <v>0.23965583913379729</v>
      </c>
      <c r="H52" s="449" t="str">
        <f>IF(OR(G52&gt;=0.2,G52&lt;=-0.2),"超过20%","")</f>
        <v>超过20%</v>
      </c>
      <c r="I52" s="448">
        <f>IF(I47&lt;E47,E47/I47-1,I47/E47-1)</f>
        <v>1.1407579273008617E-2</v>
      </c>
      <c r="J52" s="449" t="str">
        <f>IF(OR(I52&gt;=0.2,I52&lt;=-0.2),"超过20%","")</f>
        <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f>IF(E46&lt;G46,G46/E46-1,E46/G46-1)</f>
        <v>0.18930552898412101</v>
      </c>
      <c r="F53" s="449" t="str">
        <f>IF(OR(E53&gt;=0.3,E53&lt;=-0.3),"超过30%","")</f>
        <v/>
      </c>
      <c r="G53" s="448">
        <f>IF(G46&lt;I46,I46/G46-1,G46/I46-1)</f>
        <v>0.20253409420640289</v>
      </c>
      <c r="H53" s="449" t="str">
        <f>IF(OR(G53&gt;=0.3,G53&lt;=-0.3),"超过30%","")</f>
        <v/>
      </c>
      <c r="I53" s="448">
        <f>IF(I46&lt;E46,E46/I46-1,I46/E46-1)</f>
        <v>1.1122932585356349E-2</v>
      </c>
      <c r="J53" s="449" t="str">
        <f>IF(OR(I53&gt;=0.3,I53&lt;=-0.3),"超过30%","")</f>
        <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2"/>
      <c r="D54" s="690"/>
      <c r="E54" s="690"/>
      <c r="F54" s="690"/>
      <c r="G54" s="690"/>
      <c r="H54" s="690"/>
      <c r="I54" s="690"/>
      <c r="J54" s="690"/>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9" t="s">
        <v>1886</v>
      </c>
      <c r="G55" s="3710" t="s">
        <v>1887</v>
      </c>
      <c r="H55" s="3711"/>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f>C48</f>
        <v>11210</v>
      </c>
      <c r="C56" s="638">
        <v>1</v>
      </c>
      <c r="D56" s="943">
        <v>1</v>
      </c>
      <c r="E56" s="638">
        <f>'数据-汇总表'!E8+'数据-汇总表'!E9</f>
        <v>3643.6099999999992</v>
      </c>
      <c r="F56" s="885">
        <f t="shared" ref="F56:F64" si="15">ROUND(B56*E56/10000,0)</f>
        <v>4084</v>
      </c>
      <c r="G56" s="3712"/>
      <c r="H56" s="3713"/>
      <c r="I56" s="890">
        <v>1</v>
      </c>
      <c r="J56" s="893">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f>ROUND($C$48*C57*D57,0)</f>
        <v>0</v>
      </c>
      <c r="C57" s="171">
        <f t="shared" ref="C57:C64" si="16">IF($C$55="北京市系数",I57,J57)</f>
        <v>0</v>
      </c>
      <c r="D57" s="944">
        <v>0.25</v>
      </c>
      <c r="E57" s="642"/>
      <c r="F57" s="885">
        <f t="shared" si="15"/>
        <v>0</v>
      </c>
      <c r="G57" s="3004" t="s">
        <v>1892</v>
      </c>
      <c r="H57" s="886">
        <f>项目基本情况!B37</f>
        <v>0</v>
      </c>
      <c r="I57" s="890">
        <f>SUMIF(修正!A57:A68,H57,修正!B57:B68)</f>
        <v>0</v>
      </c>
      <c r="J57" s="894"/>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f t="shared" ref="B58:B64" si="17">ROUND($C$48*C58*D58,0)</f>
        <v>0</v>
      </c>
      <c r="C58" s="171">
        <f t="shared" si="16"/>
        <v>0</v>
      </c>
      <c r="D58" s="944">
        <v>0.25</v>
      </c>
      <c r="E58" s="642"/>
      <c r="F58" s="885">
        <f t="shared" si="15"/>
        <v>0</v>
      </c>
      <c r="G58" s="3005"/>
      <c r="H58" s="886">
        <f>项目基本情况!B37</f>
        <v>0</v>
      </c>
      <c r="I58" s="890">
        <f>SUMIF(修正!A57:A68,H58,修正!C57:C68)</f>
        <v>0</v>
      </c>
      <c r="J58" s="894"/>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f t="shared" si="17"/>
        <v>0</v>
      </c>
      <c r="C59" s="171">
        <f t="shared" si="16"/>
        <v>0</v>
      </c>
      <c r="D59" s="944">
        <v>0.25</v>
      </c>
      <c r="E59" s="642"/>
      <c r="F59" s="885">
        <f t="shared" si="15"/>
        <v>0</v>
      </c>
      <c r="G59" s="3005"/>
      <c r="H59" s="886">
        <f>项目基本情况!B37</f>
        <v>0</v>
      </c>
      <c r="I59" s="890">
        <f>SUMIF(修正!A57:A68,H59,修正!D57:D68)</f>
        <v>0</v>
      </c>
      <c r="J59" s="894"/>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f t="shared" si="17"/>
        <v>0</v>
      </c>
      <c r="C60" s="171">
        <f t="shared" si="16"/>
        <v>0</v>
      </c>
      <c r="D60" s="944">
        <v>0.25</v>
      </c>
      <c r="E60" s="217">
        <f>'数据-汇总表'!E11</f>
        <v>0</v>
      </c>
      <c r="F60" s="885">
        <f t="shared" si="15"/>
        <v>0</v>
      </c>
      <c r="G60" s="1985" t="s">
        <v>1896</v>
      </c>
      <c r="H60" s="886">
        <f>项目基本情况!C37</f>
        <v>0</v>
      </c>
      <c r="I60" s="890">
        <f>SUMIF(修正!A57:A68,H60,修正!E57:E68)</f>
        <v>0</v>
      </c>
      <c r="J60" s="894"/>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f t="shared" si="17"/>
        <v>0</v>
      </c>
      <c r="C61" s="171">
        <f t="shared" si="16"/>
        <v>0</v>
      </c>
      <c r="D61" s="944">
        <v>0.25</v>
      </c>
      <c r="E61" s="217">
        <f>'数据-汇总表'!E12</f>
        <v>0</v>
      </c>
      <c r="F61" s="885">
        <f t="shared" si="15"/>
        <v>0</v>
      </c>
      <c r="G61" s="891" t="s">
        <v>1898</v>
      </c>
      <c r="H61" s="886">
        <f>IF(G61="商业",项目基本情况!B37,IF(G61="办公",项目基本情况!C37,IF(G61="住宅",项目基本情况!D37,项目基本情况!E37)))</f>
        <v>0</v>
      </c>
      <c r="I61" s="890">
        <f>SUMIF(修正!A57:A68,H61,修正!F57:F68)</f>
        <v>0</v>
      </c>
      <c r="J61" s="894"/>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f t="shared" si="17"/>
        <v>280</v>
      </c>
      <c r="C62" s="171">
        <f t="shared" si="16"/>
        <v>0.1</v>
      </c>
      <c r="D62" s="944">
        <v>0.25</v>
      </c>
      <c r="E62" s="217">
        <f>'数据-汇总表'!E13</f>
        <v>0</v>
      </c>
      <c r="F62" s="885">
        <f t="shared" si="15"/>
        <v>0</v>
      </c>
      <c r="G62" s="891" t="s">
        <v>1900</v>
      </c>
      <c r="H62" s="886" t="str">
        <f>IF(G62="商业",项目基本情况!B37,IF(G62="办公",项目基本情况!C37,IF(G62="住宅",项目基本情况!D37,项目基本情况!E37)))</f>
        <v>九级</v>
      </c>
      <c r="I62" s="890">
        <f>SUMIF(修正!A57:A68,H62,修正!G57:G68)</f>
        <v>0.1</v>
      </c>
      <c r="J62" s="894"/>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f t="shared" si="17"/>
        <v>0</v>
      </c>
      <c r="C63" s="171">
        <f t="shared" si="16"/>
        <v>0</v>
      </c>
      <c r="D63" s="944">
        <v>0.25</v>
      </c>
      <c r="E63" s="217">
        <f>'数据-汇总表'!E14</f>
        <v>0</v>
      </c>
      <c r="F63" s="885">
        <f t="shared" si="15"/>
        <v>0</v>
      </c>
      <c r="G63" s="1985" t="s">
        <v>1892</v>
      </c>
      <c r="H63" s="886">
        <f>项目基本情况!B37</f>
        <v>0</v>
      </c>
      <c r="I63" s="890">
        <f>SUMIF(修正!A57:A68,H63,修正!G57:G68)</f>
        <v>0</v>
      </c>
      <c r="J63" s="894"/>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f t="shared" si="17"/>
        <v>0</v>
      </c>
      <c r="C64" s="171">
        <f t="shared" si="16"/>
        <v>0</v>
      </c>
      <c r="D64" s="944">
        <v>0.25</v>
      </c>
      <c r="E64" s="217">
        <f>'数据-汇总表'!E15</f>
        <v>0</v>
      </c>
      <c r="F64" s="885">
        <f t="shared" si="15"/>
        <v>0</v>
      </c>
      <c r="G64" s="1986" t="s">
        <v>1896</v>
      </c>
      <c r="H64" s="896">
        <f>项目基本情况!C37</f>
        <v>0</v>
      </c>
      <c r="I64" s="892">
        <f>SUMIF(修正!A57:A68,H64,修正!G57:G68)</f>
        <v>0</v>
      </c>
      <c r="J64" s="895"/>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3643.6099999999992</v>
      </c>
      <c r="F65" s="645">
        <f>IF(B46="楼面地价",SUM(F56:F64),ROUND(C48*E65/10000,0))</f>
        <v>4084</v>
      </c>
      <c r="G65" s="716"/>
      <c r="H65" s="716"/>
      <c r="I65" s="716"/>
      <c r="J65" s="716"/>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9"/>
      <c r="B66" s="691"/>
      <c r="C66" s="692"/>
      <c r="D66" s="689"/>
      <c r="E66" s="689"/>
      <c r="F66" s="689"/>
      <c r="G66" s="689"/>
      <c r="H66" s="689"/>
      <c r="I66" s="689"/>
      <c r="J66" s="926"/>
      <c r="K66" s="887"/>
      <c r="L66" s="888"/>
      <c r="M66" s="926"/>
      <c r="N66" s="926"/>
      <c r="O66" s="926"/>
      <c r="P66" s="2723"/>
      <c r="Q66" s="2723"/>
      <c r="R66" s="2723"/>
      <c r="S66" s="2723"/>
      <c r="T66" s="2723"/>
      <c r="U66" s="2723"/>
      <c r="V66" s="2723"/>
      <c r="W66" s="2723"/>
      <c r="X66" s="2723"/>
      <c r="Y66" s="2723"/>
      <c r="Z66" s="2723"/>
      <c r="AA66" s="2723"/>
      <c r="AB66" s="2723"/>
      <c r="AC66" s="2723"/>
    </row>
    <row r="67" spans="1:29">
      <c r="A67" s="689"/>
      <c r="B67" s="691"/>
      <c r="C67" s="691" t="str">
        <f>YEAR(C7)&amp;"-"&amp;MONTH(C7)&amp;"-1"</f>
        <v>2024-10-1</v>
      </c>
      <c r="D67" s="691">
        <f>EDATE(C67,-3)</f>
        <v>45474</v>
      </c>
      <c r="E67" s="691">
        <f>EDATE(D67,-3)</f>
        <v>45383</v>
      </c>
      <c r="F67" s="691">
        <f t="shared" ref="F67:O67" si="18">EDATE(E67,-3)</f>
        <v>45292</v>
      </c>
      <c r="G67" s="691">
        <f t="shared" si="18"/>
        <v>45200</v>
      </c>
      <c r="H67" s="691">
        <f t="shared" si="18"/>
        <v>45108</v>
      </c>
      <c r="I67" s="691">
        <f t="shared" si="18"/>
        <v>45017</v>
      </c>
      <c r="J67" s="691">
        <f t="shared" si="18"/>
        <v>44927</v>
      </c>
      <c r="K67" s="691">
        <f t="shared" si="18"/>
        <v>44835</v>
      </c>
      <c r="L67" s="691">
        <f t="shared" si="18"/>
        <v>44743</v>
      </c>
      <c r="M67" s="691">
        <f t="shared" si="18"/>
        <v>44652</v>
      </c>
      <c r="N67" s="691">
        <f t="shared" si="18"/>
        <v>44562</v>
      </c>
      <c r="O67" s="691">
        <f t="shared" si="18"/>
        <v>44470</v>
      </c>
      <c r="P67" s="2723"/>
      <c r="Q67" s="2723"/>
      <c r="R67" s="2723"/>
      <c r="S67" s="2723"/>
      <c r="T67" s="2723"/>
      <c r="U67" s="2723"/>
      <c r="V67" s="2723"/>
      <c r="W67" s="2723"/>
      <c r="X67" s="2723"/>
      <c r="Y67" s="2723"/>
      <c r="Z67" s="2723"/>
      <c r="AA67" s="2723"/>
      <c r="AB67" s="2723"/>
      <c r="AC67" s="2723"/>
    </row>
    <row r="68" spans="1:29" ht="21.75" thickBot="1">
      <c r="A68" s="693" t="s">
        <v>1798</v>
      </c>
      <c r="B68" s="689"/>
      <c r="C68" s="694"/>
      <c r="D68" s="694"/>
      <c r="E68" s="694"/>
      <c r="F68" s="695"/>
      <c r="G68" s="695"/>
      <c r="H68" s="694"/>
      <c r="I68" s="694"/>
      <c r="J68" s="939"/>
      <c r="K68" s="940"/>
      <c r="L68" s="941"/>
      <c r="M68" s="939"/>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8"/>
      <c r="C69" s="1180" t="str">
        <f>YEAR(C67)&amp;"-"&amp;ROUNDUP(MONTH(C67)/3,0)</f>
        <v>2024-4</v>
      </c>
      <c r="D69" s="1180" t="str">
        <f>YEAR(D67)&amp;"-"&amp;ROUNDUP(MONTH(D67)/3,0)</f>
        <v>2024-3</v>
      </c>
      <c r="E69" s="1180" t="str">
        <f t="shared" ref="E69:O69" si="19">YEAR(E67)&amp;"-"&amp;ROUNDUP(MONTH(E67)/3,0)</f>
        <v>2024-2</v>
      </c>
      <c r="F69" s="1180" t="str">
        <f t="shared" si="19"/>
        <v>2024-1</v>
      </c>
      <c r="G69" s="1180" t="str">
        <f t="shared" si="19"/>
        <v>2023-4</v>
      </c>
      <c r="H69" s="1180" t="str">
        <f t="shared" si="19"/>
        <v>2023-3</v>
      </c>
      <c r="I69" s="1180" t="str">
        <f t="shared" si="19"/>
        <v>2023-2</v>
      </c>
      <c r="J69" s="1180" t="str">
        <f t="shared" si="19"/>
        <v>2023-1</v>
      </c>
      <c r="K69" s="1180" t="str">
        <f t="shared" si="19"/>
        <v>2022-4</v>
      </c>
      <c r="L69" s="1180" t="str">
        <f t="shared" si="19"/>
        <v>2022-3</v>
      </c>
      <c r="M69" s="1180" t="str">
        <f t="shared" si="19"/>
        <v>2022-2</v>
      </c>
      <c r="N69" s="1180" t="str">
        <f t="shared" si="19"/>
        <v>2022-1</v>
      </c>
      <c r="O69" s="1180" t="str">
        <f t="shared" si="19"/>
        <v>2021-4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v>100</v>
      </c>
      <c r="E70" s="544">
        <v>100</v>
      </c>
      <c r="F70" s="544">
        <v>100</v>
      </c>
      <c r="G70" s="544">
        <v>100</v>
      </c>
      <c r="H70" s="544">
        <v>100</v>
      </c>
      <c r="I70" s="544">
        <v>100</v>
      </c>
      <c r="J70" s="544">
        <v>100</v>
      </c>
      <c r="K70" s="544">
        <v>100</v>
      </c>
      <c r="L70" s="544">
        <v>100</v>
      </c>
      <c r="M70" s="544">
        <v>100</v>
      </c>
      <c r="N70" s="544">
        <v>100</v>
      </c>
      <c r="O70" s="544">
        <v>100</v>
      </c>
      <c r="P70" s="544">
        <v>100</v>
      </c>
      <c r="Q70" s="2659"/>
      <c r="R70" s="2659"/>
      <c r="S70" s="2659"/>
      <c r="T70" s="2659"/>
      <c r="U70" s="2659"/>
      <c r="V70" s="2659"/>
      <c r="W70" s="2659"/>
      <c r="X70" s="2659"/>
      <c r="Y70" s="2659"/>
      <c r="Z70" s="2659"/>
      <c r="AA70" s="2659"/>
      <c r="AB70" s="2659"/>
      <c r="AC70" s="2659"/>
    </row>
    <row r="71" spans="1:29" s="108" customFormat="1" ht="15.75" thickBot="1">
      <c r="A71" s="464" t="s">
        <v>1716</v>
      </c>
      <c r="B71" s="465"/>
      <c r="C71" s="466">
        <v>0</v>
      </c>
      <c r="D71" s="467"/>
      <c r="E71" s="467"/>
      <c r="F71" s="467"/>
      <c r="G71" s="467"/>
      <c r="H71" s="467"/>
      <c r="I71" s="467"/>
      <c r="J71" s="467"/>
      <c r="K71" s="467"/>
      <c r="L71" s="467"/>
      <c r="M71" s="468"/>
      <c r="N71" s="467"/>
      <c r="O71" s="942"/>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3452" t="s">
        <v>3888</v>
      </c>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v>100</v>
      </c>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0（含）-0.5</v>
      </c>
      <c r="D78" s="496" t="str">
        <f t="shared" ref="D78:L78" si="20">D79&amp;"（含）"&amp;"-"&amp;E79</f>
        <v>0.5（含）-1</v>
      </c>
      <c r="E78" s="496" t="str">
        <f t="shared" si="20"/>
        <v>1（含）-1.5</v>
      </c>
      <c r="F78" s="496" t="str">
        <f t="shared" si="20"/>
        <v>1.5（含）-2</v>
      </c>
      <c r="G78" s="496" t="str">
        <f t="shared" si="20"/>
        <v>2（含）-2.5</v>
      </c>
      <c r="H78" s="496" t="str">
        <f t="shared" si="20"/>
        <v>2.5（含）-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3466">
        <v>0</v>
      </c>
      <c r="D79" s="3466">
        <v>0.5</v>
      </c>
      <c r="E79" s="3466">
        <v>1</v>
      </c>
      <c r="F79" s="3466">
        <v>1.5</v>
      </c>
      <c r="G79" s="3466">
        <v>2</v>
      </c>
      <c r="H79" s="3466">
        <v>2.5</v>
      </c>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t="str">
        <f>B13</f>
        <v>限价</v>
      </c>
      <c r="C83" s="3467">
        <v>32000</v>
      </c>
      <c r="D83" s="3467">
        <v>30000</v>
      </c>
      <c r="E83" s="503">
        <v>28380</v>
      </c>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3468">
        <v>100</v>
      </c>
      <c r="D84" s="3468">
        <v>99</v>
      </c>
      <c r="E84" s="509">
        <v>98</v>
      </c>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98</v>
      </c>
      <c r="E88" s="493">
        <f>D88-$K15</f>
        <v>96</v>
      </c>
      <c r="F88" s="493">
        <f>E88-$K15</f>
        <v>94</v>
      </c>
      <c r="G88" s="493">
        <f>F88-$K15</f>
        <v>92</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98</v>
      </c>
      <c r="E94" s="493">
        <f>D94-$K21</f>
        <v>96</v>
      </c>
      <c r="F94" s="493">
        <f>E94-$K21</f>
        <v>94</v>
      </c>
      <c r="G94" s="493">
        <f>F94-$K21</f>
        <v>92</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99</v>
      </c>
      <c r="E96" s="493">
        <f>D96-$K23</f>
        <v>98</v>
      </c>
      <c r="F96" s="493">
        <f>E96-$K23</f>
        <v>97</v>
      </c>
      <c r="G96" s="493">
        <f>F96-$K23</f>
        <v>96</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ht="28.5">
      <c r="A115" s="476" t="s">
        <v>1694</v>
      </c>
      <c r="B115" s="477" t="s">
        <v>1913</v>
      </c>
      <c r="C115" s="478" t="str">
        <f>C116&amp;"(含)"&amp;"-"&amp;D116</f>
        <v>0(含)-30000</v>
      </c>
      <c r="D115" s="478" t="str">
        <f t="shared" ref="D115:M115" si="25">D116&amp;"(含)"&amp;"-"&amp;E116</f>
        <v>30000(含)-60000</v>
      </c>
      <c r="E115" s="478" t="str">
        <f t="shared" si="25"/>
        <v>60000(含)-90000</v>
      </c>
      <c r="F115" s="478" t="str">
        <f t="shared" si="25"/>
        <v>90000(含)-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6">
        <v>0</v>
      </c>
      <c r="D116" s="6">
        <v>30000</v>
      </c>
      <c r="E116" s="6">
        <v>60000</v>
      </c>
      <c r="F116" s="6">
        <v>90000</v>
      </c>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3470">
        <v>100</v>
      </c>
      <c r="D117" s="3470">
        <v>101</v>
      </c>
      <c r="E117" s="3471">
        <v>102</v>
      </c>
      <c r="F117" s="3471">
        <v>103</v>
      </c>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3472" t="s">
        <v>3890</v>
      </c>
      <c r="D118" s="3473"/>
      <c r="E118" s="3473"/>
      <c r="F118" s="347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99</v>
      </c>
      <c r="E119" s="493">
        <f t="shared" si="26"/>
        <v>98</v>
      </c>
      <c r="F119" s="493">
        <f t="shared" si="26"/>
        <v>97</v>
      </c>
      <c r="G119" s="493">
        <f t="shared" si="26"/>
        <v>96</v>
      </c>
      <c r="H119" s="493">
        <f t="shared" si="26"/>
        <v>95</v>
      </c>
      <c r="I119" s="493">
        <f t="shared" si="26"/>
        <v>94</v>
      </c>
      <c r="J119" s="493">
        <f t="shared" si="26"/>
        <v>93</v>
      </c>
      <c r="K119" s="493">
        <f t="shared" si="26"/>
        <v>92</v>
      </c>
      <c r="L119" s="493">
        <f t="shared" si="26"/>
        <v>91</v>
      </c>
      <c r="M119" s="494">
        <f t="shared" si="26"/>
        <v>90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99</v>
      </c>
      <c r="E121" s="493">
        <f t="shared" si="27"/>
        <v>98</v>
      </c>
      <c r="F121" s="493">
        <f t="shared" si="27"/>
        <v>97</v>
      </c>
      <c r="G121" s="493">
        <f t="shared" si="27"/>
        <v>96</v>
      </c>
      <c r="H121" s="493">
        <f t="shared" si="27"/>
        <v>95</v>
      </c>
      <c r="I121" s="493">
        <f t="shared" si="27"/>
        <v>94</v>
      </c>
      <c r="J121" s="493">
        <f t="shared" si="27"/>
        <v>93</v>
      </c>
      <c r="K121" s="493">
        <f t="shared" si="27"/>
        <v>92</v>
      </c>
      <c r="L121" s="493">
        <f t="shared" si="27"/>
        <v>91</v>
      </c>
      <c r="M121" s="494">
        <f t="shared" si="27"/>
        <v>90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3474" t="s">
        <v>3891</v>
      </c>
      <c r="D122" s="3474" t="s">
        <v>3892</v>
      </c>
      <c r="E122" s="3474" t="s">
        <v>3893</v>
      </c>
      <c r="F122" s="3474" t="s">
        <v>3894</v>
      </c>
      <c r="G122" s="3474" t="s">
        <v>3895</v>
      </c>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99</v>
      </c>
      <c r="E123" s="493">
        <f t="shared" si="28"/>
        <v>98</v>
      </c>
      <c r="F123" s="493">
        <f t="shared" si="28"/>
        <v>97</v>
      </c>
      <c r="G123" s="493">
        <f t="shared" si="28"/>
        <v>96</v>
      </c>
      <c r="H123" s="493">
        <f t="shared" si="28"/>
        <v>95</v>
      </c>
      <c r="I123" s="493">
        <f t="shared" si="28"/>
        <v>94</v>
      </c>
      <c r="J123" s="493">
        <f t="shared" si="28"/>
        <v>93</v>
      </c>
      <c r="K123" s="493">
        <f t="shared" si="28"/>
        <v>92</v>
      </c>
      <c r="L123" s="493">
        <f t="shared" si="28"/>
        <v>91</v>
      </c>
      <c r="M123" s="494">
        <f t="shared" si="28"/>
        <v>90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3453" t="s">
        <v>3896</v>
      </c>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99</v>
      </c>
      <c r="E125" s="493">
        <f t="shared" si="29"/>
        <v>98</v>
      </c>
      <c r="F125" s="493">
        <f t="shared" si="29"/>
        <v>97</v>
      </c>
      <c r="G125" s="493">
        <f t="shared" si="29"/>
        <v>96</v>
      </c>
      <c r="H125" s="493">
        <f t="shared" si="29"/>
        <v>95</v>
      </c>
      <c r="I125" s="493">
        <f t="shared" si="29"/>
        <v>94</v>
      </c>
      <c r="J125" s="493">
        <f t="shared" si="29"/>
        <v>93</v>
      </c>
      <c r="K125" s="493">
        <f t="shared" si="29"/>
        <v>92</v>
      </c>
      <c r="L125" s="493">
        <f t="shared" si="29"/>
        <v>91</v>
      </c>
      <c r="M125" s="494">
        <f t="shared" si="29"/>
        <v>90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55" priority="18" stopIfTrue="1" operator="containsText" text="超过">
      <formula>NOT(ISERROR(SEARCH("超过",F51)))</formula>
    </cfRule>
  </conditionalFormatting>
  <conditionalFormatting sqref="J53">
    <cfRule type="containsText" dxfId="154" priority="17" stopIfTrue="1" operator="containsText" text="超过">
      <formula>NOT(ISERROR(SEARCH("超过",J53)))</formula>
    </cfRule>
  </conditionalFormatting>
  <conditionalFormatting sqref="H53">
    <cfRule type="containsText" dxfId="153" priority="16" stopIfTrue="1" operator="containsText" text="超过">
      <formula>NOT(ISERROR(SEARCH("超过",H53)))</formula>
    </cfRule>
  </conditionalFormatting>
  <conditionalFormatting sqref="F53">
    <cfRule type="containsText" dxfId="152" priority="15" stopIfTrue="1" operator="containsText" text="超过">
      <formula>NOT(ISERROR(SEARCH("超过",F53)))</formula>
    </cfRule>
  </conditionalFormatting>
  <conditionalFormatting sqref="F52 H52 J52">
    <cfRule type="containsText" dxfId="151" priority="14" stopIfTrue="1" operator="containsText" text="超过">
      <formula>NOT(ISERROR(SEARCH("超过",F52)))</formula>
    </cfRule>
  </conditionalFormatting>
  <conditionalFormatting sqref="E51">
    <cfRule type="expression" dxfId="150" priority="13" stopIfTrue="1">
      <formula>$F$51="超过30%"</formula>
    </cfRule>
  </conditionalFormatting>
  <conditionalFormatting sqref="G53">
    <cfRule type="expression" dxfId="149" priority="12" stopIfTrue="1">
      <formula>$H$53="超过30%"</formula>
    </cfRule>
  </conditionalFormatting>
  <conditionalFormatting sqref="E52">
    <cfRule type="expression" dxfId="148" priority="11" stopIfTrue="1">
      <formula>$F$52="超过20%"</formula>
    </cfRule>
  </conditionalFormatting>
  <conditionalFormatting sqref="E53">
    <cfRule type="expression" dxfId="147" priority="10" stopIfTrue="1">
      <formula>$F$53="超过30%"</formula>
    </cfRule>
  </conditionalFormatting>
  <conditionalFormatting sqref="G51">
    <cfRule type="expression" dxfId="146" priority="9" stopIfTrue="1">
      <formula>$H$53+$H$51="超过30%"</formula>
    </cfRule>
  </conditionalFormatting>
  <conditionalFormatting sqref="G52">
    <cfRule type="expression" dxfId="145" priority="8" stopIfTrue="1">
      <formula>$H$52="超过20%"</formula>
    </cfRule>
  </conditionalFormatting>
  <conditionalFormatting sqref="I51">
    <cfRule type="expression" dxfId="144" priority="7" stopIfTrue="1">
      <formula>$J$51="超过30%"</formula>
    </cfRule>
  </conditionalFormatting>
  <conditionalFormatting sqref="I52">
    <cfRule type="expression" dxfId="143" priority="6" stopIfTrue="1">
      <formula>$J$52="超过20%"</formula>
    </cfRule>
  </conditionalFormatting>
  <conditionalFormatting sqref="I53">
    <cfRule type="expression" dxfId="142" priority="5" stopIfTrue="1">
      <formula>$J$53="超过30%"</formula>
    </cfRule>
  </conditionalFormatting>
  <conditionalFormatting sqref="F47">
    <cfRule type="expression" dxfId="141" priority="4">
      <formula>$D$47="简单平均"</formula>
    </cfRule>
  </conditionalFormatting>
  <conditionalFormatting sqref="H47">
    <cfRule type="expression" dxfId="140" priority="3">
      <formula>$D$47="简单平均"</formula>
    </cfRule>
  </conditionalFormatting>
  <conditionalFormatting sqref="J47">
    <cfRule type="expression" dxfId="139" priority="2">
      <formula>$D$47="简单平均"</formula>
    </cfRule>
  </conditionalFormatting>
  <conditionalFormatting sqref="F7:F45 H7:H45 J7:J45">
    <cfRule type="cellIs" dxfId="13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6"/>
  <sheetViews>
    <sheetView topLeftCell="S1" workbookViewId="0">
      <selection activeCell="BD6" sqref="BD6"/>
    </sheetView>
  </sheetViews>
  <sheetFormatPr defaultRowHeight="12"/>
  <cols>
    <col min="1" max="1" width="28.125" style="3457" customWidth="1"/>
    <col min="2" max="3" width="20" style="3457" hidden="1" customWidth="1"/>
    <col min="4" max="4" width="6.25" style="3457" customWidth="1"/>
    <col min="5" max="5" width="7.875" style="3457" hidden="1" customWidth="1"/>
    <col min="6" max="6" width="20" style="3457" hidden="1" customWidth="1"/>
    <col min="7" max="7" width="8.875" style="3457" customWidth="1"/>
    <col min="8" max="8" width="20" style="3457" hidden="1" customWidth="1"/>
    <col min="9" max="9" width="11.75" style="3457" customWidth="1"/>
    <col min="10" max="10" width="10.125" style="3457" customWidth="1"/>
    <col min="11" max="14" width="20" style="3457" hidden="1" customWidth="1"/>
    <col min="15" max="15" width="5.875" style="3457" customWidth="1"/>
    <col min="16" max="16" width="7" style="3457" customWidth="1"/>
    <col min="17" max="18" width="20" style="3457" hidden="1" customWidth="1"/>
    <col min="19" max="19" width="10.625" style="3457" customWidth="1"/>
    <col min="20" max="20" width="20" style="3457" hidden="1" customWidth="1"/>
    <col min="21" max="21" width="7.875" style="3457" customWidth="1"/>
    <col min="22" max="26" width="20" style="3457" hidden="1" customWidth="1"/>
    <col min="27" max="27" width="5.75" style="3457" hidden="1" customWidth="1"/>
    <col min="28" max="28" width="7.75" style="3457" hidden="1" customWidth="1"/>
    <col min="29" max="32" width="20" style="3457" hidden="1" customWidth="1"/>
    <col min="33" max="33" width="9.375" style="3457" customWidth="1"/>
    <col min="34" max="35" width="20" style="3457" hidden="1" customWidth="1"/>
    <col min="36" max="36" width="9.625" style="3457" customWidth="1"/>
    <col min="37" max="42" width="20" style="3457" hidden="1" customWidth="1"/>
    <col min="43" max="43" width="8.875" style="3457" customWidth="1"/>
    <col min="44" max="44" width="11.875" style="3457" hidden="1" customWidth="1"/>
    <col min="45" max="45" width="10.375" style="3457" customWidth="1"/>
    <col min="46" max="46" width="20" style="3457" hidden="1" customWidth="1"/>
    <col min="47" max="47" width="12.375" style="3457" customWidth="1"/>
    <col min="48" max="48" width="20" style="3457" hidden="1" customWidth="1"/>
    <col min="49" max="49" width="11.25" style="3457" customWidth="1"/>
    <col min="50" max="51" width="20" style="3457" hidden="1" customWidth="1"/>
    <col min="52" max="52" width="10.125" style="3457" customWidth="1"/>
    <col min="53" max="53" width="14.75" style="3457" customWidth="1"/>
    <col min="54" max="54" width="20" style="3457" hidden="1" customWidth="1"/>
    <col min="55" max="55" width="13.5" style="3457" customWidth="1"/>
    <col min="56" max="56" width="11.75" style="3457" customWidth="1"/>
    <col min="57" max="59" width="20" style="3457" hidden="1" customWidth="1"/>
    <col min="60" max="60" width="10.875" style="3457" customWidth="1"/>
    <col min="61" max="61" width="20" style="3457" customWidth="1"/>
    <col min="62" max="65" width="20" style="3457" hidden="1" customWidth="1"/>
    <col min="66" max="66" width="20" style="3457" customWidth="1"/>
    <col min="67" max="16384" width="9" style="3457"/>
  </cols>
  <sheetData>
    <row r="1" spans="1:65">
      <c r="A1" s="3457" t="s">
        <v>3498</v>
      </c>
      <c r="B1" s="3457" t="s">
        <v>3499</v>
      </c>
      <c r="C1" s="3457" t="s">
        <v>3500</v>
      </c>
      <c r="D1" s="3457" t="s">
        <v>3501</v>
      </c>
      <c r="E1" s="3457" t="s">
        <v>3502</v>
      </c>
      <c r="F1" s="3457" t="s">
        <v>3503</v>
      </c>
      <c r="G1" s="3457" t="s">
        <v>3504</v>
      </c>
      <c r="H1" s="3457" t="s">
        <v>3505</v>
      </c>
      <c r="I1" s="3457" t="s">
        <v>3506</v>
      </c>
      <c r="J1" s="3457" t="s">
        <v>3507</v>
      </c>
      <c r="K1" s="3457" t="s">
        <v>3508</v>
      </c>
      <c r="L1" s="3457" t="s">
        <v>3509</v>
      </c>
      <c r="M1" s="3457" t="s">
        <v>3510</v>
      </c>
      <c r="N1" s="3457" t="s">
        <v>3511</v>
      </c>
      <c r="O1" s="3457" t="s">
        <v>3512</v>
      </c>
      <c r="P1" s="3457" t="s">
        <v>3513</v>
      </c>
      <c r="Q1" s="3457" t="s">
        <v>3514</v>
      </c>
      <c r="R1" s="3457" t="s">
        <v>3515</v>
      </c>
      <c r="S1" s="3457" t="s">
        <v>3516</v>
      </c>
      <c r="T1" s="3457" t="s">
        <v>3517</v>
      </c>
      <c r="U1" s="3457" t="s">
        <v>3518</v>
      </c>
      <c r="V1" s="3457" t="s">
        <v>3519</v>
      </c>
      <c r="W1" s="3457" t="s">
        <v>3520</v>
      </c>
      <c r="X1" s="3457" t="s">
        <v>3521</v>
      </c>
      <c r="Y1" s="3457" t="s">
        <v>3522</v>
      </c>
      <c r="Z1" s="3457" t="s">
        <v>3523</v>
      </c>
      <c r="AA1" s="3457" t="s">
        <v>3524</v>
      </c>
      <c r="AB1" s="3457" t="s">
        <v>3525</v>
      </c>
      <c r="AC1" s="3457" t="s">
        <v>3526</v>
      </c>
      <c r="AD1" s="3457" t="s">
        <v>3527</v>
      </c>
      <c r="AE1" s="3457" t="s">
        <v>3528</v>
      </c>
      <c r="AF1" s="3457" t="s">
        <v>3529</v>
      </c>
      <c r="AG1" s="3457" t="s">
        <v>3530</v>
      </c>
      <c r="AH1" s="3457" t="s">
        <v>3531</v>
      </c>
      <c r="AI1" s="3457" t="s">
        <v>3532</v>
      </c>
      <c r="AJ1" s="3457" t="s">
        <v>3533</v>
      </c>
      <c r="AK1" s="3457" t="s">
        <v>3534</v>
      </c>
      <c r="AL1" s="3457" t="s">
        <v>3535</v>
      </c>
      <c r="AM1" s="3457" t="s">
        <v>3536</v>
      </c>
      <c r="AN1" s="3457" t="s">
        <v>3537</v>
      </c>
      <c r="AO1" s="3457" t="s">
        <v>3538</v>
      </c>
      <c r="AP1" s="3457" t="s">
        <v>3539</v>
      </c>
      <c r="AQ1" s="3457" t="s">
        <v>3540</v>
      </c>
      <c r="AR1" s="3457" t="s">
        <v>3541</v>
      </c>
      <c r="AS1" s="3457" t="s">
        <v>3542</v>
      </c>
      <c r="AT1" s="3457" t="s">
        <v>3543</v>
      </c>
      <c r="AU1" s="3457" t="s">
        <v>3544</v>
      </c>
      <c r="AV1" s="3457" t="s">
        <v>3545</v>
      </c>
      <c r="AW1" s="3457" t="s">
        <v>3546</v>
      </c>
      <c r="AX1" s="3457" t="s">
        <v>3547</v>
      </c>
      <c r="AY1" s="3457" t="s">
        <v>3548</v>
      </c>
      <c r="AZ1" s="3457" t="s">
        <v>3549</v>
      </c>
      <c r="BA1" s="3457" t="s">
        <v>3550</v>
      </c>
      <c r="BB1" s="3457" t="s">
        <v>3551</v>
      </c>
      <c r="BC1" s="3457" t="s">
        <v>3552</v>
      </c>
      <c r="BD1" s="3457" t="s">
        <v>3553</v>
      </c>
      <c r="BE1" s="3457" t="s">
        <v>3554</v>
      </c>
      <c r="BF1" s="3457" t="s">
        <v>3555</v>
      </c>
      <c r="BG1" s="3457" t="s">
        <v>3556</v>
      </c>
      <c r="BH1" s="3457" t="s">
        <v>3557</v>
      </c>
      <c r="BI1" s="3457" t="s">
        <v>3558</v>
      </c>
      <c r="BJ1" s="3457" t="s">
        <v>3559</v>
      </c>
      <c r="BK1" s="3457" t="s">
        <v>3560</v>
      </c>
      <c r="BL1" s="3457" t="s">
        <v>3561</v>
      </c>
      <c r="BM1" s="3457" t="s">
        <v>3562</v>
      </c>
    </row>
    <row r="2" spans="1:65" hidden="1">
      <c r="A2" s="3457" t="s">
        <v>3563</v>
      </c>
      <c r="B2" s="3457" t="s">
        <v>3564</v>
      </c>
      <c r="C2" s="3457" t="s">
        <v>3565</v>
      </c>
      <c r="D2" s="3457" t="s">
        <v>3566</v>
      </c>
      <c r="E2" s="3457" t="s">
        <v>3567</v>
      </c>
      <c r="F2" s="3457" t="s">
        <v>3568</v>
      </c>
      <c r="G2" s="3457" t="s">
        <v>3569</v>
      </c>
      <c r="H2" s="3457" t="s">
        <v>3570</v>
      </c>
      <c r="I2" s="3457">
        <v>134040.01999999999</v>
      </c>
      <c r="J2" s="3457">
        <v>149100</v>
      </c>
      <c r="K2" s="3457" t="s">
        <v>3571</v>
      </c>
      <c r="L2" s="3457" t="s">
        <v>3571</v>
      </c>
      <c r="M2" s="3457">
        <v>0</v>
      </c>
      <c r="N2" s="3457">
        <v>0</v>
      </c>
      <c r="O2" s="3457" t="s">
        <v>3572</v>
      </c>
      <c r="P2" s="3457" t="s">
        <v>3573</v>
      </c>
      <c r="Q2" s="3457" t="s">
        <v>3574</v>
      </c>
      <c r="R2" s="3457" t="s">
        <v>3575</v>
      </c>
      <c r="S2" s="3457" t="s">
        <v>3576</v>
      </c>
      <c r="T2" s="3457">
        <v>1.1100000000000001</v>
      </c>
      <c r="U2" s="3457" t="s">
        <v>3571</v>
      </c>
      <c r="V2" s="3457" t="s">
        <v>3571</v>
      </c>
      <c r="W2" s="3457">
        <v>15</v>
      </c>
      <c r="X2" s="3457" t="s">
        <v>3577</v>
      </c>
      <c r="Y2" s="3457" t="s">
        <v>3578</v>
      </c>
      <c r="Z2" s="3457" t="s">
        <v>3579</v>
      </c>
      <c r="AA2" s="3457" t="s">
        <v>3580</v>
      </c>
      <c r="AB2" s="3457" t="s">
        <v>3571</v>
      </c>
      <c r="AC2" s="3457" t="s">
        <v>3571</v>
      </c>
      <c r="AD2" s="3458">
        <v>45343.000497685185</v>
      </c>
      <c r="AE2" s="3458">
        <v>45363.000497685185</v>
      </c>
      <c r="AF2" s="3458">
        <v>45377.000497685185</v>
      </c>
      <c r="AG2" s="3458">
        <v>45377.000497685185</v>
      </c>
      <c r="AH2" s="3457" t="s">
        <v>3581</v>
      </c>
      <c r="AI2" s="3457" t="s">
        <v>3582</v>
      </c>
      <c r="AJ2" s="3457" t="s">
        <v>3583</v>
      </c>
      <c r="AK2" s="3457" t="s">
        <v>3584</v>
      </c>
      <c r="AL2" s="3457" t="s">
        <v>3585</v>
      </c>
      <c r="AM2" s="3457" t="s">
        <v>3586</v>
      </c>
      <c r="AN2" s="3457">
        <v>205100</v>
      </c>
      <c r="AO2" s="3457">
        <v>42000</v>
      </c>
      <c r="AP2" s="3458">
        <v>45376.708831018521</v>
      </c>
      <c r="AQ2" s="3457">
        <v>205100</v>
      </c>
      <c r="AR2" s="3457">
        <v>15301.4</v>
      </c>
      <c r="AS2" s="3457">
        <v>15301.4</v>
      </c>
      <c r="AT2" s="3457">
        <v>1020.09</v>
      </c>
      <c r="AU2" s="3457">
        <v>1020.09</v>
      </c>
      <c r="AV2" s="3457">
        <v>13756</v>
      </c>
      <c r="AW2" s="3457">
        <v>13756</v>
      </c>
      <c r="AX2" s="3457" t="s">
        <v>3571</v>
      </c>
      <c r="AY2" s="3457" t="s">
        <v>3571</v>
      </c>
      <c r="AZ2" s="3457">
        <v>0</v>
      </c>
      <c r="BA2" s="3457">
        <v>215355</v>
      </c>
      <c r="BB2" s="3457" t="s">
        <v>3587</v>
      </c>
      <c r="BC2" s="3457">
        <v>44000</v>
      </c>
      <c r="BD2" s="3457">
        <v>44000</v>
      </c>
      <c r="BE2" s="3457">
        <v>14444</v>
      </c>
      <c r="BF2" s="3457">
        <v>5</v>
      </c>
      <c r="BG2" s="3457">
        <v>16845</v>
      </c>
      <c r="BH2" s="3457" t="s">
        <v>3588</v>
      </c>
      <c r="BI2" s="3457" t="s">
        <v>3589</v>
      </c>
      <c r="BJ2" s="3457" t="s">
        <v>3590</v>
      </c>
      <c r="BK2" s="3457" t="s">
        <v>3591</v>
      </c>
      <c r="BL2" s="3457" t="s">
        <v>3571</v>
      </c>
      <c r="BM2" s="3457" t="s">
        <v>3571</v>
      </c>
    </row>
    <row r="3" spans="1:65" hidden="1">
      <c r="A3" s="3457" t="s">
        <v>3592</v>
      </c>
      <c r="B3" s="3457" t="s">
        <v>3564</v>
      </c>
      <c r="C3" s="3457" t="s">
        <v>3565</v>
      </c>
      <c r="D3" s="3457" t="s">
        <v>3566</v>
      </c>
      <c r="E3" s="3457" t="s">
        <v>3567</v>
      </c>
      <c r="F3" s="3457" t="s">
        <v>3593</v>
      </c>
      <c r="G3" s="3457" t="s">
        <v>3593</v>
      </c>
      <c r="H3" s="3457" t="s">
        <v>3594</v>
      </c>
      <c r="I3" s="3457">
        <v>133625.32999999999</v>
      </c>
      <c r="J3" s="3457">
        <v>146200</v>
      </c>
      <c r="K3" s="3457" t="s">
        <v>3571</v>
      </c>
      <c r="L3" s="3457" t="s">
        <v>3571</v>
      </c>
      <c r="M3" s="3457">
        <v>0</v>
      </c>
      <c r="N3" s="3457">
        <v>0</v>
      </c>
      <c r="O3" s="3457" t="s">
        <v>3595</v>
      </c>
      <c r="P3" s="3457" t="s">
        <v>3596</v>
      </c>
      <c r="Q3" s="3457" t="s">
        <v>3597</v>
      </c>
      <c r="R3" s="3457" t="s">
        <v>3598</v>
      </c>
      <c r="S3" s="3457" t="s">
        <v>3599</v>
      </c>
      <c r="T3" s="3457">
        <v>1.0900000000000001</v>
      </c>
      <c r="U3" s="3457" t="s">
        <v>3571</v>
      </c>
      <c r="V3" s="3457" t="s">
        <v>3571</v>
      </c>
      <c r="W3" s="3457" t="s">
        <v>3600</v>
      </c>
      <c r="X3" s="3457" t="s">
        <v>3577</v>
      </c>
      <c r="Y3" s="3457" t="s">
        <v>3578</v>
      </c>
      <c r="Z3" s="3457" t="s">
        <v>3571</v>
      </c>
      <c r="AA3" s="3457" t="s">
        <v>3571</v>
      </c>
      <c r="AB3" s="3457" t="s">
        <v>3571</v>
      </c>
      <c r="AC3" s="3457" t="s">
        <v>3571</v>
      </c>
      <c r="AD3" s="3458">
        <v>45197.000497685185</v>
      </c>
      <c r="AE3" s="3458">
        <v>45217.000497685185</v>
      </c>
      <c r="AF3" s="3458">
        <v>45231.000497685185</v>
      </c>
      <c r="AG3" s="3458">
        <v>45231.000497685185</v>
      </c>
      <c r="AH3" s="3457" t="s">
        <v>3581</v>
      </c>
      <c r="AI3" s="3457" t="s">
        <v>3582</v>
      </c>
      <c r="AJ3" s="3457" t="s">
        <v>3601</v>
      </c>
      <c r="AK3" s="3457" t="s">
        <v>3584</v>
      </c>
      <c r="AL3" s="3457" t="s">
        <v>3585</v>
      </c>
      <c r="AM3" s="3457" t="s">
        <v>3586</v>
      </c>
      <c r="AN3" s="3457">
        <v>241000</v>
      </c>
      <c r="AO3" s="3457">
        <v>50000</v>
      </c>
      <c r="AP3" s="3458">
        <v>45231.625497685185</v>
      </c>
      <c r="AQ3" s="3457">
        <v>241000</v>
      </c>
      <c r="AR3" s="3457">
        <v>18035.5</v>
      </c>
      <c r="AS3" s="3457">
        <v>18035.5</v>
      </c>
      <c r="AT3" s="3457">
        <v>1202.3699999999999</v>
      </c>
      <c r="AU3" s="3457">
        <v>1202.3699999999999</v>
      </c>
      <c r="AV3" s="3457">
        <v>16484</v>
      </c>
      <c r="AW3" s="3457">
        <v>16484</v>
      </c>
      <c r="AX3" s="3457" t="s">
        <v>3571</v>
      </c>
      <c r="AY3" s="3457" t="s">
        <v>3571</v>
      </c>
      <c r="AZ3" s="3457">
        <v>0</v>
      </c>
      <c r="BA3" s="3457">
        <v>253050</v>
      </c>
      <c r="BB3" s="3457" t="s">
        <v>3587</v>
      </c>
      <c r="BC3" s="3457">
        <v>42000</v>
      </c>
      <c r="BD3" s="3457">
        <v>42000</v>
      </c>
      <c r="BE3" s="3457">
        <v>17308</v>
      </c>
      <c r="BF3" s="3457">
        <v>5</v>
      </c>
      <c r="BG3" s="3457" t="s">
        <v>3571</v>
      </c>
      <c r="BH3" s="3457" t="s">
        <v>3602</v>
      </c>
      <c r="BI3" s="3457" t="s">
        <v>3603</v>
      </c>
      <c r="BJ3" s="3457" t="s">
        <v>3604</v>
      </c>
      <c r="BK3" s="3457" t="s">
        <v>3605</v>
      </c>
      <c r="BL3" s="3457" t="s">
        <v>3571</v>
      </c>
      <c r="BM3" s="3457" t="s">
        <v>3571</v>
      </c>
    </row>
    <row r="4" spans="1:65" hidden="1">
      <c r="A4" s="3457" t="s">
        <v>3606</v>
      </c>
      <c r="B4" s="3457" t="s">
        <v>3564</v>
      </c>
      <c r="C4" s="3457" t="s">
        <v>3565</v>
      </c>
      <c r="D4" s="3457" t="s">
        <v>3607</v>
      </c>
      <c r="E4" s="3457" t="s">
        <v>3608</v>
      </c>
      <c r="F4" s="3457" t="s">
        <v>3609</v>
      </c>
      <c r="G4" s="3457" t="s">
        <v>3609</v>
      </c>
      <c r="H4" s="3457" t="s">
        <v>3610</v>
      </c>
      <c r="I4" s="3457">
        <v>30880.23</v>
      </c>
      <c r="J4" s="3457">
        <v>55584.41</v>
      </c>
      <c r="K4" s="3457" t="s">
        <v>3571</v>
      </c>
      <c r="L4" s="3457" t="s">
        <v>3571</v>
      </c>
      <c r="M4" s="3457">
        <v>0</v>
      </c>
      <c r="N4" s="3457">
        <v>0</v>
      </c>
      <c r="O4" s="3457" t="s">
        <v>3595</v>
      </c>
      <c r="P4" s="3457" t="s">
        <v>3611</v>
      </c>
      <c r="Q4" s="3457" t="s">
        <v>3597</v>
      </c>
      <c r="R4" s="3457" t="s">
        <v>3612</v>
      </c>
      <c r="S4" s="3457">
        <v>1.8</v>
      </c>
      <c r="T4" s="3457">
        <v>1.8</v>
      </c>
      <c r="U4" s="3457" t="s">
        <v>3571</v>
      </c>
      <c r="V4" s="3457" t="s">
        <v>3571</v>
      </c>
      <c r="W4" s="3457" t="s">
        <v>3613</v>
      </c>
      <c r="X4" s="3457" t="s">
        <v>3577</v>
      </c>
      <c r="Y4" s="3457" t="s">
        <v>3578</v>
      </c>
      <c r="Z4" s="3457" t="s">
        <v>3579</v>
      </c>
      <c r="AA4" s="3457" t="s">
        <v>3571</v>
      </c>
      <c r="AB4" s="3457" t="s">
        <v>3571</v>
      </c>
      <c r="AC4" s="3457" t="s">
        <v>3571</v>
      </c>
      <c r="AD4" s="3458">
        <v>45169.000497685185</v>
      </c>
      <c r="AE4" s="3458">
        <v>45189.000497685185</v>
      </c>
      <c r="AF4" s="3458">
        <v>45209.000497685185</v>
      </c>
      <c r="AG4" s="3458">
        <v>45209.000497685185</v>
      </c>
      <c r="AH4" s="3457" t="s">
        <v>3581</v>
      </c>
      <c r="AI4" s="3457" t="s">
        <v>3582</v>
      </c>
      <c r="AJ4" s="3457" t="s">
        <v>3614</v>
      </c>
      <c r="AK4" s="3457" t="s">
        <v>3615</v>
      </c>
      <c r="AL4" s="3457" t="s">
        <v>3585</v>
      </c>
      <c r="AM4" s="3457" t="s">
        <v>3586</v>
      </c>
      <c r="AN4" s="3457">
        <v>49000</v>
      </c>
      <c r="AO4" s="3457">
        <v>10000</v>
      </c>
      <c r="AP4" s="3458">
        <v>45203.625497685185</v>
      </c>
      <c r="AQ4" s="3457">
        <v>49000</v>
      </c>
      <c r="AR4" s="3457">
        <v>15867.75</v>
      </c>
      <c r="AS4" s="3457">
        <v>15867.75</v>
      </c>
      <c r="AT4" s="3457">
        <v>1057.8499999999999</v>
      </c>
      <c r="AU4" s="3457">
        <v>1057.8499999999999</v>
      </c>
      <c r="AV4" s="3457">
        <v>8815</v>
      </c>
      <c r="AW4" s="3457">
        <v>8815</v>
      </c>
      <c r="AX4" s="3457" t="s">
        <v>3571</v>
      </c>
      <c r="AY4" s="3457" t="s">
        <v>3571</v>
      </c>
      <c r="AZ4" s="3457">
        <v>0</v>
      </c>
      <c r="BA4" s="3457">
        <v>56350</v>
      </c>
      <c r="BB4" s="3457" t="s">
        <v>3587</v>
      </c>
      <c r="BC4" s="3457">
        <v>31000</v>
      </c>
      <c r="BD4" s="3457">
        <v>31000</v>
      </c>
      <c r="BE4" s="3457">
        <v>10138</v>
      </c>
      <c r="BF4" s="3457">
        <v>15</v>
      </c>
      <c r="BG4" s="3457">
        <v>22184</v>
      </c>
      <c r="BH4" s="3457" t="s">
        <v>3588</v>
      </c>
      <c r="BI4" s="3457" t="s">
        <v>3616</v>
      </c>
      <c r="BJ4" s="3457" t="s">
        <v>3604</v>
      </c>
      <c r="BK4" s="3457" t="s">
        <v>3617</v>
      </c>
      <c r="BL4" s="3458">
        <v>45240.000497685185</v>
      </c>
      <c r="BM4" s="3457">
        <v>49000</v>
      </c>
    </row>
    <row r="5" spans="1:65" s="3459" customFormat="1" hidden="1">
      <c r="A5" s="3459" t="s">
        <v>3618</v>
      </c>
      <c r="B5" s="3459" t="s">
        <v>3564</v>
      </c>
      <c r="C5" s="3459" t="s">
        <v>3565</v>
      </c>
      <c r="D5" s="3459" t="s">
        <v>3619</v>
      </c>
      <c r="E5" s="3459" t="s">
        <v>3620</v>
      </c>
      <c r="F5" s="3459" t="s">
        <v>3621</v>
      </c>
      <c r="G5" s="3459" t="s">
        <v>3621</v>
      </c>
      <c r="H5" s="3459" t="s">
        <v>3622</v>
      </c>
      <c r="I5" s="3459">
        <v>25569.01</v>
      </c>
      <c r="J5" s="3459">
        <v>40910.42</v>
      </c>
      <c r="K5" s="3459" t="s">
        <v>3571</v>
      </c>
      <c r="L5" s="3459" t="s">
        <v>3571</v>
      </c>
      <c r="M5" s="3459">
        <v>0</v>
      </c>
      <c r="N5" s="3459">
        <v>0</v>
      </c>
      <c r="O5" s="3459" t="s">
        <v>3595</v>
      </c>
      <c r="P5" s="3459" t="s">
        <v>3611</v>
      </c>
      <c r="Q5" s="3459" t="s">
        <v>3597</v>
      </c>
      <c r="R5" s="3459" t="s">
        <v>3612</v>
      </c>
      <c r="S5" s="3459">
        <v>1.6</v>
      </c>
      <c r="T5" s="3459">
        <v>1.6</v>
      </c>
      <c r="U5" s="3459" t="s">
        <v>3571</v>
      </c>
      <c r="V5" s="3459" t="s">
        <v>3571</v>
      </c>
      <c r="W5" s="3459">
        <v>24</v>
      </c>
      <c r="X5" s="3459" t="s">
        <v>3577</v>
      </c>
      <c r="Y5" s="3459" t="s">
        <v>3578</v>
      </c>
      <c r="Z5" s="3459" t="s">
        <v>3579</v>
      </c>
      <c r="AA5" s="3459" t="s">
        <v>3623</v>
      </c>
      <c r="AB5" s="3459" t="s">
        <v>3571</v>
      </c>
      <c r="AC5" s="3459" t="s">
        <v>3571</v>
      </c>
      <c r="AD5" s="3460">
        <v>45113.000497685185</v>
      </c>
      <c r="AE5" s="3460">
        <v>45133.000497685185</v>
      </c>
      <c r="AF5" s="3460">
        <v>45147.000497685185</v>
      </c>
      <c r="AG5" s="3460">
        <v>45147.000497685185</v>
      </c>
      <c r="AH5" s="3459" t="s">
        <v>3581</v>
      </c>
      <c r="AI5" s="3459" t="s">
        <v>3582</v>
      </c>
      <c r="AJ5" s="3459" t="s">
        <v>3624</v>
      </c>
      <c r="AK5" s="3459" t="s">
        <v>3615</v>
      </c>
      <c r="AL5" s="3459" t="s">
        <v>3585</v>
      </c>
      <c r="AM5" s="3459" t="s">
        <v>3586</v>
      </c>
      <c r="AN5" s="3459">
        <v>52000</v>
      </c>
      <c r="AO5" s="3459">
        <v>11000</v>
      </c>
      <c r="AP5" s="3460">
        <v>45147.625497685185</v>
      </c>
      <c r="AQ5" s="3459">
        <v>52000</v>
      </c>
      <c r="AR5" s="3459">
        <v>20337.12</v>
      </c>
      <c r="AS5" s="3459">
        <v>20337.12</v>
      </c>
      <c r="AT5" s="3459">
        <v>1355.81</v>
      </c>
      <c r="AU5" s="3459">
        <v>1355.81</v>
      </c>
      <c r="AV5" s="3459">
        <v>12711</v>
      </c>
      <c r="AW5" s="3459">
        <v>12711</v>
      </c>
      <c r="AX5" s="3459" t="s">
        <v>3571</v>
      </c>
      <c r="AY5" s="3459" t="s">
        <v>3571</v>
      </c>
      <c r="AZ5" s="3459">
        <v>0</v>
      </c>
      <c r="BA5" s="3459">
        <v>59800</v>
      </c>
      <c r="BB5" s="3459" t="s">
        <v>3587</v>
      </c>
      <c r="BC5" s="3459">
        <v>30000</v>
      </c>
      <c r="BD5" s="3459">
        <v>30000</v>
      </c>
      <c r="BE5" s="3459">
        <v>14617</v>
      </c>
      <c r="BF5" s="3459">
        <v>15</v>
      </c>
      <c r="BG5" s="3459">
        <v>17289</v>
      </c>
      <c r="BH5" s="3459" t="s">
        <v>3588</v>
      </c>
      <c r="BI5" s="3459" t="s">
        <v>3625</v>
      </c>
      <c r="BJ5" s="3459" t="s">
        <v>3604</v>
      </c>
      <c r="BK5" s="3459" t="s">
        <v>3626</v>
      </c>
      <c r="BL5" s="3459" t="s">
        <v>3571</v>
      </c>
      <c r="BM5" s="3459" t="s">
        <v>3571</v>
      </c>
    </row>
    <row r="6" spans="1:65" s="3461" customFormat="1">
      <c r="A6" s="3461" t="s">
        <v>3627</v>
      </c>
      <c r="B6" s="3461" t="s">
        <v>3564</v>
      </c>
      <c r="C6" s="3461" t="s">
        <v>3565</v>
      </c>
      <c r="D6" s="3461" t="s">
        <v>3628</v>
      </c>
      <c r="E6" s="3461" t="s">
        <v>3629</v>
      </c>
      <c r="F6" s="3461" t="s">
        <v>3630</v>
      </c>
      <c r="G6" s="3461" t="s">
        <v>3631</v>
      </c>
      <c r="H6" s="3461" t="s">
        <v>3632</v>
      </c>
      <c r="I6" s="3461">
        <v>39059.79</v>
      </c>
      <c r="J6" s="3461">
        <v>46871.74</v>
      </c>
      <c r="K6" s="3461" t="s">
        <v>3571</v>
      </c>
      <c r="L6" s="3461" t="s">
        <v>3571</v>
      </c>
      <c r="M6" s="3461">
        <v>0</v>
      </c>
      <c r="N6" s="3461">
        <v>0</v>
      </c>
      <c r="O6" s="3461" t="s">
        <v>3595</v>
      </c>
      <c r="P6" s="3461" t="s">
        <v>3611</v>
      </c>
      <c r="Q6" s="3461" t="s">
        <v>3597</v>
      </c>
      <c r="R6" s="3461" t="s">
        <v>3612</v>
      </c>
      <c r="S6" s="3461" t="s">
        <v>3633</v>
      </c>
      <c r="T6" s="3461">
        <v>1.2</v>
      </c>
      <c r="U6" s="3461" t="s">
        <v>3571</v>
      </c>
      <c r="V6" s="3461" t="s">
        <v>3571</v>
      </c>
      <c r="W6" s="3461">
        <v>36</v>
      </c>
      <c r="X6" s="3461" t="s">
        <v>3577</v>
      </c>
      <c r="Y6" s="3461" t="s">
        <v>3578</v>
      </c>
      <c r="Z6" s="3461" t="s">
        <v>3579</v>
      </c>
      <c r="AA6" s="3461" t="s">
        <v>3580</v>
      </c>
      <c r="AB6" s="3461" t="s">
        <v>3571</v>
      </c>
      <c r="AC6" s="3461" t="s">
        <v>3571</v>
      </c>
      <c r="AD6" s="3462">
        <v>45072.000497685185</v>
      </c>
      <c r="AE6" s="3462">
        <v>45092.000497685185</v>
      </c>
      <c r="AF6" s="3462">
        <v>45107.000497685185</v>
      </c>
      <c r="AG6" s="3462">
        <v>45107.000497685185</v>
      </c>
      <c r="AH6" s="3461" t="s">
        <v>3581</v>
      </c>
      <c r="AI6" s="3461" t="s">
        <v>3634</v>
      </c>
      <c r="AJ6" s="3461" t="s">
        <v>3635</v>
      </c>
      <c r="AK6" s="3461" t="s">
        <v>3636</v>
      </c>
      <c r="AL6" s="3461" t="s">
        <v>3637</v>
      </c>
      <c r="AM6" s="3461" t="s">
        <v>3571</v>
      </c>
      <c r="AN6" s="3461">
        <v>49000</v>
      </c>
      <c r="AO6" s="3461">
        <v>10000</v>
      </c>
      <c r="AP6" s="3462">
        <v>45106.708831018521</v>
      </c>
      <c r="AQ6" s="3461">
        <v>49000</v>
      </c>
      <c r="AR6" s="3461">
        <v>12544.87</v>
      </c>
      <c r="AS6" s="3461">
        <v>12544.87</v>
      </c>
      <c r="AT6" s="3461">
        <v>836.32</v>
      </c>
      <c r="AU6" s="3461">
        <v>836.32</v>
      </c>
      <c r="AV6" s="3461">
        <v>10454</v>
      </c>
      <c r="AW6" s="3461">
        <v>10454</v>
      </c>
      <c r="AX6" s="3461" t="s">
        <v>3571</v>
      </c>
      <c r="AY6" s="3461" t="s">
        <v>3571</v>
      </c>
      <c r="AZ6" s="3461">
        <v>0</v>
      </c>
      <c r="BA6" s="3461">
        <v>56350</v>
      </c>
      <c r="BB6" s="3461" t="s">
        <v>3587</v>
      </c>
      <c r="BC6" s="3461">
        <v>32000</v>
      </c>
      <c r="BD6" s="3461">
        <v>32000</v>
      </c>
      <c r="BE6" s="3461">
        <v>12022</v>
      </c>
      <c r="BF6" s="3461">
        <v>15</v>
      </c>
      <c r="BG6" s="3461">
        <v>21545</v>
      </c>
      <c r="BH6" s="3461" t="s">
        <v>3602</v>
      </c>
      <c r="BI6" s="3461" t="s">
        <v>3638</v>
      </c>
      <c r="BJ6" s="3461" t="s">
        <v>3604</v>
      </c>
      <c r="BK6" s="3461" t="s">
        <v>3639</v>
      </c>
      <c r="BL6" s="3462">
        <v>45136.000497685185</v>
      </c>
      <c r="BM6" s="3461">
        <v>49000</v>
      </c>
    </row>
    <row r="7" spans="1:65" s="3461" customFormat="1">
      <c r="A7" s="3461" t="s">
        <v>3640</v>
      </c>
      <c r="B7" s="3461" t="s">
        <v>3564</v>
      </c>
      <c r="C7" s="3461" t="s">
        <v>3565</v>
      </c>
      <c r="D7" s="3461" t="s">
        <v>3607</v>
      </c>
      <c r="E7" s="3461" t="s">
        <v>3641</v>
      </c>
      <c r="F7" s="3461" t="s">
        <v>3642</v>
      </c>
      <c r="G7" s="3461" t="s">
        <v>3643</v>
      </c>
      <c r="H7" s="3461" t="s">
        <v>3644</v>
      </c>
      <c r="I7" s="3461">
        <v>55570.2</v>
      </c>
      <c r="J7" s="3461">
        <v>122254.44</v>
      </c>
      <c r="K7" s="3461" t="s">
        <v>3571</v>
      </c>
      <c r="L7" s="3461" t="s">
        <v>3571</v>
      </c>
      <c r="M7" s="3461">
        <v>0</v>
      </c>
      <c r="N7" s="3461">
        <v>0</v>
      </c>
      <c r="O7" s="3461" t="s">
        <v>3595</v>
      </c>
      <c r="P7" s="3461" t="s">
        <v>3645</v>
      </c>
      <c r="Q7" s="3461" t="s">
        <v>3645</v>
      </c>
      <c r="R7" s="3461" t="s">
        <v>3646</v>
      </c>
      <c r="S7" s="3461">
        <v>2.2000000000000002</v>
      </c>
      <c r="T7" s="3461">
        <v>2.2000000000000002</v>
      </c>
      <c r="U7" s="3461" t="s">
        <v>3571</v>
      </c>
      <c r="V7" s="3461">
        <v>0.3</v>
      </c>
      <c r="W7" s="3461" t="s">
        <v>3647</v>
      </c>
      <c r="X7" s="3461" t="s">
        <v>3577</v>
      </c>
      <c r="Y7" s="3461" t="s">
        <v>3648</v>
      </c>
      <c r="Z7" s="3461" t="s">
        <v>3579</v>
      </c>
      <c r="AA7" s="3461" t="s">
        <v>3580</v>
      </c>
      <c r="AB7" s="3461" t="s">
        <v>3571</v>
      </c>
      <c r="AC7" s="3461" t="s">
        <v>3571</v>
      </c>
      <c r="AD7" s="3462">
        <v>44791.000497685185</v>
      </c>
      <c r="AE7" s="3462">
        <v>44811.000497685185</v>
      </c>
      <c r="AF7" s="3462">
        <v>44826.000497685185</v>
      </c>
      <c r="AG7" s="3462">
        <v>44826.000497685185</v>
      </c>
      <c r="AH7" s="3461" t="s">
        <v>3581</v>
      </c>
      <c r="AI7" s="3461" t="s">
        <v>3634</v>
      </c>
      <c r="AJ7" s="3461" t="s">
        <v>3649</v>
      </c>
      <c r="AK7" s="3461" t="s">
        <v>3650</v>
      </c>
      <c r="AL7" s="3461" t="s">
        <v>3651</v>
      </c>
      <c r="AM7" s="3461" t="s">
        <v>3652</v>
      </c>
      <c r="AN7" s="3461">
        <v>152000</v>
      </c>
      <c r="AO7" s="3461">
        <v>31000</v>
      </c>
      <c r="AP7" s="3462">
        <v>44825.625497685185</v>
      </c>
      <c r="AQ7" s="3461">
        <v>152000</v>
      </c>
      <c r="AR7" s="3461">
        <v>27352.79</v>
      </c>
      <c r="AS7" s="3461">
        <v>27352.79</v>
      </c>
      <c r="AT7" s="3461">
        <v>1823.52</v>
      </c>
      <c r="AU7" s="3461">
        <v>1823.52</v>
      </c>
      <c r="AV7" s="3461">
        <v>12433</v>
      </c>
      <c r="AW7" s="3461">
        <v>12433</v>
      </c>
      <c r="AX7" s="3461" t="s">
        <v>3571</v>
      </c>
      <c r="AY7" s="3461" t="s">
        <v>3571</v>
      </c>
      <c r="AZ7" s="3461">
        <v>0</v>
      </c>
      <c r="BA7" s="3461">
        <v>174800</v>
      </c>
      <c r="BB7" s="3461" t="s">
        <v>3587</v>
      </c>
      <c r="BC7" s="3461">
        <v>30000</v>
      </c>
      <c r="BD7" s="3461">
        <v>30000</v>
      </c>
      <c r="BE7" s="3461">
        <v>14298</v>
      </c>
      <c r="BF7" s="3461">
        <v>15</v>
      </c>
      <c r="BG7" s="3461">
        <v>17474</v>
      </c>
      <c r="BH7" s="3461" t="s">
        <v>3602</v>
      </c>
      <c r="BI7" s="3461" t="s">
        <v>3653</v>
      </c>
      <c r="BJ7" s="3461" t="s">
        <v>3590</v>
      </c>
      <c r="BK7" s="3461" t="s">
        <v>3591</v>
      </c>
      <c r="BL7" s="3462">
        <v>44827.000497685185</v>
      </c>
      <c r="BM7" s="3461">
        <v>152000</v>
      </c>
    </row>
    <row r="8" spans="1:65" hidden="1">
      <c r="A8" s="3457" t="s">
        <v>3654</v>
      </c>
      <c r="B8" s="3457" t="s">
        <v>3564</v>
      </c>
      <c r="C8" s="3457" t="s">
        <v>3565</v>
      </c>
      <c r="D8" s="3457" t="s">
        <v>3607</v>
      </c>
      <c r="E8" s="3457" t="s">
        <v>3608</v>
      </c>
      <c r="F8" s="3457" t="s">
        <v>3655</v>
      </c>
      <c r="G8" s="3457" t="s">
        <v>3655</v>
      </c>
      <c r="H8" s="3457" t="s">
        <v>3610</v>
      </c>
      <c r="I8" s="3457">
        <v>9953.99</v>
      </c>
      <c r="J8" s="3457">
        <v>19907.98</v>
      </c>
      <c r="K8" s="3457" t="s">
        <v>3571</v>
      </c>
      <c r="L8" s="3457" t="s">
        <v>3571</v>
      </c>
      <c r="M8" s="3457">
        <v>0</v>
      </c>
      <c r="N8" s="3457">
        <v>0</v>
      </c>
      <c r="O8" s="3457" t="s">
        <v>3595</v>
      </c>
      <c r="P8" s="3457" t="s">
        <v>3645</v>
      </c>
      <c r="Q8" s="3457" t="s">
        <v>3645</v>
      </c>
      <c r="R8" s="3457" t="s">
        <v>3646</v>
      </c>
      <c r="S8" s="3457">
        <v>2</v>
      </c>
      <c r="T8" s="3457">
        <v>2</v>
      </c>
      <c r="U8" s="3457" t="s">
        <v>3571</v>
      </c>
      <c r="V8" s="3457" t="s">
        <v>3571</v>
      </c>
      <c r="W8" s="3457">
        <v>30</v>
      </c>
      <c r="X8" s="3457" t="s">
        <v>3577</v>
      </c>
      <c r="Y8" s="3457" t="s">
        <v>3648</v>
      </c>
      <c r="Z8" s="3457" t="s">
        <v>3579</v>
      </c>
      <c r="AA8" s="3457" t="s">
        <v>3580</v>
      </c>
      <c r="AB8" s="3457" t="s">
        <v>3571</v>
      </c>
      <c r="AC8" s="3457" t="s">
        <v>3571</v>
      </c>
      <c r="AD8" s="3458">
        <v>44791.000497685185</v>
      </c>
      <c r="AE8" s="3458">
        <v>44811.000497685185</v>
      </c>
      <c r="AF8" s="3458">
        <v>44826.000497685185</v>
      </c>
      <c r="AG8" s="3458">
        <v>44826.000497685185</v>
      </c>
      <c r="AH8" s="3457" t="s">
        <v>3581</v>
      </c>
      <c r="AI8" s="3457" t="s">
        <v>3634</v>
      </c>
      <c r="AJ8" s="3457" t="s">
        <v>3656</v>
      </c>
      <c r="AK8" s="3457" t="s">
        <v>3657</v>
      </c>
      <c r="AL8" s="3457" t="s">
        <v>3585</v>
      </c>
      <c r="AM8" s="3457" t="s">
        <v>3571</v>
      </c>
      <c r="AN8" s="3457">
        <v>18000</v>
      </c>
      <c r="AO8" s="3457">
        <v>4000</v>
      </c>
      <c r="AP8" s="3458">
        <v>44825.625497685185</v>
      </c>
      <c r="AQ8" s="3457">
        <v>18000</v>
      </c>
      <c r="AR8" s="3457">
        <v>18083.2</v>
      </c>
      <c r="AS8" s="3457">
        <v>18083.2</v>
      </c>
      <c r="AT8" s="3457">
        <v>1205.55</v>
      </c>
      <c r="AU8" s="3457">
        <v>1205.55</v>
      </c>
      <c r="AV8" s="3457">
        <v>9042</v>
      </c>
      <c r="AW8" s="3457">
        <v>9042</v>
      </c>
      <c r="AX8" s="3457" t="s">
        <v>3571</v>
      </c>
      <c r="AY8" s="3457" t="s">
        <v>3571</v>
      </c>
      <c r="AZ8" s="3457">
        <v>0</v>
      </c>
      <c r="BA8" s="3457">
        <v>20700</v>
      </c>
      <c r="BB8" s="3457" t="s">
        <v>3587</v>
      </c>
      <c r="BC8" s="3457">
        <v>31000</v>
      </c>
      <c r="BD8" s="3457">
        <v>31000</v>
      </c>
      <c r="BE8" s="3457">
        <v>10398</v>
      </c>
      <c r="BF8" s="3457">
        <v>15</v>
      </c>
      <c r="BG8" s="3457">
        <v>21958</v>
      </c>
      <c r="BH8" s="3457" t="s">
        <v>3588</v>
      </c>
      <c r="BI8" s="3457" t="s">
        <v>3658</v>
      </c>
      <c r="BJ8" s="3457" t="s">
        <v>3590</v>
      </c>
      <c r="BK8" s="3457" t="s">
        <v>3591</v>
      </c>
      <c r="BL8" s="3458">
        <v>44827.000497685185</v>
      </c>
      <c r="BM8" s="3457">
        <v>18000</v>
      </c>
    </row>
    <row r="9" spans="1:65" s="3463" customFormat="1" hidden="1">
      <c r="A9" s="3463" t="s">
        <v>3659</v>
      </c>
      <c r="B9" s="3463" t="s">
        <v>3564</v>
      </c>
      <c r="C9" s="3463" t="s">
        <v>3565</v>
      </c>
      <c r="D9" s="3463" t="s">
        <v>3628</v>
      </c>
      <c r="E9" s="3463" t="s">
        <v>3660</v>
      </c>
      <c r="F9" s="3463" t="s">
        <v>3661</v>
      </c>
      <c r="G9" s="3463" t="s">
        <v>3662</v>
      </c>
      <c r="H9" s="3463" t="s">
        <v>3663</v>
      </c>
      <c r="I9" s="3463">
        <v>31793.74</v>
      </c>
      <c r="J9" s="3463">
        <v>76581.429999999993</v>
      </c>
      <c r="K9" s="3463" t="s">
        <v>3571</v>
      </c>
      <c r="L9" s="3463" t="s">
        <v>3571</v>
      </c>
      <c r="M9" s="3463">
        <v>0</v>
      </c>
      <c r="N9" s="3463">
        <v>0</v>
      </c>
      <c r="O9" s="3463" t="s">
        <v>3572</v>
      </c>
      <c r="P9" s="3463" t="s">
        <v>3664</v>
      </c>
      <c r="Q9" s="3463" t="s">
        <v>3645</v>
      </c>
      <c r="R9" s="3463" t="s">
        <v>3598</v>
      </c>
      <c r="S9" s="3463" t="s">
        <v>3665</v>
      </c>
      <c r="T9" s="3463">
        <v>2.5</v>
      </c>
      <c r="U9" s="3463">
        <v>7.52</v>
      </c>
      <c r="V9" s="3463">
        <v>60</v>
      </c>
      <c r="W9" s="3463">
        <v>45</v>
      </c>
      <c r="X9" s="3463" t="s">
        <v>3577</v>
      </c>
      <c r="Y9" s="3463" t="s">
        <v>3666</v>
      </c>
      <c r="Z9" s="3463" t="s">
        <v>3667</v>
      </c>
      <c r="AA9" s="3463" t="s">
        <v>3668</v>
      </c>
      <c r="AB9" s="3463" t="s">
        <v>3571</v>
      </c>
      <c r="AC9" s="3463" t="s">
        <v>3571</v>
      </c>
      <c r="AD9" s="3464">
        <v>44670.000497685185</v>
      </c>
      <c r="AE9" s="3464">
        <v>44691.000497685185</v>
      </c>
      <c r="AF9" s="3464">
        <v>44712.000497685185</v>
      </c>
      <c r="AG9" s="3464">
        <v>44712.000497685185</v>
      </c>
      <c r="AH9" s="3463" t="s">
        <v>3581</v>
      </c>
      <c r="AI9" s="3463" t="s">
        <v>3634</v>
      </c>
      <c r="AJ9" s="3463" t="s">
        <v>3669</v>
      </c>
      <c r="AK9" s="3463" t="s">
        <v>3670</v>
      </c>
      <c r="AL9" s="3463" t="s">
        <v>3671</v>
      </c>
      <c r="AM9" s="3463" t="s">
        <v>3672</v>
      </c>
      <c r="AN9" s="3463">
        <v>80000</v>
      </c>
      <c r="AO9" s="3463">
        <v>16000</v>
      </c>
      <c r="AP9" s="3464">
        <v>44712.625497685185</v>
      </c>
      <c r="AQ9" s="3463">
        <v>80000</v>
      </c>
      <c r="AR9" s="3463">
        <v>25162.18</v>
      </c>
      <c r="AS9" s="3463">
        <v>25162.18</v>
      </c>
      <c r="AT9" s="3463">
        <v>1677.48</v>
      </c>
      <c r="AU9" s="3463">
        <v>1677.48</v>
      </c>
      <c r="AV9" s="3463">
        <v>10446</v>
      </c>
      <c r="AW9" s="3463">
        <v>10446</v>
      </c>
      <c r="AX9" s="3463" t="s">
        <v>3571</v>
      </c>
      <c r="AY9" s="3463" t="s">
        <v>3571</v>
      </c>
      <c r="AZ9" s="3463">
        <v>0</v>
      </c>
      <c r="BA9" s="3463">
        <v>92000</v>
      </c>
      <c r="BB9" s="3463" t="s">
        <v>3587</v>
      </c>
      <c r="BC9" s="3463">
        <v>32000</v>
      </c>
      <c r="BD9" s="3463">
        <v>32000</v>
      </c>
      <c r="BE9" s="3463">
        <v>12013</v>
      </c>
      <c r="BF9" s="3463">
        <v>15</v>
      </c>
      <c r="BG9" s="3463">
        <v>20517</v>
      </c>
      <c r="BH9" s="3463" t="s">
        <v>3602</v>
      </c>
      <c r="BI9" s="3463" t="s">
        <v>3673</v>
      </c>
      <c r="BJ9" s="3463" t="s">
        <v>3590</v>
      </c>
      <c r="BK9" s="3463" t="s">
        <v>3591</v>
      </c>
      <c r="BL9" s="3463" t="s">
        <v>3571</v>
      </c>
      <c r="BM9" s="3463" t="s">
        <v>3571</v>
      </c>
    </row>
    <row r="10" spans="1:65" hidden="1">
      <c r="A10" s="3457" t="s">
        <v>3674</v>
      </c>
      <c r="B10" s="3457" t="s">
        <v>3564</v>
      </c>
      <c r="C10" s="3457" t="s">
        <v>3565</v>
      </c>
      <c r="D10" s="3457" t="s">
        <v>3566</v>
      </c>
      <c r="E10" s="3457" t="s">
        <v>3567</v>
      </c>
      <c r="F10" s="3457" t="s">
        <v>3675</v>
      </c>
      <c r="G10" s="3457" t="s">
        <v>3675</v>
      </c>
      <c r="H10" s="3457" t="s">
        <v>3570</v>
      </c>
      <c r="I10" s="3457">
        <v>81740.06</v>
      </c>
      <c r="J10" s="3457">
        <v>112700</v>
      </c>
      <c r="K10" s="3457" t="s">
        <v>3571</v>
      </c>
      <c r="L10" s="3457" t="s">
        <v>3571</v>
      </c>
      <c r="M10" s="3457">
        <v>0</v>
      </c>
      <c r="N10" s="3457">
        <v>0</v>
      </c>
      <c r="O10" s="3457" t="s">
        <v>3572</v>
      </c>
      <c r="P10" s="3457" t="s">
        <v>3676</v>
      </c>
      <c r="Q10" s="3457" t="s">
        <v>3597</v>
      </c>
      <c r="R10" s="3457" t="s">
        <v>3677</v>
      </c>
      <c r="S10" s="3457" t="s">
        <v>3678</v>
      </c>
      <c r="T10" s="3457">
        <v>2</v>
      </c>
      <c r="U10" s="3457" t="s">
        <v>3571</v>
      </c>
      <c r="V10" s="3457" t="s">
        <v>3571</v>
      </c>
      <c r="W10" s="3457" t="s">
        <v>3679</v>
      </c>
      <c r="X10" s="3457" t="s">
        <v>3577</v>
      </c>
      <c r="Y10" s="3457" t="s">
        <v>3680</v>
      </c>
      <c r="Z10" s="3457" t="s">
        <v>3681</v>
      </c>
      <c r="AA10" s="3457" t="s">
        <v>3668</v>
      </c>
      <c r="AB10" s="3457" t="s">
        <v>3571</v>
      </c>
      <c r="AC10" s="3457" t="s">
        <v>3571</v>
      </c>
      <c r="AD10" s="3458">
        <v>44568.000497685185</v>
      </c>
      <c r="AE10" s="3458">
        <v>44589.000497685185</v>
      </c>
      <c r="AF10" s="3458">
        <v>44608.000497685185</v>
      </c>
      <c r="AG10" s="3458">
        <v>44608.000497685185</v>
      </c>
      <c r="AH10" s="3457" t="s">
        <v>3581</v>
      </c>
      <c r="AI10" s="3457" t="s">
        <v>3682</v>
      </c>
      <c r="AJ10" s="3457" t="s">
        <v>3683</v>
      </c>
      <c r="AK10" s="3457" t="s">
        <v>3584</v>
      </c>
      <c r="AL10" s="3457" t="s">
        <v>3585</v>
      </c>
      <c r="AM10" s="3457" t="s">
        <v>3586</v>
      </c>
      <c r="AN10" s="3457">
        <v>121000</v>
      </c>
      <c r="AO10" s="3457">
        <v>25000</v>
      </c>
      <c r="AP10" s="3458">
        <v>44607.625497685185</v>
      </c>
      <c r="AQ10" s="3457">
        <v>121000</v>
      </c>
      <c r="AR10" s="3457">
        <v>14803.02</v>
      </c>
      <c r="AS10" s="3457">
        <v>14803.02</v>
      </c>
      <c r="AT10" s="3457">
        <v>986.87</v>
      </c>
      <c r="AU10" s="3457">
        <v>986.87</v>
      </c>
      <c r="AV10" s="3457">
        <v>10736</v>
      </c>
      <c r="AW10" s="3457">
        <v>10736</v>
      </c>
      <c r="AX10" s="3457" t="s">
        <v>3571</v>
      </c>
      <c r="AY10" s="3457" t="s">
        <v>3571</v>
      </c>
      <c r="AZ10" s="3457">
        <v>0</v>
      </c>
      <c r="BA10" s="3457">
        <v>139150</v>
      </c>
      <c r="BB10" s="3457" t="s">
        <v>3587</v>
      </c>
      <c r="BC10" s="3457">
        <v>37000</v>
      </c>
      <c r="BD10" s="3457">
        <v>37000</v>
      </c>
      <c r="BE10" s="3457">
        <v>12347</v>
      </c>
      <c r="BF10" s="3457">
        <v>15</v>
      </c>
      <c r="BG10" s="3457">
        <v>-3658</v>
      </c>
      <c r="BH10" s="3457" t="s">
        <v>3602</v>
      </c>
      <c r="BI10" s="3457" t="s">
        <v>3603</v>
      </c>
      <c r="BJ10" s="3457" t="s">
        <v>3590</v>
      </c>
      <c r="BK10" s="3457" t="s">
        <v>3591</v>
      </c>
      <c r="BL10" s="3458">
        <v>44710.000497685185</v>
      </c>
      <c r="BM10" s="3457">
        <v>121000</v>
      </c>
    </row>
    <row r="11" spans="1:65" hidden="1">
      <c r="A11" s="3457" t="s">
        <v>3684</v>
      </c>
      <c r="B11" s="3457" t="s">
        <v>3564</v>
      </c>
      <c r="C11" s="3457" t="s">
        <v>3565</v>
      </c>
      <c r="D11" s="3457" t="s">
        <v>3619</v>
      </c>
      <c r="E11" s="3457" t="s">
        <v>3620</v>
      </c>
      <c r="F11" s="3457" t="s">
        <v>3685</v>
      </c>
      <c r="G11" s="3457" t="s">
        <v>3685</v>
      </c>
      <c r="H11" s="3457" t="s">
        <v>3686</v>
      </c>
      <c r="I11" s="3457">
        <v>13180.14</v>
      </c>
      <c r="J11" s="3457">
        <v>23720</v>
      </c>
      <c r="K11" s="3457" t="s">
        <v>3571</v>
      </c>
      <c r="L11" s="3457" t="s">
        <v>3571</v>
      </c>
      <c r="M11" s="3457">
        <v>0</v>
      </c>
      <c r="N11" s="3457">
        <v>0</v>
      </c>
      <c r="O11" s="3457" t="s">
        <v>3595</v>
      </c>
      <c r="P11" s="3457" t="s">
        <v>3645</v>
      </c>
      <c r="Q11" s="3457" t="s">
        <v>3645</v>
      </c>
      <c r="R11" s="3457" t="s">
        <v>3687</v>
      </c>
      <c r="S11" s="3457">
        <v>1.8</v>
      </c>
      <c r="T11" s="3457">
        <v>1.8</v>
      </c>
      <c r="U11" s="3457" t="s">
        <v>3571</v>
      </c>
      <c r="V11" s="3457" t="s">
        <v>3571</v>
      </c>
      <c r="W11" s="3457">
        <v>18</v>
      </c>
      <c r="X11" s="3457" t="s">
        <v>3577</v>
      </c>
      <c r="Y11" s="3457" t="s">
        <v>3688</v>
      </c>
      <c r="Z11" s="3457" t="s">
        <v>3681</v>
      </c>
      <c r="AA11" s="3457" t="s">
        <v>3668</v>
      </c>
      <c r="AB11" s="3457" t="s">
        <v>3571</v>
      </c>
      <c r="AC11" s="3457" t="s">
        <v>3571</v>
      </c>
      <c r="AD11" s="3458">
        <v>44519.000497685185</v>
      </c>
      <c r="AE11" s="3458">
        <v>44540.000497685185</v>
      </c>
      <c r="AF11" s="3458">
        <v>44554.000497685185</v>
      </c>
      <c r="AG11" s="3458">
        <v>44554.000497685185</v>
      </c>
      <c r="AH11" s="3457" t="s">
        <v>3581</v>
      </c>
      <c r="AI11" s="3457" t="s">
        <v>3634</v>
      </c>
      <c r="AJ11" s="3457" t="s">
        <v>3689</v>
      </c>
      <c r="AK11" s="3457" t="s">
        <v>3690</v>
      </c>
      <c r="AL11" s="3457" t="s">
        <v>3691</v>
      </c>
      <c r="AM11" s="3457" t="s">
        <v>3571</v>
      </c>
      <c r="AN11" s="3457">
        <v>39000</v>
      </c>
      <c r="AO11" s="3457">
        <v>8000</v>
      </c>
      <c r="AP11" s="3458">
        <v>44553.625497685185</v>
      </c>
      <c r="AQ11" s="3457">
        <v>39000</v>
      </c>
      <c r="AR11" s="3457">
        <v>29589.97</v>
      </c>
      <c r="AS11" s="3457">
        <v>29589.97</v>
      </c>
      <c r="AT11" s="3457">
        <v>1972.66</v>
      </c>
      <c r="AU11" s="3457">
        <v>1972.66</v>
      </c>
      <c r="AV11" s="3457">
        <v>16442</v>
      </c>
      <c r="AW11" s="3457">
        <v>16442</v>
      </c>
      <c r="AX11" s="3457" t="s">
        <v>3571</v>
      </c>
      <c r="AY11" s="3457" t="s">
        <v>3571</v>
      </c>
      <c r="AZ11" s="3457">
        <v>0</v>
      </c>
      <c r="BA11" s="3457">
        <v>44850</v>
      </c>
      <c r="BB11" s="3457" t="s">
        <v>3587</v>
      </c>
      <c r="BC11" s="3457">
        <v>35000</v>
      </c>
      <c r="BD11" s="3457">
        <v>35000</v>
      </c>
      <c r="BE11" s="3457">
        <v>18908</v>
      </c>
      <c r="BF11" s="3457">
        <v>15</v>
      </c>
      <c r="BG11" s="3457">
        <v>18558</v>
      </c>
      <c r="BH11" s="3457" t="s">
        <v>3692</v>
      </c>
      <c r="BI11" s="3457" t="s">
        <v>3693</v>
      </c>
      <c r="BJ11" s="3457" t="s">
        <v>3590</v>
      </c>
      <c r="BK11" s="3457" t="s">
        <v>3591</v>
      </c>
      <c r="BL11" s="3458">
        <v>44558.000497685185</v>
      </c>
      <c r="BM11" s="3457">
        <v>39000</v>
      </c>
    </row>
    <row r="12" spans="1:65" s="3461" customFormat="1">
      <c r="A12" s="3461" t="s">
        <v>3694</v>
      </c>
      <c r="B12" s="3461" t="s">
        <v>3564</v>
      </c>
      <c r="C12" s="3461" t="s">
        <v>3565</v>
      </c>
      <c r="D12" s="3461" t="s">
        <v>3607</v>
      </c>
      <c r="E12" s="3461" t="s">
        <v>3608</v>
      </c>
      <c r="F12" s="3461" t="s">
        <v>3695</v>
      </c>
      <c r="G12" s="3461" t="s">
        <v>3695</v>
      </c>
      <c r="H12" s="3461" t="s">
        <v>3610</v>
      </c>
      <c r="I12" s="3461">
        <v>103325.51</v>
      </c>
      <c r="J12" s="3461">
        <v>200222.03</v>
      </c>
      <c r="K12" s="3461" t="s">
        <v>3571</v>
      </c>
      <c r="L12" s="3461" t="s">
        <v>3571</v>
      </c>
      <c r="M12" s="3461">
        <v>0</v>
      </c>
      <c r="N12" s="3461">
        <v>0</v>
      </c>
      <c r="O12" s="3461" t="s">
        <v>3595</v>
      </c>
      <c r="P12" s="3461" t="s">
        <v>3645</v>
      </c>
      <c r="Q12" s="3461" t="s">
        <v>3645</v>
      </c>
      <c r="R12" s="3461" t="s">
        <v>3696</v>
      </c>
      <c r="S12" s="3461">
        <v>2</v>
      </c>
      <c r="T12" s="3461">
        <v>2</v>
      </c>
      <c r="U12" s="3461" t="s">
        <v>3571</v>
      </c>
      <c r="V12" s="3461" t="s">
        <v>3571</v>
      </c>
      <c r="W12" s="3461">
        <v>30</v>
      </c>
      <c r="X12" s="3461" t="s">
        <v>3577</v>
      </c>
      <c r="Y12" s="3461" t="s">
        <v>3688</v>
      </c>
      <c r="Z12" s="3461" t="s">
        <v>3697</v>
      </c>
      <c r="AA12" s="3461" t="s">
        <v>3668</v>
      </c>
      <c r="AB12" s="3461" t="s">
        <v>3571</v>
      </c>
      <c r="AC12" s="3461" t="s">
        <v>3571</v>
      </c>
      <c r="AD12" s="3462">
        <v>44519.000497685185</v>
      </c>
      <c r="AE12" s="3462">
        <v>44540.000497685185</v>
      </c>
      <c r="AF12" s="3462">
        <v>44554.000497685185</v>
      </c>
      <c r="AG12" s="3462">
        <v>44554.000497685185</v>
      </c>
      <c r="AH12" s="3461" t="s">
        <v>3581</v>
      </c>
      <c r="AI12" s="3461" t="s">
        <v>3634</v>
      </c>
      <c r="AJ12" s="3461" t="s">
        <v>3698</v>
      </c>
      <c r="AK12" s="3461" t="s">
        <v>3699</v>
      </c>
      <c r="AL12" s="3461" t="s">
        <v>3700</v>
      </c>
      <c r="AM12" s="3461" t="s">
        <v>3701</v>
      </c>
      <c r="AN12" s="3461">
        <v>207000</v>
      </c>
      <c r="AO12" s="3461">
        <v>42000</v>
      </c>
      <c r="AP12" s="3462">
        <v>44553.625497685185</v>
      </c>
      <c r="AQ12" s="3461">
        <v>207000</v>
      </c>
      <c r="AR12" s="3461">
        <v>20033.77</v>
      </c>
      <c r="AS12" s="3461">
        <v>20033.77</v>
      </c>
      <c r="AT12" s="3461">
        <v>1335.58</v>
      </c>
      <c r="AU12" s="3461">
        <v>1335.58</v>
      </c>
      <c r="AV12" s="3461">
        <v>10339</v>
      </c>
      <c r="AW12" s="3461">
        <v>10339</v>
      </c>
      <c r="AX12" s="3461" t="s">
        <v>3571</v>
      </c>
      <c r="AY12" s="3461" t="s">
        <v>3571</v>
      </c>
      <c r="AZ12" s="3461">
        <v>0</v>
      </c>
      <c r="BA12" s="3461">
        <v>238050</v>
      </c>
      <c r="BB12" s="3461" t="s">
        <v>3587</v>
      </c>
      <c r="BC12" s="3461">
        <v>30000</v>
      </c>
      <c r="BD12" s="3461">
        <v>30000</v>
      </c>
      <c r="BE12" s="3461">
        <v>11889</v>
      </c>
      <c r="BF12" s="3461">
        <v>15</v>
      </c>
      <c r="BG12" s="3461">
        <v>19661</v>
      </c>
      <c r="BH12" s="3461" t="s">
        <v>3588</v>
      </c>
      <c r="BI12" s="3461" t="s">
        <v>3702</v>
      </c>
      <c r="BJ12" s="3461" t="s">
        <v>3590</v>
      </c>
      <c r="BK12" s="3461" t="s">
        <v>3591</v>
      </c>
      <c r="BL12" s="3461" t="s">
        <v>3571</v>
      </c>
      <c r="BM12" s="3461" t="s">
        <v>3571</v>
      </c>
    </row>
    <row r="13" spans="1:65" hidden="1">
      <c r="A13" s="3457" t="s">
        <v>3703</v>
      </c>
      <c r="B13" s="3457" t="s">
        <v>3564</v>
      </c>
      <c r="C13" s="3457" t="s">
        <v>3565</v>
      </c>
      <c r="D13" s="3457" t="s">
        <v>3628</v>
      </c>
      <c r="E13" s="3457" t="s">
        <v>3704</v>
      </c>
      <c r="F13" s="3457" t="s">
        <v>3705</v>
      </c>
      <c r="G13" s="3457" t="s">
        <v>3705</v>
      </c>
      <c r="H13" s="3457" t="s">
        <v>3706</v>
      </c>
      <c r="I13" s="3457">
        <v>30675.919999999998</v>
      </c>
      <c r="J13" s="3457">
        <v>76689.8</v>
      </c>
      <c r="K13" s="3457" t="s">
        <v>3571</v>
      </c>
      <c r="L13" s="3457" t="s">
        <v>3571</v>
      </c>
      <c r="M13" s="3457">
        <v>76689.8</v>
      </c>
      <c r="N13" s="3457">
        <v>76689.8</v>
      </c>
      <c r="O13" s="3457" t="s">
        <v>3595</v>
      </c>
      <c r="P13" s="3457" t="s">
        <v>3707</v>
      </c>
      <c r="Q13" s="3457" t="s">
        <v>3708</v>
      </c>
      <c r="R13" s="3457" t="s">
        <v>3612</v>
      </c>
      <c r="S13" s="3457" t="s">
        <v>3709</v>
      </c>
      <c r="T13" s="3457">
        <v>2.5</v>
      </c>
      <c r="U13" s="3457" t="s">
        <v>3571</v>
      </c>
      <c r="V13" s="3457">
        <v>0.35</v>
      </c>
      <c r="W13" s="3457" t="s">
        <v>3710</v>
      </c>
      <c r="X13" s="3457" t="s">
        <v>3711</v>
      </c>
      <c r="Y13" s="3457" t="s">
        <v>3712</v>
      </c>
      <c r="Z13" s="3457" t="s">
        <v>3713</v>
      </c>
      <c r="AA13" s="3457" t="s">
        <v>3713</v>
      </c>
      <c r="AB13" s="3457" t="s">
        <v>3714</v>
      </c>
      <c r="AC13" s="3457" t="s">
        <v>3571</v>
      </c>
      <c r="AD13" s="3458">
        <v>44438.000497685185</v>
      </c>
      <c r="AE13" s="3458">
        <v>44463.000497685185</v>
      </c>
      <c r="AF13" s="3458">
        <v>44463.000497685185</v>
      </c>
      <c r="AG13" s="3458">
        <v>44465.000497685185</v>
      </c>
      <c r="AH13" s="3457" t="s">
        <v>3581</v>
      </c>
      <c r="AI13" s="3457" t="s">
        <v>3634</v>
      </c>
      <c r="AJ13" s="3457" t="s">
        <v>3715</v>
      </c>
      <c r="AK13" s="3457" t="s">
        <v>3716</v>
      </c>
      <c r="AL13" s="3457" t="s">
        <v>3585</v>
      </c>
      <c r="AM13" s="3457" t="s">
        <v>3586</v>
      </c>
      <c r="AN13" s="3457">
        <v>34710</v>
      </c>
      <c r="AO13" s="3457">
        <v>7000</v>
      </c>
      <c r="AP13" s="3458">
        <v>44461.646331018521</v>
      </c>
      <c r="AQ13" s="3457">
        <v>34710</v>
      </c>
      <c r="AR13" s="3457">
        <v>11315.06</v>
      </c>
      <c r="AS13" s="3457">
        <v>11315.06</v>
      </c>
      <c r="AT13" s="3457">
        <v>754.34</v>
      </c>
      <c r="AU13" s="3457">
        <v>754.34</v>
      </c>
      <c r="AV13" s="3457">
        <v>4526</v>
      </c>
      <c r="AW13" s="3457">
        <v>4526</v>
      </c>
      <c r="AX13" s="3457" t="s">
        <v>3571</v>
      </c>
      <c r="AY13" s="3457" t="s">
        <v>3571</v>
      </c>
      <c r="AZ13" s="3457">
        <v>0</v>
      </c>
      <c r="BA13" s="3457" t="s">
        <v>3571</v>
      </c>
      <c r="BB13" s="3457" t="s">
        <v>3571</v>
      </c>
      <c r="BC13" s="3457">
        <v>16500</v>
      </c>
      <c r="BD13" s="3457">
        <v>16500</v>
      </c>
      <c r="BE13" s="3457" t="s">
        <v>3571</v>
      </c>
      <c r="BF13" s="3457" t="s">
        <v>3571</v>
      </c>
      <c r="BG13" s="3457">
        <v>11973</v>
      </c>
      <c r="BH13" s="3457" t="s">
        <v>3602</v>
      </c>
      <c r="BI13" s="3457" t="s">
        <v>3717</v>
      </c>
      <c r="BJ13" s="3457" t="s">
        <v>3590</v>
      </c>
      <c r="BK13" s="3457" t="s">
        <v>3591</v>
      </c>
      <c r="BL13" s="3458">
        <v>44465.000497685185</v>
      </c>
      <c r="BM13" s="3457">
        <v>27335.72</v>
      </c>
    </row>
    <row r="14" spans="1:65" hidden="1">
      <c r="A14" s="3457" t="s">
        <v>3718</v>
      </c>
      <c r="B14" s="3457" t="s">
        <v>3564</v>
      </c>
      <c r="C14" s="3457" t="s">
        <v>3565</v>
      </c>
      <c r="D14" s="3457" t="s">
        <v>3607</v>
      </c>
      <c r="E14" s="3457" t="s">
        <v>3719</v>
      </c>
      <c r="F14" s="3457" t="s">
        <v>3720</v>
      </c>
      <c r="G14" s="3457" t="s">
        <v>3720</v>
      </c>
      <c r="H14" s="3457" t="s">
        <v>3721</v>
      </c>
      <c r="I14" s="3457">
        <v>58351.58</v>
      </c>
      <c r="J14" s="3457">
        <v>116703</v>
      </c>
      <c r="K14" s="3457" t="s">
        <v>3571</v>
      </c>
      <c r="L14" s="3457" t="s">
        <v>3571</v>
      </c>
      <c r="M14" s="3457">
        <v>0</v>
      </c>
      <c r="N14" s="3457">
        <v>0</v>
      </c>
      <c r="O14" s="3457" t="s">
        <v>3595</v>
      </c>
      <c r="P14" s="3457" t="s">
        <v>3645</v>
      </c>
      <c r="Q14" s="3457" t="s">
        <v>3645</v>
      </c>
      <c r="R14" s="3457" t="s">
        <v>3722</v>
      </c>
      <c r="S14" s="3457" t="s">
        <v>3723</v>
      </c>
      <c r="T14" s="3457">
        <v>2</v>
      </c>
      <c r="U14" s="3457" t="s">
        <v>3571</v>
      </c>
      <c r="V14" s="3457" t="s">
        <v>3724</v>
      </c>
      <c r="W14" s="3457" t="s">
        <v>3725</v>
      </c>
      <c r="X14" s="3457" t="s">
        <v>3577</v>
      </c>
      <c r="Y14" s="3457" t="s">
        <v>3726</v>
      </c>
      <c r="Z14" s="3457" t="s">
        <v>3727</v>
      </c>
      <c r="AA14" s="3457" t="s">
        <v>3727</v>
      </c>
      <c r="AB14" s="3457" t="s">
        <v>3571</v>
      </c>
      <c r="AC14" s="3457" t="s">
        <v>3571</v>
      </c>
      <c r="AD14" s="3458">
        <v>44286.000497685185</v>
      </c>
      <c r="AE14" s="3458">
        <v>44308.000497685185</v>
      </c>
      <c r="AF14" s="3458">
        <v>44324.000497685185</v>
      </c>
      <c r="AG14" s="3458">
        <v>44341.000497685185</v>
      </c>
      <c r="AH14" s="3457" t="s">
        <v>3581</v>
      </c>
      <c r="AI14" s="3457" t="s">
        <v>3634</v>
      </c>
      <c r="AJ14" s="3457" t="s">
        <v>3728</v>
      </c>
      <c r="AK14" s="3457" t="s">
        <v>3729</v>
      </c>
      <c r="AL14" s="3457" t="s">
        <v>3730</v>
      </c>
      <c r="AM14" s="3457" t="s">
        <v>3731</v>
      </c>
      <c r="AN14" s="3457">
        <v>151200</v>
      </c>
      <c r="AO14" s="3457">
        <v>31000</v>
      </c>
      <c r="AP14" s="3458">
        <v>44323.625497685185</v>
      </c>
      <c r="AQ14" s="3457">
        <v>173800</v>
      </c>
      <c r="AR14" s="3457">
        <v>25911.89</v>
      </c>
      <c r="AS14" s="3457">
        <v>29784.959999999999</v>
      </c>
      <c r="AT14" s="3457">
        <v>1727.46</v>
      </c>
      <c r="AU14" s="3457">
        <v>1985.66</v>
      </c>
      <c r="AV14" s="3457">
        <v>12956</v>
      </c>
      <c r="AW14" s="3457">
        <v>14893</v>
      </c>
      <c r="AX14" s="3457" t="s">
        <v>3571</v>
      </c>
      <c r="AY14" s="3457" t="s">
        <v>3571</v>
      </c>
      <c r="AZ14" s="3457">
        <v>14.95</v>
      </c>
      <c r="BA14" s="3457">
        <v>173800</v>
      </c>
      <c r="BB14" s="3457" t="s">
        <v>3732</v>
      </c>
      <c r="BC14" s="3457" t="s">
        <v>3571</v>
      </c>
      <c r="BD14" s="3457" t="s">
        <v>3571</v>
      </c>
      <c r="BE14" s="3457">
        <v>14893</v>
      </c>
      <c r="BF14" s="3457">
        <v>14.95</v>
      </c>
      <c r="BG14" s="3457" t="s">
        <v>3571</v>
      </c>
      <c r="BH14" s="3457" t="s">
        <v>3588</v>
      </c>
      <c r="BI14" s="3457" t="s">
        <v>3733</v>
      </c>
      <c r="BJ14" s="3457" t="s">
        <v>3590</v>
      </c>
      <c r="BK14" s="3457" t="s">
        <v>3591</v>
      </c>
      <c r="BL14" s="3458">
        <v>44369.000497685185</v>
      </c>
      <c r="BM14" s="3457">
        <v>173800</v>
      </c>
    </row>
    <row r="15" spans="1:65" hidden="1">
      <c r="A15" s="3457" t="s">
        <v>3734</v>
      </c>
      <c r="B15" s="3457" t="s">
        <v>3564</v>
      </c>
      <c r="C15" s="3457" t="s">
        <v>3565</v>
      </c>
      <c r="D15" s="3457" t="s">
        <v>3566</v>
      </c>
      <c r="E15" s="3457" t="s">
        <v>3735</v>
      </c>
      <c r="F15" s="3457" t="s">
        <v>3736</v>
      </c>
      <c r="G15" s="3457" t="s">
        <v>3736</v>
      </c>
      <c r="H15" s="3457" t="s">
        <v>3737</v>
      </c>
      <c r="I15" s="3457">
        <v>115536.75</v>
      </c>
      <c r="J15" s="3457">
        <v>211725</v>
      </c>
      <c r="K15" s="3457" t="s">
        <v>3571</v>
      </c>
      <c r="L15" s="3457" t="s">
        <v>3571</v>
      </c>
      <c r="M15" s="3457">
        <v>0</v>
      </c>
      <c r="N15" s="3457">
        <v>0</v>
      </c>
      <c r="O15" s="3457" t="s">
        <v>3572</v>
      </c>
      <c r="P15" s="3457" t="s">
        <v>3738</v>
      </c>
      <c r="Q15" s="3457" t="s">
        <v>3739</v>
      </c>
      <c r="R15" s="3457" t="s">
        <v>3722</v>
      </c>
      <c r="S15" s="3457" t="s">
        <v>3740</v>
      </c>
      <c r="T15" s="3457">
        <v>1.83</v>
      </c>
      <c r="U15" s="3457" t="s">
        <v>3571</v>
      </c>
      <c r="V15" s="3457" t="s">
        <v>3571</v>
      </c>
      <c r="W15" s="3457" t="s">
        <v>3571</v>
      </c>
      <c r="X15" s="3457" t="s">
        <v>3577</v>
      </c>
      <c r="Y15" s="3457" t="s">
        <v>3726</v>
      </c>
      <c r="Z15" s="3457" t="s">
        <v>3727</v>
      </c>
      <c r="AA15" s="3457" t="s">
        <v>3580</v>
      </c>
      <c r="AB15" s="3457" t="s">
        <v>3571</v>
      </c>
      <c r="AC15" s="3457" t="s">
        <v>3571</v>
      </c>
      <c r="AD15" s="3458">
        <v>44286.000497685185</v>
      </c>
      <c r="AE15" s="3458">
        <v>44308.000497685185</v>
      </c>
      <c r="AF15" s="3458">
        <v>44324.000497685185</v>
      </c>
      <c r="AG15" s="3458">
        <v>44324.000497685185</v>
      </c>
      <c r="AH15" s="3457" t="s">
        <v>3581</v>
      </c>
      <c r="AI15" s="3457" t="s">
        <v>3682</v>
      </c>
      <c r="AJ15" s="3457" t="s">
        <v>3741</v>
      </c>
      <c r="AK15" s="3457" t="s">
        <v>3742</v>
      </c>
      <c r="AL15" s="3457" t="s">
        <v>3743</v>
      </c>
      <c r="AM15" s="3457" t="s">
        <v>3744</v>
      </c>
      <c r="AN15" s="3457">
        <v>457000</v>
      </c>
      <c r="AO15" s="3457">
        <v>92000</v>
      </c>
      <c r="AP15" s="3458">
        <v>44323.625497685185</v>
      </c>
      <c r="AQ15" s="3457">
        <v>457000</v>
      </c>
      <c r="AR15" s="3457">
        <v>39554.51</v>
      </c>
      <c r="AS15" s="3457">
        <v>39554.51</v>
      </c>
      <c r="AT15" s="3457">
        <v>2636.97</v>
      </c>
      <c r="AU15" s="3457">
        <v>2636.97</v>
      </c>
      <c r="AV15" s="3457">
        <v>21585</v>
      </c>
      <c r="AW15" s="3457">
        <v>21585</v>
      </c>
      <c r="AX15" s="3457" t="s">
        <v>3571</v>
      </c>
      <c r="AY15" s="3457" t="s">
        <v>3571</v>
      </c>
      <c r="AZ15" s="3457">
        <v>0</v>
      </c>
      <c r="BA15" s="3457">
        <v>502700</v>
      </c>
      <c r="BB15" s="3457" t="s">
        <v>3587</v>
      </c>
      <c r="BC15" s="3457" t="s">
        <v>3571</v>
      </c>
      <c r="BD15" s="3457" t="s">
        <v>3571</v>
      </c>
      <c r="BE15" s="3457">
        <v>23743</v>
      </c>
      <c r="BF15" s="3457">
        <v>10</v>
      </c>
      <c r="BG15" s="3457" t="s">
        <v>3571</v>
      </c>
      <c r="BH15" s="3457" t="s">
        <v>3588</v>
      </c>
      <c r="BI15" s="3457" t="s">
        <v>3745</v>
      </c>
      <c r="BJ15" s="3457" t="s">
        <v>3590</v>
      </c>
      <c r="BK15" s="3457" t="s">
        <v>3591</v>
      </c>
      <c r="BL15" s="3457" t="s">
        <v>3571</v>
      </c>
      <c r="BM15" s="3457" t="s">
        <v>3571</v>
      </c>
    </row>
    <row r="16" spans="1:65" hidden="1">
      <c r="A16" s="3457" t="s">
        <v>3746</v>
      </c>
      <c r="B16" s="3457" t="s">
        <v>3564</v>
      </c>
      <c r="C16" s="3457" t="s">
        <v>3565</v>
      </c>
      <c r="D16" s="3457" t="s">
        <v>3619</v>
      </c>
      <c r="E16" s="3457" t="s">
        <v>3620</v>
      </c>
      <c r="F16" s="3457" t="s">
        <v>3747</v>
      </c>
      <c r="G16" s="3457" t="s">
        <v>3747</v>
      </c>
      <c r="H16" s="3457" t="s">
        <v>3748</v>
      </c>
      <c r="I16" s="3457">
        <v>16867.490000000002</v>
      </c>
      <c r="J16" s="3457">
        <v>32048.23</v>
      </c>
      <c r="K16" s="3457" t="s">
        <v>3571</v>
      </c>
      <c r="L16" s="3457" t="s">
        <v>3571</v>
      </c>
      <c r="M16" s="3457">
        <v>0</v>
      </c>
      <c r="N16" s="3457">
        <v>0</v>
      </c>
      <c r="O16" s="3457" t="s">
        <v>3595</v>
      </c>
      <c r="P16" s="3457" t="s">
        <v>3645</v>
      </c>
      <c r="Q16" s="3457" t="s">
        <v>3645</v>
      </c>
      <c r="R16" s="3457" t="s">
        <v>3722</v>
      </c>
      <c r="S16" s="3457" t="s">
        <v>3749</v>
      </c>
      <c r="T16" s="3457">
        <v>1.9</v>
      </c>
      <c r="U16" s="3457">
        <v>0</v>
      </c>
      <c r="V16" s="3457" t="s">
        <v>3571</v>
      </c>
      <c r="W16" s="3457" t="s">
        <v>3750</v>
      </c>
      <c r="X16" s="3457" t="s">
        <v>3577</v>
      </c>
      <c r="Y16" s="3457" t="s">
        <v>3726</v>
      </c>
      <c r="Z16" s="3457" t="s">
        <v>3727</v>
      </c>
      <c r="AA16" s="3457" t="s">
        <v>3727</v>
      </c>
      <c r="AB16" s="3457" t="s">
        <v>3571</v>
      </c>
      <c r="AC16" s="3457" t="s">
        <v>3571</v>
      </c>
      <c r="AD16" s="3458">
        <v>44286.000497685185</v>
      </c>
      <c r="AE16" s="3458">
        <v>44308.000497685185</v>
      </c>
      <c r="AF16" s="3458">
        <v>44324.000497685185</v>
      </c>
      <c r="AG16" s="3458">
        <v>44342.000497685185</v>
      </c>
      <c r="AH16" s="3457" t="s">
        <v>3581</v>
      </c>
      <c r="AI16" s="3457" t="s">
        <v>3634</v>
      </c>
      <c r="AJ16" s="3457" t="s">
        <v>3624</v>
      </c>
      <c r="AK16" s="3457" t="s">
        <v>3615</v>
      </c>
      <c r="AL16" s="3457" t="s">
        <v>3585</v>
      </c>
      <c r="AM16" s="3457" t="s">
        <v>3586</v>
      </c>
      <c r="AN16" s="3457">
        <v>38100</v>
      </c>
      <c r="AO16" s="3457">
        <v>7700</v>
      </c>
      <c r="AP16" s="3458">
        <v>44323.625497685185</v>
      </c>
      <c r="AQ16" s="3457">
        <v>41900</v>
      </c>
      <c r="AR16" s="3457">
        <v>22587.83</v>
      </c>
      <c r="AS16" s="3457">
        <v>24840.68</v>
      </c>
      <c r="AT16" s="3457">
        <v>1505.86</v>
      </c>
      <c r="AU16" s="3457">
        <v>1656.05</v>
      </c>
      <c r="AV16" s="3457">
        <v>11888</v>
      </c>
      <c r="AW16" s="3457">
        <v>13074</v>
      </c>
      <c r="AX16" s="3457" t="s">
        <v>3571</v>
      </c>
      <c r="AY16" s="3457" t="s">
        <v>3571</v>
      </c>
      <c r="AZ16" s="3457">
        <v>9.9700000000000006</v>
      </c>
      <c r="BA16" s="3457">
        <v>41900</v>
      </c>
      <c r="BB16" s="3457" t="s">
        <v>3732</v>
      </c>
      <c r="BC16" s="3457" t="s">
        <v>3571</v>
      </c>
      <c r="BD16" s="3457" t="s">
        <v>3571</v>
      </c>
      <c r="BE16" s="3457">
        <v>13074</v>
      </c>
      <c r="BF16" s="3457">
        <v>9.9700000000000006</v>
      </c>
      <c r="BG16" s="3457" t="s">
        <v>3571</v>
      </c>
      <c r="BH16" s="3457" t="s">
        <v>3588</v>
      </c>
      <c r="BI16" s="3457" t="s">
        <v>3751</v>
      </c>
      <c r="BJ16" s="3457" t="s">
        <v>3590</v>
      </c>
      <c r="BK16" s="3457" t="s">
        <v>3591</v>
      </c>
      <c r="BL16" s="3457" t="s">
        <v>3571</v>
      </c>
      <c r="BM16" s="3457" t="s">
        <v>3571</v>
      </c>
    </row>
    <row r="17" spans="1:65" hidden="1">
      <c r="A17" s="3457" t="s">
        <v>3752</v>
      </c>
      <c r="B17" s="3457" t="s">
        <v>3564</v>
      </c>
      <c r="C17" s="3457" t="s">
        <v>3565</v>
      </c>
      <c r="D17" s="3457" t="s">
        <v>3566</v>
      </c>
      <c r="E17" s="3457" t="s">
        <v>3753</v>
      </c>
      <c r="F17" s="3457" t="s">
        <v>3754</v>
      </c>
      <c r="G17" s="3457" t="s">
        <v>3754</v>
      </c>
      <c r="H17" s="3457" t="s">
        <v>3755</v>
      </c>
      <c r="I17" s="3457">
        <v>212724.14</v>
      </c>
      <c r="J17" s="3457">
        <v>519225</v>
      </c>
      <c r="K17" s="3457" t="s">
        <v>3571</v>
      </c>
      <c r="L17" s="3457" t="s">
        <v>3571</v>
      </c>
      <c r="M17" s="3457">
        <v>0</v>
      </c>
      <c r="N17" s="3457">
        <v>0</v>
      </c>
      <c r="O17" s="3457" t="s">
        <v>3572</v>
      </c>
      <c r="P17" s="3457" t="s">
        <v>3756</v>
      </c>
      <c r="Q17" s="3457" t="s">
        <v>3757</v>
      </c>
      <c r="R17" s="3457" t="s">
        <v>3722</v>
      </c>
      <c r="S17" s="3457" t="s">
        <v>3758</v>
      </c>
      <c r="T17" s="3457">
        <v>0</v>
      </c>
      <c r="U17" s="3457">
        <v>61.09</v>
      </c>
      <c r="V17" s="3457" t="s">
        <v>3759</v>
      </c>
      <c r="W17" s="3457" t="s">
        <v>3760</v>
      </c>
      <c r="X17" s="3457" t="s">
        <v>3577</v>
      </c>
      <c r="Y17" s="3457" t="s">
        <v>3578</v>
      </c>
      <c r="Z17" s="3457" t="s">
        <v>3761</v>
      </c>
      <c r="AA17" s="3457" t="s">
        <v>3580</v>
      </c>
      <c r="AB17" s="3457" t="s">
        <v>3571</v>
      </c>
      <c r="AC17" s="3457" t="s">
        <v>3571</v>
      </c>
      <c r="AD17" s="3458">
        <v>44133.000497685185</v>
      </c>
      <c r="AE17" s="3458">
        <v>44153.000497685185</v>
      </c>
      <c r="AF17" s="3458">
        <v>44167.000497685185</v>
      </c>
      <c r="AG17" s="3458">
        <v>44167.000497685185</v>
      </c>
      <c r="AH17" s="3457" t="s">
        <v>3581</v>
      </c>
      <c r="AI17" s="3457" t="s">
        <v>3634</v>
      </c>
      <c r="AJ17" s="3457" t="s">
        <v>3762</v>
      </c>
      <c r="AK17" s="3457" t="s">
        <v>3716</v>
      </c>
      <c r="AL17" s="3457" t="s">
        <v>3585</v>
      </c>
      <c r="AM17" s="3457" t="s">
        <v>3586</v>
      </c>
      <c r="AN17" s="3457">
        <v>449900</v>
      </c>
      <c r="AO17" s="3457">
        <v>90000</v>
      </c>
      <c r="AP17" s="3458">
        <v>44166.625497685185</v>
      </c>
      <c r="AQ17" s="3457">
        <v>449900</v>
      </c>
      <c r="AR17" s="3457">
        <v>21149.45</v>
      </c>
      <c r="AS17" s="3457">
        <v>21149.45</v>
      </c>
      <c r="AT17" s="3457">
        <v>1409.96</v>
      </c>
      <c r="AU17" s="3457">
        <v>1409.96</v>
      </c>
      <c r="AV17" s="3457">
        <v>8665</v>
      </c>
      <c r="AW17" s="3457">
        <v>8665</v>
      </c>
      <c r="AX17" s="3457" t="s">
        <v>3571</v>
      </c>
      <c r="AY17" s="3457" t="s">
        <v>3571</v>
      </c>
      <c r="AZ17" s="3457">
        <v>0</v>
      </c>
      <c r="BA17" s="3457" t="s">
        <v>3571</v>
      </c>
      <c r="BB17" s="3457" t="s">
        <v>3571</v>
      </c>
      <c r="BC17" s="3457" t="s">
        <v>3571</v>
      </c>
      <c r="BD17" s="3457" t="s">
        <v>3571</v>
      </c>
      <c r="BE17" s="3457" t="s">
        <v>3571</v>
      </c>
      <c r="BF17" s="3457" t="s">
        <v>3571</v>
      </c>
      <c r="BG17" s="3457" t="s">
        <v>3571</v>
      </c>
      <c r="BH17" s="3457" t="s">
        <v>3588</v>
      </c>
      <c r="BI17" s="3457" t="s">
        <v>3763</v>
      </c>
      <c r="BJ17" s="3457" t="s">
        <v>3590</v>
      </c>
      <c r="BK17" s="3457" t="s">
        <v>3591</v>
      </c>
      <c r="BL17" s="3457" t="s">
        <v>3571</v>
      </c>
      <c r="BM17" s="3457" t="s">
        <v>3571</v>
      </c>
    </row>
    <row r="18" spans="1:65" hidden="1">
      <c r="A18" s="3457" t="s">
        <v>3764</v>
      </c>
      <c r="B18" s="3457" t="s">
        <v>3564</v>
      </c>
      <c r="C18" s="3457" t="s">
        <v>3565</v>
      </c>
      <c r="D18" s="3457" t="s">
        <v>3628</v>
      </c>
      <c r="E18" s="3457" t="s">
        <v>3765</v>
      </c>
      <c r="F18" s="3457" t="s">
        <v>3766</v>
      </c>
      <c r="G18" s="3457" t="s">
        <v>3766</v>
      </c>
      <c r="H18" s="3457" t="s">
        <v>3767</v>
      </c>
      <c r="I18" s="3457">
        <v>36460.699999999997</v>
      </c>
      <c r="J18" s="3457">
        <v>85682.64</v>
      </c>
      <c r="K18" s="3457" t="s">
        <v>3571</v>
      </c>
      <c r="L18" s="3457" t="s">
        <v>3571</v>
      </c>
      <c r="M18" s="3457">
        <v>0</v>
      </c>
      <c r="N18" s="3457">
        <v>0</v>
      </c>
      <c r="O18" s="3457" t="s">
        <v>3595</v>
      </c>
      <c r="P18" s="3457" t="s">
        <v>3645</v>
      </c>
      <c r="Q18" s="3457" t="s">
        <v>3645</v>
      </c>
      <c r="R18" s="3457" t="s">
        <v>3722</v>
      </c>
      <c r="S18" s="3457" t="s">
        <v>3768</v>
      </c>
      <c r="T18" s="3457">
        <v>2.35</v>
      </c>
      <c r="U18" s="3457" t="s">
        <v>3571</v>
      </c>
      <c r="V18" s="3457" t="s">
        <v>3724</v>
      </c>
      <c r="W18" s="3457" t="s">
        <v>3769</v>
      </c>
      <c r="X18" s="3457" t="s">
        <v>3577</v>
      </c>
      <c r="Y18" s="3457" t="s">
        <v>3578</v>
      </c>
      <c r="Z18" s="3457" t="s">
        <v>3761</v>
      </c>
      <c r="AA18" s="3457" t="s">
        <v>3580</v>
      </c>
      <c r="AB18" s="3457" t="s">
        <v>3571</v>
      </c>
      <c r="AC18" s="3457" t="s">
        <v>3571</v>
      </c>
      <c r="AD18" s="3458">
        <v>44041.000497685185</v>
      </c>
      <c r="AE18" s="3458">
        <v>44062.000497685185</v>
      </c>
      <c r="AF18" s="3458">
        <v>44076.000497685185</v>
      </c>
      <c r="AG18" s="3458">
        <v>44076.000497685185</v>
      </c>
      <c r="AH18" s="3457" t="s">
        <v>3581</v>
      </c>
      <c r="AI18" s="3457" t="s">
        <v>3634</v>
      </c>
      <c r="AJ18" s="3457" t="s">
        <v>3770</v>
      </c>
      <c r="AK18" s="3457" t="s">
        <v>3771</v>
      </c>
      <c r="AL18" s="3457" t="s">
        <v>3585</v>
      </c>
      <c r="AM18" s="3457" t="s">
        <v>3586</v>
      </c>
      <c r="AN18" s="3457">
        <v>132800</v>
      </c>
      <c r="AO18" s="3457">
        <v>26600</v>
      </c>
      <c r="AP18" s="3458">
        <v>44075.625497685185</v>
      </c>
      <c r="AQ18" s="3457">
        <v>132800</v>
      </c>
      <c r="AR18" s="3457">
        <v>36422.769999999997</v>
      </c>
      <c r="AS18" s="3457">
        <v>36422.769999999997</v>
      </c>
      <c r="AT18" s="3457">
        <v>2428.19</v>
      </c>
      <c r="AU18" s="3457">
        <v>2428.19</v>
      </c>
      <c r="AV18" s="3457">
        <v>15499</v>
      </c>
      <c r="AW18" s="3457">
        <v>15499</v>
      </c>
      <c r="AX18" s="3457" t="s">
        <v>3571</v>
      </c>
      <c r="AY18" s="3457" t="s">
        <v>3571</v>
      </c>
      <c r="AZ18" s="3457">
        <v>0</v>
      </c>
      <c r="BA18" s="3457" t="s">
        <v>3571</v>
      </c>
      <c r="BB18" s="3457" t="s">
        <v>3571</v>
      </c>
      <c r="BC18" s="3457" t="s">
        <v>3571</v>
      </c>
      <c r="BD18" s="3457" t="s">
        <v>3571</v>
      </c>
      <c r="BE18" s="3457" t="s">
        <v>3571</v>
      </c>
      <c r="BF18" s="3457" t="s">
        <v>3571</v>
      </c>
      <c r="BG18" s="3457" t="s">
        <v>3571</v>
      </c>
      <c r="BH18" s="3457" t="s">
        <v>3602</v>
      </c>
      <c r="BI18" s="3457" t="s">
        <v>3772</v>
      </c>
      <c r="BJ18" s="3457" t="s">
        <v>3590</v>
      </c>
      <c r="BK18" s="3457" t="s">
        <v>3591</v>
      </c>
      <c r="BL18" s="3457" t="s">
        <v>3571</v>
      </c>
      <c r="BM18" s="3457" t="s">
        <v>3571</v>
      </c>
    </row>
    <row r="19" spans="1:65" hidden="1">
      <c r="A19" s="3457" t="s">
        <v>3773</v>
      </c>
      <c r="B19" s="3457" t="s">
        <v>3564</v>
      </c>
      <c r="C19" s="3457" t="s">
        <v>3565</v>
      </c>
      <c r="D19" s="3457" t="s">
        <v>3566</v>
      </c>
      <c r="E19" s="3457" t="s">
        <v>3567</v>
      </c>
      <c r="F19" s="3457" t="s">
        <v>3774</v>
      </c>
      <c r="G19" s="3457" t="s">
        <v>3774</v>
      </c>
      <c r="H19" s="3457" t="s">
        <v>3775</v>
      </c>
      <c r="I19" s="3457">
        <v>42031.040000000001</v>
      </c>
      <c r="J19" s="3457">
        <v>84062</v>
      </c>
      <c r="K19" s="3457" t="s">
        <v>3571</v>
      </c>
      <c r="L19" s="3457" t="s">
        <v>3571</v>
      </c>
      <c r="M19" s="3457">
        <v>0</v>
      </c>
      <c r="N19" s="3457">
        <v>0</v>
      </c>
      <c r="O19" s="3457" t="s">
        <v>3595</v>
      </c>
      <c r="P19" s="3457" t="s">
        <v>3645</v>
      </c>
      <c r="Q19" s="3457" t="s">
        <v>3645</v>
      </c>
      <c r="R19" s="3457" t="s">
        <v>3722</v>
      </c>
      <c r="S19" s="3457" t="s">
        <v>3723</v>
      </c>
      <c r="T19" s="3457">
        <v>2</v>
      </c>
      <c r="U19" s="3457" t="s">
        <v>3571</v>
      </c>
      <c r="V19" s="3457" t="s">
        <v>3724</v>
      </c>
      <c r="W19" s="3457" t="s">
        <v>3750</v>
      </c>
      <c r="X19" s="3457" t="s">
        <v>3577</v>
      </c>
      <c r="Y19" s="3457" t="s">
        <v>3578</v>
      </c>
      <c r="Z19" s="3457" t="s">
        <v>3761</v>
      </c>
      <c r="AA19" s="3457" t="s">
        <v>3580</v>
      </c>
      <c r="AB19" s="3457" t="s">
        <v>3571</v>
      </c>
      <c r="AC19" s="3457" t="s">
        <v>3571</v>
      </c>
      <c r="AD19" s="3458">
        <v>44025.000497685185</v>
      </c>
      <c r="AE19" s="3458">
        <v>44046.000497685185</v>
      </c>
      <c r="AF19" s="3458">
        <v>44060.000497685185</v>
      </c>
      <c r="AG19" s="3458">
        <v>44060.000497685185</v>
      </c>
      <c r="AH19" s="3457" t="s">
        <v>3581</v>
      </c>
      <c r="AI19" s="3457" t="s">
        <v>3634</v>
      </c>
      <c r="AJ19" s="3457" t="s">
        <v>3776</v>
      </c>
      <c r="AK19" s="3457" t="s">
        <v>3777</v>
      </c>
      <c r="AL19" s="3457" t="s">
        <v>3671</v>
      </c>
      <c r="AM19" s="3457" t="s">
        <v>3672</v>
      </c>
      <c r="AN19" s="3457">
        <v>197100</v>
      </c>
      <c r="AO19" s="3457">
        <v>39500</v>
      </c>
      <c r="AP19" s="3458">
        <v>44057.625497685185</v>
      </c>
      <c r="AQ19" s="3457">
        <v>197100</v>
      </c>
      <c r="AR19" s="3457">
        <v>46893.91</v>
      </c>
      <c r="AS19" s="3457">
        <v>46893.91</v>
      </c>
      <c r="AT19" s="3457">
        <v>3126.26</v>
      </c>
      <c r="AU19" s="3457">
        <v>3126.26</v>
      </c>
      <c r="AV19" s="3457">
        <v>23447</v>
      </c>
      <c r="AW19" s="3457">
        <v>23447</v>
      </c>
      <c r="AX19" s="3457" t="s">
        <v>3571</v>
      </c>
      <c r="AY19" s="3457" t="s">
        <v>3571</v>
      </c>
      <c r="AZ19" s="3457">
        <v>0</v>
      </c>
      <c r="BA19" s="3457" t="s">
        <v>3571</v>
      </c>
      <c r="BB19" s="3457" t="s">
        <v>3571</v>
      </c>
      <c r="BC19" s="3457" t="s">
        <v>3571</v>
      </c>
      <c r="BD19" s="3457" t="s">
        <v>3571</v>
      </c>
      <c r="BE19" s="3457" t="s">
        <v>3571</v>
      </c>
      <c r="BF19" s="3457" t="s">
        <v>3571</v>
      </c>
      <c r="BG19" s="3457" t="s">
        <v>3571</v>
      </c>
      <c r="BH19" s="3457" t="s">
        <v>3588</v>
      </c>
      <c r="BI19" s="3457" t="s">
        <v>3603</v>
      </c>
      <c r="BJ19" s="3457" t="s">
        <v>3590</v>
      </c>
      <c r="BK19" s="3457" t="s">
        <v>3591</v>
      </c>
      <c r="BL19" s="3457" t="s">
        <v>3571</v>
      </c>
      <c r="BM19" s="3457" t="s">
        <v>3571</v>
      </c>
    </row>
    <row r="20" spans="1:65" hidden="1">
      <c r="A20" s="3457" t="s">
        <v>3778</v>
      </c>
      <c r="B20" s="3457" t="s">
        <v>3564</v>
      </c>
      <c r="C20" s="3457" t="s">
        <v>3565</v>
      </c>
      <c r="D20" s="3457" t="s">
        <v>3628</v>
      </c>
      <c r="E20" s="3457" t="s">
        <v>3660</v>
      </c>
      <c r="F20" s="3457" t="s">
        <v>3779</v>
      </c>
      <c r="G20" s="3457" t="s">
        <v>3779</v>
      </c>
      <c r="H20" s="3457" t="s">
        <v>3780</v>
      </c>
      <c r="I20" s="3457">
        <v>35468.480000000003</v>
      </c>
      <c r="J20" s="3457">
        <v>51985.91</v>
      </c>
      <c r="K20" s="3457" t="s">
        <v>3571</v>
      </c>
      <c r="L20" s="3457" t="s">
        <v>3571</v>
      </c>
      <c r="M20" s="3457">
        <v>0</v>
      </c>
      <c r="N20" s="3457">
        <v>0</v>
      </c>
      <c r="O20" s="3457" t="s">
        <v>3572</v>
      </c>
      <c r="P20" s="3457" t="s">
        <v>3781</v>
      </c>
      <c r="Q20" s="3457" t="s">
        <v>3782</v>
      </c>
      <c r="R20" s="3457" t="s">
        <v>3783</v>
      </c>
      <c r="S20" s="3457" t="s">
        <v>3784</v>
      </c>
      <c r="T20" s="3457">
        <v>1.47</v>
      </c>
      <c r="U20" s="3457" t="s">
        <v>3571</v>
      </c>
      <c r="V20" s="3457" t="s">
        <v>3571</v>
      </c>
      <c r="W20" s="3457" t="s">
        <v>3571</v>
      </c>
      <c r="X20" s="3457" t="s">
        <v>3711</v>
      </c>
      <c r="Y20" s="3457" t="s">
        <v>3578</v>
      </c>
      <c r="Z20" s="3457" t="s">
        <v>3571</v>
      </c>
      <c r="AA20" s="3457" t="s">
        <v>3571</v>
      </c>
      <c r="AB20" s="3457" t="s">
        <v>3571</v>
      </c>
      <c r="AC20" s="3457" t="s">
        <v>3785</v>
      </c>
      <c r="AD20" s="3458">
        <v>43921.000497685185</v>
      </c>
      <c r="AE20" s="3458">
        <v>43941.000497685185</v>
      </c>
      <c r="AF20" s="3458">
        <v>43941.000497685185</v>
      </c>
      <c r="AG20" s="3458">
        <v>43941.000497685185</v>
      </c>
      <c r="AH20" s="3457" t="s">
        <v>3581</v>
      </c>
      <c r="AI20" s="3457" t="s">
        <v>3682</v>
      </c>
      <c r="AJ20" s="3457" t="s">
        <v>3786</v>
      </c>
      <c r="AK20" s="3457" t="s">
        <v>3571</v>
      </c>
      <c r="AL20" s="3457" t="s">
        <v>3571</v>
      </c>
      <c r="AM20" s="3457" t="s">
        <v>3571</v>
      </c>
      <c r="AN20" s="3457" t="s">
        <v>3571</v>
      </c>
      <c r="AO20" s="3457">
        <v>500</v>
      </c>
      <c r="AP20" s="3458">
        <v>43936.646331018521</v>
      </c>
      <c r="AQ20" s="3457" t="s">
        <v>3571</v>
      </c>
      <c r="AR20" s="3457" t="s">
        <v>3571</v>
      </c>
      <c r="AS20" s="3457" t="s">
        <v>3571</v>
      </c>
      <c r="AT20" s="3457" t="s">
        <v>3571</v>
      </c>
      <c r="AU20" s="3457" t="s">
        <v>3571</v>
      </c>
      <c r="AV20" s="3457" t="s">
        <v>3571</v>
      </c>
      <c r="AW20" s="3457" t="s">
        <v>3571</v>
      </c>
      <c r="AX20" s="3457" t="s">
        <v>3571</v>
      </c>
      <c r="AY20" s="3457" t="s">
        <v>3571</v>
      </c>
      <c r="AZ20" s="3457">
        <v>0</v>
      </c>
      <c r="BA20" s="3457" t="s">
        <v>3571</v>
      </c>
      <c r="BB20" s="3457" t="s">
        <v>3571</v>
      </c>
      <c r="BC20" s="3457" t="s">
        <v>3571</v>
      </c>
      <c r="BD20" s="3457" t="s">
        <v>3571</v>
      </c>
      <c r="BE20" s="3457" t="s">
        <v>3571</v>
      </c>
      <c r="BF20" s="3457" t="s">
        <v>3571</v>
      </c>
      <c r="BG20" s="3457" t="s">
        <v>3571</v>
      </c>
      <c r="BH20" s="3457" t="s">
        <v>3602</v>
      </c>
      <c r="BI20" s="3457" t="s">
        <v>3603</v>
      </c>
      <c r="BJ20" s="3457" t="s">
        <v>3590</v>
      </c>
      <c r="BK20" s="3457" t="s">
        <v>3591</v>
      </c>
      <c r="BL20" s="3457" t="s">
        <v>3571</v>
      </c>
      <c r="BM20" s="3457" t="s">
        <v>3571</v>
      </c>
    </row>
    <row r="21" spans="1:65" hidden="1">
      <c r="A21" s="3457" t="s">
        <v>3787</v>
      </c>
      <c r="B21" s="3457" t="s">
        <v>3564</v>
      </c>
      <c r="C21" s="3457" t="s">
        <v>3565</v>
      </c>
      <c r="D21" s="3457" t="s">
        <v>3607</v>
      </c>
      <c r="E21" s="3457" t="s">
        <v>3788</v>
      </c>
      <c r="F21" s="3457" t="s">
        <v>3789</v>
      </c>
      <c r="G21" s="3457" t="s">
        <v>3789</v>
      </c>
      <c r="H21" s="3457" t="s">
        <v>3790</v>
      </c>
      <c r="I21" s="3457">
        <v>121639.58</v>
      </c>
      <c r="J21" s="3457">
        <v>192922</v>
      </c>
      <c r="K21" s="3457" t="s">
        <v>3571</v>
      </c>
      <c r="L21" s="3457" t="s">
        <v>3571</v>
      </c>
      <c r="M21" s="3457">
        <v>0</v>
      </c>
      <c r="N21" s="3457">
        <v>0</v>
      </c>
      <c r="O21" s="3457" t="s">
        <v>3572</v>
      </c>
      <c r="P21" s="3457" t="s">
        <v>3781</v>
      </c>
      <c r="Q21" s="3457" t="s">
        <v>3782</v>
      </c>
      <c r="R21" s="3457" t="s">
        <v>3722</v>
      </c>
      <c r="S21" s="3457" t="s">
        <v>3791</v>
      </c>
      <c r="T21" s="3457">
        <v>1.62</v>
      </c>
      <c r="U21" s="3457" t="s">
        <v>3571</v>
      </c>
      <c r="V21" s="3457" t="s">
        <v>3724</v>
      </c>
      <c r="W21" s="3457" t="s">
        <v>3792</v>
      </c>
      <c r="X21" s="3457" t="s">
        <v>3577</v>
      </c>
      <c r="Y21" s="3457" t="s">
        <v>3578</v>
      </c>
      <c r="Z21" s="3457" t="s">
        <v>3761</v>
      </c>
      <c r="AA21" s="3457" t="s">
        <v>3580</v>
      </c>
      <c r="AB21" s="3457" t="s">
        <v>3571</v>
      </c>
      <c r="AC21" s="3457" t="s">
        <v>3571</v>
      </c>
      <c r="AD21" s="3458">
        <v>43902.000497685185</v>
      </c>
      <c r="AE21" s="3458">
        <v>43922.000497685185</v>
      </c>
      <c r="AF21" s="3458">
        <v>43937.000497685185</v>
      </c>
      <c r="AG21" s="3458">
        <v>43937.000497685185</v>
      </c>
      <c r="AH21" s="3457" t="s">
        <v>3581</v>
      </c>
      <c r="AI21" s="3457" t="s">
        <v>3634</v>
      </c>
      <c r="AJ21" s="3457" t="s">
        <v>3793</v>
      </c>
      <c r="AK21" s="3457" t="s">
        <v>3794</v>
      </c>
      <c r="AL21" s="3457" t="s">
        <v>3637</v>
      </c>
      <c r="AM21" s="3457" t="s">
        <v>3571</v>
      </c>
      <c r="AN21" s="3457">
        <v>185000</v>
      </c>
      <c r="AO21" s="3457">
        <v>37000</v>
      </c>
      <c r="AP21" s="3458">
        <v>43936.625497685185</v>
      </c>
      <c r="AQ21" s="3457">
        <v>214000</v>
      </c>
      <c r="AR21" s="3457">
        <v>15208.86</v>
      </c>
      <c r="AS21" s="3457">
        <v>17592.95</v>
      </c>
      <c r="AT21" s="3457">
        <v>1013.92</v>
      </c>
      <c r="AU21" s="3457">
        <v>1172.8599999999999</v>
      </c>
      <c r="AV21" s="3457">
        <v>9589</v>
      </c>
      <c r="AW21" s="3457">
        <v>11093</v>
      </c>
      <c r="AX21" s="3457" t="s">
        <v>3571</v>
      </c>
      <c r="AY21" s="3457" t="s">
        <v>3571</v>
      </c>
      <c r="AZ21" s="3457">
        <v>15.68</v>
      </c>
      <c r="BA21" s="3457" t="s">
        <v>3571</v>
      </c>
      <c r="BB21" s="3457" t="s">
        <v>3571</v>
      </c>
      <c r="BC21" s="3457" t="s">
        <v>3571</v>
      </c>
      <c r="BD21" s="3457" t="s">
        <v>3571</v>
      </c>
      <c r="BE21" s="3457" t="s">
        <v>3571</v>
      </c>
      <c r="BF21" s="3457" t="s">
        <v>3571</v>
      </c>
      <c r="BG21" s="3457" t="s">
        <v>3571</v>
      </c>
      <c r="BH21" s="3457" t="s">
        <v>3588</v>
      </c>
      <c r="BI21" s="3457" t="s">
        <v>3795</v>
      </c>
      <c r="BJ21" s="3457" t="s">
        <v>3590</v>
      </c>
      <c r="BK21" s="3457" t="s">
        <v>3591</v>
      </c>
      <c r="BL21" s="3457" t="s">
        <v>3571</v>
      </c>
      <c r="BM21" s="3457" t="s">
        <v>3571</v>
      </c>
    </row>
    <row r="22" spans="1:65" hidden="1">
      <c r="A22" s="3457" t="s">
        <v>3796</v>
      </c>
      <c r="B22" s="3457" t="s">
        <v>3564</v>
      </c>
      <c r="C22" s="3457" t="s">
        <v>3565</v>
      </c>
      <c r="D22" s="3457" t="s">
        <v>3607</v>
      </c>
      <c r="E22" s="3457" t="s">
        <v>3719</v>
      </c>
      <c r="F22" s="3457" t="s">
        <v>3797</v>
      </c>
      <c r="G22" s="3457" t="s">
        <v>3797</v>
      </c>
      <c r="H22" s="3457" t="s">
        <v>3721</v>
      </c>
      <c r="I22" s="3457">
        <v>64531.28</v>
      </c>
      <c r="J22" s="3457">
        <v>124382</v>
      </c>
      <c r="K22" s="3457" t="s">
        <v>3571</v>
      </c>
      <c r="L22" s="3457" t="s">
        <v>3571</v>
      </c>
      <c r="M22" s="3457">
        <v>0</v>
      </c>
      <c r="N22" s="3457">
        <v>0</v>
      </c>
      <c r="O22" s="3457" t="s">
        <v>3572</v>
      </c>
      <c r="P22" s="3457" t="s">
        <v>3781</v>
      </c>
      <c r="Q22" s="3457" t="s">
        <v>3782</v>
      </c>
      <c r="R22" s="3457" t="s">
        <v>3798</v>
      </c>
      <c r="S22" s="3457" t="s">
        <v>3799</v>
      </c>
      <c r="T22" s="3457">
        <v>2</v>
      </c>
      <c r="U22" s="3457" t="s">
        <v>3571</v>
      </c>
      <c r="V22" s="3457" t="s">
        <v>3800</v>
      </c>
      <c r="W22" s="3457" t="s">
        <v>3801</v>
      </c>
      <c r="X22" s="3457" t="s">
        <v>3577</v>
      </c>
      <c r="Y22" s="3457" t="s">
        <v>3578</v>
      </c>
      <c r="Z22" s="3457" t="s">
        <v>3761</v>
      </c>
      <c r="AA22" s="3457" t="s">
        <v>3580</v>
      </c>
      <c r="AB22" s="3457" t="s">
        <v>3571</v>
      </c>
      <c r="AC22" s="3457" t="s">
        <v>3571</v>
      </c>
      <c r="AD22" s="3458">
        <v>43902.000497685185</v>
      </c>
      <c r="AE22" s="3458">
        <v>43922.000497685185</v>
      </c>
      <c r="AF22" s="3458">
        <v>43937.000497685185</v>
      </c>
      <c r="AG22" s="3458">
        <v>43937.000497685185</v>
      </c>
      <c r="AH22" s="3457" t="s">
        <v>3581</v>
      </c>
      <c r="AI22" s="3457" t="s">
        <v>3634</v>
      </c>
      <c r="AJ22" s="3457" t="s">
        <v>3802</v>
      </c>
      <c r="AK22" s="3457" t="s">
        <v>3803</v>
      </c>
      <c r="AL22" s="3457" t="s">
        <v>3804</v>
      </c>
      <c r="AM22" s="3457" t="s">
        <v>3731</v>
      </c>
      <c r="AN22" s="3457">
        <v>149600</v>
      </c>
      <c r="AO22" s="3457">
        <v>30000</v>
      </c>
      <c r="AP22" s="3458">
        <v>43936.625497685185</v>
      </c>
      <c r="AQ22" s="3457">
        <v>149600</v>
      </c>
      <c r="AR22" s="3457">
        <v>23182.55</v>
      </c>
      <c r="AS22" s="3457">
        <v>23182.55</v>
      </c>
      <c r="AT22" s="3457">
        <v>1545.5</v>
      </c>
      <c r="AU22" s="3457">
        <v>1545.5</v>
      </c>
      <c r="AV22" s="3457">
        <v>12027</v>
      </c>
      <c r="AW22" s="3457">
        <v>12027</v>
      </c>
      <c r="AX22" s="3457" t="s">
        <v>3571</v>
      </c>
      <c r="AY22" s="3457" t="s">
        <v>3571</v>
      </c>
      <c r="AZ22" s="3457">
        <v>0</v>
      </c>
      <c r="BA22" s="3457" t="s">
        <v>3571</v>
      </c>
      <c r="BB22" s="3457" t="s">
        <v>3571</v>
      </c>
      <c r="BC22" s="3457" t="s">
        <v>3571</v>
      </c>
      <c r="BD22" s="3457" t="s">
        <v>3571</v>
      </c>
      <c r="BE22" s="3457" t="s">
        <v>3571</v>
      </c>
      <c r="BF22" s="3457" t="s">
        <v>3571</v>
      </c>
      <c r="BG22" s="3457" t="s">
        <v>3571</v>
      </c>
      <c r="BH22" s="3457" t="s">
        <v>3588</v>
      </c>
      <c r="BI22" s="3457" t="s">
        <v>3805</v>
      </c>
      <c r="BJ22" s="3457" t="s">
        <v>3590</v>
      </c>
      <c r="BK22" s="3457" t="s">
        <v>3591</v>
      </c>
      <c r="BL22" s="3458">
        <v>43975.000497685185</v>
      </c>
      <c r="BM22" s="3457">
        <v>149600</v>
      </c>
    </row>
    <row r="23" spans="1:65" hidden="1">
      <c r="A23" s="3457" t="s">
        <v>3806</v>
      </c>
      <c r="B23" s="3457" t="s">
        <v>3564</v>
      </c>
      <c r="C23" s="3457" t="s">
        <v>3565</v>
      </c>
      <c r="D23" s="3457" t="s">
        <v>3566</v>
      </c>
      <c r="E23" s="3457" t="s">
        <v>3567</v>
      </c>
      <c r="F23" s="3457" t="s">
        <v>3807</v>
      </c>
      <c r="G23" s="3457" t="s">
        <v>3807</v>
      </c>
      <c r="H23" s="3457" t="s">
        <v>3775</v>
      </c>
      <c r="I23" s="3457">
        <v>54523.08</v>
      </c>
      <c r="J23" s="3457">
        <v>68836</v>
      </c>
      <c r="K23" s="3457">
        <v>0</v>
      </c>
      <c r="L23" s="3457">
        <v>0</v>
      </c>
      <c r="M23" s="3457">
        <v>0</v>
      </c>
      <c r="N23" s="3457">
        <v>0</v>
      </c>
      <c r="O23" s="3457" t="s">
        <v>3572</v>
      </c>
      <c r="P23" s="3457" t="s">
        <v>3808</v>
      </c>
      <c r="Q23" s="3457" t="s">
        <v>3809</v>
      </c>
      <c r="R23" s="3457" t="s">
        <v>3722</v>
      </c>
      <c r="S23" s="3457" t="s">
        <v>3810</v>
      </c>
      <c r="T23" s="3457">
        <v>1.55</v>
      </c>
      <c r="U23" s="3457" t="s">
        <v>3571</v>
      </c>
      <c r="V23" s="3457" t="s">
        <v>3811</v>
      </c>
      <c r="W23" s="3457" t="s">
        <v>3812</v>
      </c>
      <c r="X23" s="3457" t="s">
        <v>3577</v>
      </c>
      <c r="Y23" s="3457" t="s">
        <v>3578</v>
      </c>
      <c r="Z23" s="3457" t="s">
        <v>3761</v>
      </c>
      <c r="AA23" s="3457" t="s">
        <v>3580</v>
      </c>
      <c r="AB23" s="3457" t="s">
        <v>3571</v>
      </c>
      <c r="AC23" s="3457" t="s">
        <v>3571</v>
      </c>
      <c r="AD23" s="3458">
        <v>43784.000497685185</v>
      </c>
      <c r="AE23" s="3458">
        <v>43804.000497685185</v>
      </c>
      <c r="AF23" s="3458">
        <v>43818.000497685185</v>
      </c>
      <c r="AG23" s="3458">
        <v>43818.000497685185</v>
      </c>
      <c r="AH23" s="3457" t="s">
        <v>3581</v>
      </c>
      <c r="AI23" s="3457" t="s">
        <v>3634</v>
      </c>
      <c r="AJ23" s="3457" t="s">
        <v>3813</v>
      </c>
      <c r="AK23" s="3457" t="s">
        <v>3814</v>
      </c>
      <c r="AL23" s="3457" t="s">
        <v>3671</v>
      </c>
      <c r="AM23" s="3457" t="s">
        <v>3815</v>
      </c>
      <c r="AN23" s="3457">
        <v>161000</v>
      </c>
      <c r="AO23" s="3457">
        <v>32200</v>
      </c>
      <c r="AP23" s="3458">
        <v>43817.625497685185</v>
      </c>
      <c r="AQ23" s="3457">
        <v>161000</v>
      </c>
      <c r="AR23" s="3457">
        <v>29528.78</v>
      </c>
      <c r="AS23" s="3457">
        <v>29528.78</v>
      </c>
      <c r="AT23" s="3457">
        <v>1968.59</v>
      </c>
      <c r="AU23" s="3457">
        <v>1968.59</v>
      </c>
      <c r="AV23" s="3457">
        <v>23389</v>
      </c>
      <c r="AW23" s="3457">
        <v>23389</v>
      </c>
      <c r="AX23" s="3457" t="s">
        <v>3571</v>
      </c>
      <c r="AY23" s="3457" t="s">
        <v>3571</v>
      </c>
      <c r="AZ23" s="3457">
        <v>0</v>
      </c>
      <c r="BA23" s="3457" t="s">
        <v>3571</v>
      </c>
      <c r="BB23" s="3457" t="s">
        <v>3571</v>
      </c>
      <c r="BC23" s="3457" t="s">
        <v>3571</v>
      </c>
      <c r="BD23" s="3457" t="s">
        <v>3571</v>
      </c>
      <c r="BE23" s="3457" t="s">
        <v>3571</v>
      </c>
      <c r="BF23" s="3457" t="s">
        <v>3571</v>
      </c>
      <c r="BG23" s="3457" t="s">
        <v>3571</v>
      </c>
      <c r="BH23" s="3457" t="s">
        <v>3588</v>
      </c>
      <c r="BI23" s="3457" t="s">
        <v>3816</v>
      </c>
      <c r="BJ23" s="3457" t="s">
        <v>3590</v>
      </c>
      <c r="BK23" s="3457" t="s">
        <v>3591</v>
      </c>
      <c r="BL23" s="3457" t="s">
        <v>3571</v>
      </c>
      <c r="BM23" s="3457" t="s">
        <v>3571</v>
      </c>
    </row>
    <row r="24" spans="1:65" hidden="1">
      <c r="A24" s="3457" t="s">
        <v>3817</v>
      </c>
      <c r="B24" s="3457" t="s">
        <v>3564</v>
      </c>
      <c r="C24" s="3457" t="s">
        <v>3565</v>
      </c>
      <c r="D24" s="3457" t="s">
        <v>3566</v>
      </c>
      <c r="E24" s="3457" t="s">
        <v>3753</v>
      </c>
      <c r="F24" s="3457" t="s">
        <v>3818</v>
      </c>
      <c r="G24" s="3457" t="s">
        <v>3818</v>
      </c>
      <c r="H24" s="3457" t="s">
        <v>3819</v>
      </c>
      <c r="I24" s="3457">
        <v>37817.29</v>
      </c>
      <c r="J24" s="3457">
        <v>83198</v>
      </c>
      <c r="K24" s="3457">
        <v>0</v>
      </c>
      <c r="L24" s="3457">
        <v>0</v>
      </c>
      <c r="M24" s="3457">
        <v>83198</v>
      </c>
      <c r="N24" s="3457">
        <v>83198</v>
      </c>
      <c r="O24" s="3457" t="s">
        <v>3595</v>
      </c>
      <c r="P24" s="3457" t="s">
        <v>3645</v>
      </c>
      <c r="Q24" s="3457" t="s">
        <v>3645</v>
      </c>
      <c r="R24" s="3457" t="s">
        <v>3722</v>
      </c>
      <c r="S24" s="3457" t="s">
        <v>3820</v>
      </c>
      <c r="T24" s="3457">
        <v>2.2000000000000002</v>
      </c>
      <c r="U24" s="3457" t="s">
        <v>3571</v>
      </c>
      <c r="V24" s="3457" t="s">
        <v>3724</v>
      </c>
      <c r="W24" s="3457" t="s">
        <v>3821</v>
      </c>
      <c r="X24" s="3457" t="s">
        <v>3711</v>
      </c>
      <c r="Y24" s="3457" t="s">
        <v>3578</v>
      </c>
      <c r="Z24" s="3457" t="s">
        <v>3713</v>
      </c>
      <c r="AA24" s="3457" t="s">
        <v>3713</v>
      </c>
      <c r="AB24" s="3457" t="s">
        <v>3714</v>
      </c>
      <c r="AC24" s="3457" t="s">
        <v>3822</v>
      </c>
      <c r="AD24" s="3458">
        <v>43707.000497685185</v>
      </c>
      <c r="AE24" s="3458">
        <v>43728.000497685185</v>
      </c>
      <c r="AF24" s="3458">
        <v>43731.000497685185</v>
      </c>
      <c r="AG24" s="3458">
        <v>43731.000497685185</v>
      </c>
      <c r="AH24" s="3457" t="s">
        <v>3581</v>
      </c>
      <c r="AI24" s="3457" t="s">
        <v>3634</v>
      </c>
      <c r="AJ24" s="3457" t="s">
        <v>3823</v>
      </c>
      <c r="AK24" s="3457" t="s">
        <v>3824</v>
      </c>
      <c r="AL24" s="3457" t="s">
        <v>3585</v>
      </c>
      <c r="AM24" s="3457" t="s">
        <v>3586</v>
      </c>
      <c r="AN24" s="3457" t="s">
        <v>3571</v>
      </c>
      <c r="AO24" s="3457">
        <v>17500</v>
      </c>
      <c r="AP24" s="3458">
        <v>43724.625497685185</v>
      </c>
      <c r="AQ24" s="3457">
        <v>85861.18</v>
      </c>
      <c r="AR24" s="3457" t="s">
        <v>3571</v>
      </c>
      <c r="AS24" s="3457">
        <v>22704.21</v>
      </c>
      <c r="AT24" s="3457" t="s">
        <v>3571</v>
      </c>
      <c r="AU24" s="3457">
        <v>1513.61</v>
      </c>
      <c r="AV24" s="3457" t="s">
        <v>3571</v>
      </c>
      <c r="AW24" s="3457">
        <v>10320</v>
      </c>
      <c r="AX24" s="3457" t="s">
        <v>3571</v>
      </c>
      <c r="AY24" s="3457" t="s">
        <v>3571</v>
      </c>
      <c r="AZ24" s="3457">
        <v>0</v>
      </c>
      <c r="BA24" s="3457" t="s">
        <v>3571</v>
      </c>
      <c r="BB24" s="3457" t="s">
        <v>3571</v>
      </c>
      <c r="BC24" s="3457" t="s">
        <v>3571</v>
      </c>
      <c r="BD24" s="3457">
        <v>22700</v>
      </c>
      <c r="BE24" s="3457" t="s">
        <v>3571</v>
      </c>
      <c r="BF24" s="3457" t="s">
        <v>3571</v>
      </c>
      <c r="BG24" s="3457">
        <v>12380</v>
      </c>
      <c r="BH24" s="3457" t="s">
        <v>3588</v>
      </c>
      <c r="BI24" s="3457" t="s">
        <v>3603</v>
      </c>
      <c r="BJ24" s="3457" t="s">
        <v>3590</v>
      </c>
      <c r="BK24" s="3457" t="s">
        <v>3591</v>
      </c>
      <c r="BL24" s="3457" t="s">
        <v>3571</v>
      </c>
      <c r="BM24" s="3457" t="s">
        <v>3571</v>
      </c>
    </row>
    <row r="25" spans="1:65" hidden="1">
      <c r="A25" s="3457" t="s">
        <v>3825</v>
      </c>
      <c r="B25" s="3457" t="s">
        <v>3564</v>
      </c>
      <c r="C25" s="3457" t="s">
        <v>3565</v>
      </c>
      <c r="D25" s="3457" t="s">
        <v>3628</v>
      </c>
      <c r="E25" s="3457" t="s">
        <v>3826</v>
      </c>
      <c r="F25" s="3457" t="s">
        <v>3827</v>
      </c>
      <c r="G25" s="3457" t="s">
        <v>3827</v>
      </c>
      <c r="H25" s="3457" t="s">
        <v>3828</v>
      </c>
      <c r="I25" s="3457">
        <v>58643.15</v>
      </c>
      <c r="J25" s="3457">
        <v>59230</v>
      </c>
      <c r="K25" s="3457">
        <v>0</v>
      </c>
      <c r="L25" s="3457">
        <v>0</v>
      </c>
      <c r="M25" s="3457">
        <v>0</v>
      </c>
      <c r="N25" s="3457">
        <v>0</v>
      </c>
      <c r="O25" s="3457" t="s">
        <v>3595</v>
      </c>
      <c r="P25" s="3457" t="s">
        <v>3645</v>
      </c>
      <c r="Q25" s="3457" t="s">
        <v>3645</v>
      </c>
      <c r="R25" s="3457" t="s">
        <v>3722</v>
      </c>
      <c r="S25" s="3457" t="s">
        <v>3829</v>
      </c>
      <c r="T25" s="3457">
        <v>1.01</v>
      </c>
      <c r="U25" s="3457" t="s">
        <v>3571</v>
      </c>
      <c r="V25" s="3457" t="s">
        <v>3724</v>
      </c>
      <c r="W25" s="3457" t="s">
        <v>3830</v>
      </c>
      <c r="X25" s="3457" t="s">
        <v>3577</v>
      </c>
      <c r="Y25" s="3457" t="s">
        <v>3578</v>
      </c>
      <c r="Z25" s="3457" t="s">
        <v>3761</v>
      </c>
      <c r="AA25" s="3457" t="s">
        <v>3580</v>
      </c>
      <c r="AB25" s="3457" t="s">
        <v>3571</v>
      </c>
      <c r="AC25" s="3457" t="s">
        <v>3571</v>
      </c>
      <c r="AD25" s="3458">
        <v>43609.000497685185</v>
      </c>
      <c r="AE25" s="3458">
        <v>43629.000497685185</v>
      </c>
      <c r="AF25" s="3458">
        <v>43643.000497685185</v>
      </c>
      <c r="AG25" s="3458">
        <v>43643.000497685185</v>
      </c>
      <c r="AH25" s="3457" t="s">
        <v>3581</v>
      </c>
      <c r="AI25" s="3457" t="s">
        <v>3634</v>
      </c>
      <c r="AJ25" s="3457" t="s">
        <v>3831</v>
      </c>
      <c r="AK25" s="3457" t="s">
        <v>3832</v>
      </c>
      <c r="AL25" s="3457" t="s">
        <v>3671</v>
      </c>
      <c r="AM25" s="3457" t="s">
        <v>3833</v>
      </c>
      <c r="AN25" s="3457">
        <v>59300</v>
      </c>
      <c r="AO25" s="3457">
        <v>12000</v>
      </c>
      <c r="AP25" s="3458">
        <v>43642.625497685185</v>
      </c>
      <c r="AQ25" s="3457">
        <v>59300</v>
      </c>
      <c r="AR25" s="3457">
        <v>10112</v>
      </c>
      <c r="AS25" s="3457">
        <v>10112</v>
      </c>
      <c r="AT25" s="3457">
        <v>674.13</v>
      </c>
      <c r="AU25" s="3457">
        <v>674.13</v>
      </c>
      <c r="AV25" s="3457">
        <v>10012</v>
      </c>
      <c r="AW25" s="3457">
        <v>10012</v>
      </c>
      <c r="AX25" s="3457" t="s">
        <v>3571</v>
      </c>
      <c r="AY25" s="3457" t="s">
        <v>3571</v>
      </c>
      <c r="AZ25" s="3457">
        <v>0</v>
      </c>
      <c r="BA25" s="3457" t="s">
        <v>3571</v>
      </c>
      <c r="BB25" s="3457" t="s">
        <v>3571</v>
      </c>
      <c r="BC25" s="3457" t="s">
        <v>3571</v>
      </c>
      <c r="BD25" s="3457" t="s">
        <v>3571</v>
      </c>
      <c r="BE25" s="3457" t="s">
        <v>3571</v>
      </c>
      <c r="BF25" s="3457" t="s">
        <v>3571</v>
      </c>
      <c r="BG25" s="3457" t="s">
        <v>3571</v>
      </c>
      <c r="BH25" s="3457" t="s">
        <v>3834</v>
      </c>
      <c r="BI25" s="3457" t="s">
        <v>3835</v>
      </c>
      <c r="BJ25" s="3457" t="s">
        <v>3590</v>
      </c>
      <c r="BK25" s="3457" t="s">
        <v>3591</v>
      </c>
      <c r="BL25" s="3457" t="s">
        <v>3571</v>
      </c>
      <c r="BM25" s="3457" t="s">
        <v>3571</v>
      </c>
    </row>
    <row r="26" spans="1:65" hidden="1">
      <c r="A26" s="3457" t="s">
        <v>3836</v>
      </c>
      <c r="B26" s="3457" t="s">
        <v>3564</v>
      </c>
      <c r="C26" s="3457" t="s">
        <v>3565</v>
      </c>
      <c r="D26" s="3457" t="s">
        <v>3566</v>
      </c>
      <c r="E26" s="3457" t="s">
        <v>3735</v>
      </c>
      <c r="F26" s="3457" t="s">
        <v>3837</v>
      </c>
      <c r="G26" s="3457" t="s">
        <v>3837</v>
      </c>
      <c r="H26" s="3457" t="s">
        <v>3838</v>
      </c>
      <c r="I26" s="3457">
        <v>81565.039999999994</v>
      </c>
      <c r="J26" s="3457">
        <v>166468</v>
      </c>
      <c r="K26" s="3457">
        <v>0</v>
      </c>
      <c r="L26" s="3457">
        <v>0</v>
      </c>
      <c r="M26" s="3457">
        <v>0</v>
      </c>
      <c r="N26" s="3457">
        <v>0</v>
      </c>
      <c r="O26" s="3457" t="s">
        <v>3572</v>
      </c>
      <c r="P26" s="3457" t="s">
        <v>3839</v>
      </c>
      <c r="Q26" s="3457" t="s">
        <v>3782</v>
      </c>
      <c r="R26" s="3457" t="s">
        <v>3722</v>
      </c>
      <c r="S26" s="3457" t="s">
        <v>3840</v>
      </c>
      <c r="T26" s="3457">
        <v>2.0499999999999998</v>
      </c>
      <c r="U26" s="3457">
        <v>21.24</v>
      </c>
      <c r="V26" s="3457" t="s">
        <v>3841</v>
      </c>
      <c r="W26" s="3457" t="s">
        <v>3571</v>
      </c>
      <c r="X26" s="3457" t="s">
        <v>3577</v>
      </c>
      <c r="Y26" s="3457" t="s">
        <v>3578</v>
      </c>
      <c r="Z26" s="3457" t="s">
        <v>3761</v>
      </c>
      <c r="AA26" s="3457" t="s">
        <v>3580</v>
      </c>
      <c r="AB26" s="3457" t="s">
        <v>3571</v>
      </c>
      <c r="AC26" s="3457" t="s">
        <v>3571</v>
      </c>
      <c r="AD26" s="3458">
        <v>43602.000497685185</v>
      </c>
      <c r="AE26" s="3458">
        <v>43622.000497685185</v>
      </c>
      <c r="AF26" s="3458">
        <v>43637.000497685185</v>
      </c>
      <c r="AG26" s="3458">
        <v>43637.000497685185</v>
      </c>
      <c r="AH26" s="3457" t="s">
        <v>3581</v>
      </c>
      <c r="AI26" s="3457" t="s">
        <v>3634</v>
      </c>
      <c r="AJ26" s="3457" t="s">
        <v>3842</v>
      </c>
      <c r="AK26" s="3457" t="s">
        <v>3843</v>
      </c>
      <c r="AL26" s="3457" t="s">
        <v>3585</v>
      </c>
      <c r="AM26" s="3457" t="s">
        <v>3586</v>
      </c>
      <c r="AN26" s="3457">
        <v>363600</v>
      </c>
      <c r="AO26" s="3457">
        <v>73000</v>
      </c>
      <c r="AP26" s="3458">
        <v>43636.625497685185</v>
      </c>
      <c r="AQ26" s="3457">
        <v>363600</v>
      </c>
      <c r="AR26" s="3457">
        <v>44577.919999999998</v>
      </c>
      <c r="AS26" s="3457">
        <v>44577.919999999998</v>
      </c>
      <c r="AT26" s="3457">
        <v>2971.86</v>
      </c>
      <c r="AU26" s="3457">
        <v>2971.86</v>
      </c>
      <c r="AV26" s="3457">
        <v>21842</v>
      </c>
      <c r="AW26" s="3457">
        <v>21842</v>
      </c>
      <c r="AX26" s="3457" t="s">
        <v>3571</v>
      </c>
      <c r="AY26" s="3457" t="s">
        <v>3571</v>
      </c>
      <c r="AZ26" s="3457">
        <v>0</v>
      </c>
      <c r="BA26" s="3457" t="s">
        <v>3571</v>
      </c>
      <c r="BB26" s="3457" t="s">
        <v>3571</v>
      </c>
      <c r="BC26" s="3457" t="s">
        <v>3571</v>
      </c>
      <c r="BD26" s="3457" t="s">
        <v>3571</v>
      </c>
      <c r="BE26" s="3457" t="s">
        <v>3571</v>
      </c>
      <c r="BF26" s="3457" t="s">
        <v>3571</v>
      </c>
      <c r="BG26" s="3457" t="s">
        <v>3571</v>
      </c>
      <c r="BH26" s="3457" t="s">
        <v>3692</v>
      </c>
      <c r="BI26" s="3457" t="s">
        <v>3844</v>
      </c>
      <c r="BJ26" s="3457" t="s">
        <v>3590</v>
      </c>
      <c r="BK26" s="3457" t="s">
        <v>3591</v>
      </c>
      <c r="BL26" s="3457" t="s">
        <v>3571</v>
      </c>
      <c r="BM26" s="3457" t="s">
        <v>3571</v>
      </c>
    </row>
    <row r="27" spans="1:65" hidden="1">
      <c r="A27" s="3457" t="s">
        <v>3845</v>
      </c>
      <c r="B27" s="3457" t="s">
        <v>3564</v>
      </c>
      <c r="C27" s="3457" t="s">
        <v>3565</v>
      </c>
      <c r="D27" s="3457" t="s">
        <v>3628</v>
      </c>
      <c r="E27" s="3457" t="s">
        <v>3826</v>
      </c>
      <c r="F27" s="3457" t="s">
        <v>3846</v>
      </c>
      <c r="G27" s="3457" t="s">
        <v>3846</v>
      </c>
      <c r="H27" s="3457" t="s">
        <v>3828</v>
      </c>
      <c r="I27" s="3457">
        <v>133408.20000000001</v>
      </c>
      <c r="J27" s="3457">
        <v>133671</v>
      </c>
      <c r="K27" s="3457">
        <v>0</v>
      </c>
      <c r="L27" s="3457">
        <v>0</v>
      </c>
      <c r="M27" s="3457">
        <v>0</v>
      </c>
      <c r="N27" s="3457">
        <v>0</v>
      </c>
      <c r="O27" s="3457" t="s">
        <v>3572</v>
      </c>
      <c r="P27" s="3457" t="s">
        <v>3847</v>
      </c>
      <c r="Q27" s="3457" t="s">
        <v>3848</v>
      </c>
      <c r="R27" s="3457" t="s">
        <v>3722</v>
      </c>
      <c r="S27" s="3457" t="s">
        <v>3849</v>
      </c>
      <c r="T27" s="3457">
        <v>0</v>
      </c>
      <c r="U27" s="3457">
        <v>7.42</v>
      </c>
      <c r="V27" s="3457" t="s">
        <v>3850</v>
      </c>
      <c r="W27" s="3457" t="s">
        <v>3851</v>
      </c>
      <c r="X27" s="3457" t="s">
        <v>3577</v>
      </c>
      <c r="Y27" s="3457" t="s">
        <v>3578</v>
      </c>
      <c r="Z27" s="3457" t="s">
        <v>3761</v>
      </c>
      <c r="AA27" s="3457" t="s">
        <v>3580</v>
      </c>
      <c r="AB27" s="3457" t="s">
        <v>3571</v>
      </c>
      <c r="AC27" s="3457" t="s">
        <v>3571</v>
      </c>
      <c r="AD27" s="3458">
        <v>43489.000497685185</v>
      </c>
      <c r="AE27" s="3458">
        <v>43509.000497685185</v>
      </c>
      <c r="AF27" s="3458">
        <v>43523.000497685185</v>
      </c>
      <c r="AG27" s="3458">
        <v>43523.000497685185</v>
      </c>
      <c r="AH27" s="3457" t="s">
        <v>3581</v>
      </c>
      <c r="AI27" s="3457" t="s">
        <v>3634</v>
      </c>
      <c r="AJ27" s="3457" t="s">
        <v>3852</v>
      </c>
      <c r="AK27" s="3457" t="s">
        <v>3853</v>
      </c>
      <c r="AL27" s="3457" t="s">
        <v>3854</v>
      </c>
      <c r="AM27" s="3457" t="s">
        <v>3855</v>
      </c>
      <c r="AN27" s="3457">
        <v>119000</v>
      </c>
      <c r="AO27" s="3457">
        <v>23800</v>
      </c>
      <c r="AP27" s="3458">
        <v>43522.625497685185</v>
      </c>
      <c r="AQ27" s="3457">
        <v>119000</v>
      </c>
      <c r="AR27" s="3457">
        <v>8919.99</v>
      </c>
      <c r="AS27" s="3457">
        <v>8919.99</v>
      </c>
      <c r="AT27" s="3457">
        <v>594.66999999999996</v>
      </c>
      <c r="AU27" s="3457">
        <v>594.66999999999996</v>
      </c>
      <c r="AV27" s="3457">
        <v>8902</v>
      </c>
      <c r="AW27" s="3457">
        <v>8902</v>
      </c>
      <c r="AX27" s="3457" t="s">
        <v>3571</v>
      </c>
      <c r="AY27" s="3457" t="s">
        <v>3571</v>
      </c>
      <c r="AZ27" s="3457">
        <v>0</v>
      </c>
      <c r="BA27" s="3457" t="s">
        <v>3571</v>
      </c>
      <c r="BB27" s="3457" t="s">
        <v>3571</v>
      </c>
      <c r="BC27" s="3457" t="s">
        <v>3571</v>
      </c>
      <c r="BD27" s="3457" t="s">
        <v>3571</v>
      </c>
      <c r="BE27" s="3457" t="s">
        <v>3571</v>
      </c>
      <c r="BF27" s="3457" t="s">
        <v>3571</v>
      </c>
      <c r="BG27" s="3457" t="s">
        <v>3571</v>
      </c>
      <c r="BH27" s="3457" t="s">
        <v>3834</v>
      </c>
      <c r="BI27" s="3457" t="s">
        <v>3856</v>
      </c>
      <c r="BJ27" s="3457" t="s">
        <v>3590</v>
      </c>
      <c r="BK27" s="3457" t="s">
        <v>3591</v>
      </c>
      <c r="BL27" s="3457" t="s">
        <v>3571</v>
      </c>
      <c r="BM27" s="3457" t="s">
        <v>3571</v>
      </c>
    </row>
    <row r="28" spans="1:65" hidden="1">
      <c r="A28" s="3457" t="s">
        <v>3857</v>
      </c>
      <c r="B28" s="3457" t="s">
        <v>3564</v>
      </c>
      <c r="C28" s="3457" t="s">
        <v>3565</v>
      </c>
      <c r="D28" s="3457" t="s">
        <v>3607</v>
      </c>
      <c r="E28" s="3457" t="s">
        <v>3858</v>
      </c>
      <c r="F28" s="3457" t="s">
        <v>3859</v>
      </c>
      <c r="G28" s="3457" t="s">
        <v>3859</v>
      </c>
      <c r="H28" s="3457" t="s">
        <v>3860</v>
      </c>
      <c r="I28" s="3457">
        <v>130729</v>
      </c>
      <c r="J28" s="3457">
        <v>152953</v>
      </c>
      <c r="K28" s="3457">
        <v>0</v>
      </c>
      <c r="L28" s="3457">
        <v>0</v>
      </c>
      <c r="M28" s="3457">
        <v>0</v>
      </c>
      <c r="N28" s="3457">
        <v>0</v>
      </c>
      <c r="O28" s="3457" t="s">
        <v>3595</v>
      </c>
      <c r="P28" s="3457" t="s">
        <v>3645</v>
      </c>
      <c r="Q28" s="3457" t="s">
        <v>3645</v>
      </c>
      <c r="R28" s="3457" t="s">
        <v>3598</v>
      </c>
      <c r="S28" s="3457">
        <v>1.17</v>
      </c>
      <c r="T28" s="3457">
        <v>1.17</v>
      </c>
      <c r="U28" s="3457" t="s">
        <v>3571</v>
      </c>
      <c r="V28" s="3457" t="s">
        <v>3724</v>
      </c>
      <c r="W28" s="3457" t="s">
        <v>3750</v>
      </c>
      <c r="X28" s="3457" t="s">
        <v>3577</v>
      </c>
      <c r="Y28" s="3457" t="s">
        <v>3578</v>
      </c>
      <c r="Z28" s="3457" t="s">
        <v>3761</v>
      </c>
      <c r="AA28" s="3457" t="s">
        <v>3580</v>
      </c>
      <c r="AB28" s="3457" t="s">
        <v>3571</v>
      </c>
      <c r="AC28" s="3457" t="s">
        <v>3571</v>
      </c>
      <c r="AD28" s="3458">
        <v>43463.000497685185</v>
      </c>
      <c r="AE28" s="3458">
        <v>43483.000497685185</v>
      </c>
      <c r="AF28" s="3458">
        <v>43497.000497685185</v>
      </c>
      <c r="AG28" s="3458">
        <v>43497.000497685185</v>
      </c>
      <c r="AH28" s="3457" t="s">
        <v>3581</v>
      </c>
      <c r="AI28" s="3457" t="s">
        <v>3682</v>
      </c>
      <c r="AJ28" s="3457" t="s">
        <v>3861</v>
      </c>
      <c r="AK28" s="3457" t="s">
        <v>3862</v>
      </c>
      <c r="AL28" s="3457" t="s">
        <v>3637</v>
      </c>
      <c r="AM28" s="3457" t="s">
        <v>3571</v>
      </c>
      <c r="AN28" s="3457">
        <v>168000</v>
      </c>
      <c r="AO28" s="3457">
        <v>33600</v>
      </c>
      <c r="AP28" s="3458">
        <v>43497.625497685185</v>
      </c>
      <c r="AQ28" s="3457">
        <v>189000</v>
      </c>
      <c r="AR28" s="3457">
        <v>12851.01</v>
      </c>
      <c r="AS28" s="3457">
        <v>14457.38</v>
      </c>
      <c r="AT28" s="3457">
        <v>856.73</v>
      </c>
      <c r="AU28" s="3457">
        <v>963.83</v>
      </c>
      <c r="AV28" s="3457">
        <v>10984</v>
      </c>
      <c r="AW28" s="3457">
        <v>12357</v>
      </c>
      <c r="AX28" s="3457" t="s">
        <v>3571</v>
      </c>
      <c r="AY28" s="3457" t="s">
        <v>3571</v>
      </c>
      <c r="AZ28" s="3457">
        <v>12.5</v>
      </c>
      <c r="BA28" s="3457" t="s">
        <v>3571</v>
      </c>
      <c r="BB28" s="3457" t="s">
        <v>3571</v>
      </c>
      <c r="BC28" s="3457" t="s">
        <v>3571</v>
      </c>
      <c r="BD28" s="3457" t="s">
        <v>3571</v>
      </c>
      <c r="BE28" s="3457" t="s">
        <v>3571</v>
      </c>
      <c r="BF28" s="3457" t="s">
        <v>3571</v>
      </c>
      <c r="BG28" s="3457" t="s">
        <v>3571</v>
      </c>
      <c r="BH28" s="3457" t="s">
        <v>3602</v>
      </c>
      <c r="BI28" s="3457" t="s">
        <v>3863</v>
      </c>
      <c r="BJ28" s="3457" t="s">
        <v>3590</v>
      </c>
      <c r="BK28" s="3457" t="s">
        <v>3591</v>
      </c>
      <c r="BL28" s="3457" t="s">
        <v>3571</v>
      </c>
      <c r="BM28" s="3457" t="s">
        <v>3571</v>
      </c>
    </row>
    <row r="29" spans="1:65" hidden="1">
      <c r="A29" s="3457" t="s">
        <v>3864</v>
      </c>
      <c r="B29" s="3457" t="s">
        <v>3564</v>
      </c>
      <c r="C29" s="3457" t="s">
        <v>3565</v>
      </c>
      <c r="D29" s="3457" t="s">
        <v>3566</v>
      </c>
      <c r="E29" s="3457" t="s">
        <v>3567</v>
      </c>
      <c r="F29" s="3457" t="s">
        <v>3865</v>
      </c>
      <c r="G29" s="3457" t="s">
        <v>3865</v>
      </c>
      <c r="H29" s="3457" t="s">
        <v>3775</v>
      </c>
      <c r="I29" s="3457">
        <v>36338.199999999997</v>
      </c>
      <c r="J29" s="3457">
        <v>67633</v>
      </c>
      <c r="K29" s="3457">
        <v>0</v>
      </c>
      <c r="L29" s="3457">
        <v>0</v>
      </c>
      <c r="M29" s="3457">
        <v>64271</v>
      </c>
      <c r="N29" s="3457">
        <v>64271</v>
      </c>
      <c r="O29" s="3457" t="s">
        <v>3572</v>
      </c>
      <c r="P29" s="3457" t="s">
        <v>3781</v>
      </c>
      <c r="Q29" s="3457" t="s">
        <v>3782</v>
      </c>
      <c r="R29" s="3457" t="s">
        <v>3722</v>
      </c>
      <c r="S29" s="3457">
        <v>1.86</v>
      </c>
      <c r="T29" s="3457">
        <v>1.86</v>
      </c>
      <c r="U29" s="3457" t="s">
        <v>3571</v>
      </c>
      <c r="V29" s="3457" t="s">
        <v>3724</v>
      </c>
      <c r="W29" s="3457" t="s">
        <v>3866</v>
      </c>
      <c r="X29" s="3457" t="s">
        <v>3577</v>
      </c>
      <c r="Y29" s="3457" t="s">
        <v>3578</v>
      </c>
      <c r="Z29" s="3457" t="s">
        <v>3713</v>
      </c>
      <c r="AA29" s="3457" t="s">
        <v>3713</v>
      </c>
      <c r="AB29" s="3457" t="s">
        <v>3714</v>
      </c>
      <c r="AC29" s="3457" t="s">
        <v>3822</v>
      </c>
      <c r="AD29" s="3458">
        <v>43459.000497685185</v>
      </c>
      <c r="AE29" s="3458">
        <v>43479.000497685185</v>
      </c>
      <c r="AF29" s="3458">
        <v>43493.000497685185</v>
      </c>
      <c r="AG29" s="3458">
        <v>43493.000497685185</v>
      </c>
      <c r="AH29" s="3457" t="s">
        <v>3581</v>
      </c>
      <c r="AI29" s="3457" t="s">
        <v>3634</v>
      </c>
      <c r="AJ29" s="3457" t="s">
        <v>3683</v>
      </c>
      <c r="AK29" s="3457" t="s">
        <v>3584</v>
      </c>
      <c r="AL29" s="3457" t="s">
        <v>3585</v>
      </c>
      <c r="AM29" s="3457" t="s">
        <v>3586</v>
      </c>
      <c r="AN29" s="3457">
        <v>79200</v>
      </c>
      <c r="AO29" s="3457">
        <v>16000</v>
      </c>
      <c r="AP29" s="3458">
        <v>43490.625497685185</v>
      </c>
      <c r="AQ29" s="3457">
        <v>79200</v>
      </c>
      <c r="AR29" s="3457">
        <v>21795.24</v>
      </c>
      <c r="AS29" s="3457">
        <v>21795.24</v>
      </c>
      <c r="AT29" s="3457">
        <v>1453.02</v>
      </c>
      <c r="AU29" s="3457">
        <v>1453.02</v>
      </c>
      <c r="AV29" s="3457">
        <v>11710</v>
      </c>
      <c r="AW29" s="3457">
        <v>11710</v>
      </c>
      <c r="AX29" s="3457" t="s">
        <v>3571</v>
      </c>
      <c r="AY29" s="3457" t="s">
        <v>3571</v>
      </c>
      <c r="AZ29" s="3457">
        <v>0</v>
      </c>
      <c r="BA29" s="3457" t="s">
        <v>3571</v>
      </c>
      <c r="BB29" s="3457" t="s">
        <v>3571</v>
      </c>
      <c r="BC29" s="3457" t="s">
        <v>3571</v>
      </c>
      <c r="BD29" s="3457">
        <v>25600</v>
      </c>
      <c r="BE29" s="3457" t="s">
        <v>3571</v>
      </c>
      <c r="BF29" s="3457" t="s">
        <v>3571</v>
      </c>
      <c r="BG29" s="3457">
        <v>13278</v>
      </c>
      <c r="BH29" s="3457" t="s">
        <v>3588</v>
      </c>
      <c r="BI29" s="3457" t="s">
        <v>3603</v>
      </c>
      <c r="BJ29" s="3457" t="s">
        <v>3590</v>
      </c>
      <c r="BK29" s="3457" t="s">
        <v>3591</v>
      </c>
      <c r="BL29" s="3457" t="s">
        <v>3571</v>
      </c>
      <c r="BM29" s="3457" t="s">
        <v>3571</v>
      </c>
    </row>
    <row r="30" spans="1:65" hidden="1">
      <c r="A30" s="3457" t="s">
        <v>3867</v>
      </c>
      <c r="B30" s="3457" t="s">
        <v>3564</v>
      </c>
      <c r="C30" s="3457" t="s">
        <v>3565</v>
      </c>
      <c r="D30" s="3457" t="s">
        <v>3607</v>
      </c>
      <c r="E30" s="3457" t="s">
        <v>3868</v>
      </c>
      <c r="F30" s="3457" t="s">
        <v>3869</v>
      </c>
      <c r="G30" s="3457" t="s">
        <v>3869</v>
      </c>
      <c r="H30" s="3457" t="s">
        <v>3870</v>
      </c>
      <c r="I30" s="3457">
        <v>33062.870000000003</v>
      </c>
      <c r="J30" s="3457">
        <v>61047</v>
      </c>
      <c r="K30" s="3457">
        <v>0</v>
      </c>
      <c r="L30" s="3457">
        <v>0</v>
      </c>
      <c r="M30" s="3457">
        <v>57661</v>
      </c>
      <c r="N30" s="3457">
        <v>57661</v>
      </c>
      <c r="O30" s="3457" t="s">
        <v>3572</v>
      </c>
      <c r="P30" s="3457" t="s">
        <v>3781</v>
      </c>
      <c r="Q30" s="3457" t="s">
        <v>3782</v>
      </c>
      <c r="R30" s="3457" t="s">
        <v>3722</v>
      </c>
      <c r="S30" s="3457">
        <v>1.85</v>
      </c>
      <c r="T30" s="3457">
        <v>1.85</v>
      </c>
      <c r="U30" s="3457" t="s">
        <v>3571</v>
      </c>
      <c r="V30" s="3457" t="s">
        <v>3724</v>
      </c>
      <c r="W30" s="3457" t="s">
        <v>3871</v>
      </c>
      <c r="X30" s="3457" t="s">
        <v>3577</v>
      </c>
      <c r="Y30" s="3457" t="s">
        <v>3578</v>
      </c>
      <c r="Z30" s="3457" t="s">
        <v>3713</v>
      </c>
      <c r="AA30" s="3457" t="s">
        <v>3713</v>
      </c>
      <c r="AB30" s="3457" t="s">
        <v>3714</v>
      </c>
      <c r="AC30" s="3457" t="s">
        <v>3822</v>
      </c>
      <c r="AD30" s="3458">
        <v>43448.000497685185</v>
      </c>
      <c r="AE30" s="3458">
        <v>43468.000497685185</v>
      </c>
      <c r="AF30" s="3458">
        <v>43482.000497685185</v>
      </c>
      <c r="AG30" s="3458">
        <v>43482.000497685185</v>
      </c>
      <c r="AH30" s="3457" t="s">
        <v>3581</v>
      </c>
      <c r="AI30" s="3457" t="s">
        <v>3682</v>
      </c>
      <c r="AJ30" s="3457" t="s">
        <v>3872</v>
      </c>
      <c r="AK30" s="3457" t="s">
        <v>3873</v>
      </c>
      <c r="AL30" s="3457" t="s">
        <v>3637</v>
      </c>
      <c r="AM30" s="3457" t="s">
        <v>3571</v>
      </c>
      <c r="AN30" s="3457">
        <v>32510</v>
      </c>
      <c r="AO30" s="3457">
        <v>6600</v>
      </c>
      <c r="AP30" s="3458">
        <v>43481.625497685185</v>
      </c>
      <c r="AQ30" s="3457">
        <v>40800</v>
      </c>
      <c r="AR30" s="3457">
        <v>9832.7800000000007</v>
      </c>
      <c r="AS30" s="3457">
        <v>12340.12</v>
      </c>
      <c r="AT30" s="3457">
        <v>655.52</v>
      </c>
      <c r="AU30" s="3457">
        <v>822.68</v>
      </c>
      <c r="AV30" s="3457">
        <v>5325</v>
      </c>
      <c r="AW30" s="3457">
        <v>6683</v>
      </c>
      <c r="AX30" s="3457" t="s">
        <v>3571</v>
      </c>
      <c r="AY30" s="3457" t="s">
        <v>3571</v>
      </c>
      <c r="AZ30" s="3457">
        <v>25.5</v>
      </c>
      <c r="BA30" s="3457" t="s">
        <v>3571</v>
      </c>
      <c r="BB30" s="3457" t="s">
        <v>3571</v>
      </c>
      <c r="BC30" s="3457" t="s">
        <v>3571</v>
      </c>
      <c r="BD30" s="3457">
        <v>18000</v>
      </c>
      <c r="BE30" s="3457" t="s">
        <v>3571</v>
      </c>
      <c r="BF30" s="3457" t="s">
        <v>3571</v>
      </c>
      <c r="BG30" s="3457">
        <v>10925</v>
      </c>
      <c r="BH30" s="3457" t="s">
        <v>3588</v>
      </c>
      <c r="BI30" s="3457" t="s">
        <v>3603</v>
      </c>
      <c r="BJ30" s="3457" t="s">
        <v>3590</v>
      </c>
      <c r="BK30" s="3457" t="s">
        <v>3591</v>
      </c>
      <c r="BL30" s="3457" t="s">
        <v>3571</v>
      </c>
      <c r="BM30" s="3457" t="s">
        <v>3571</v>
      </c>
    </row>
    <row r="31" spans="1:65" hidden="1">
      <c r="A31" s="3457" t="s">
        <v>3874</v>
      </c>
      <c r="B31" s="3457" t="s">
        <v>3564</v>
      </c>
      <c r="C31" s="3457" t="s">
        <v>3565</v>
      </c>
      <c r="D31" s="3457" t="s">
        <v>3566</v>
      </c>
      <c r="E31" s="3457" t="s">
        <v>3875</v>
      </c>
      <c r="F31" s="3457" t="s">
        <v>3876</v>
      </c>
      <c r="G31" s="3457" t="s">
        <v>3876</v>
      </c>
      <c r="H31" s="3457" t="s">
        <v>3877</v>
      </c>
      <c r="I31" s="3457">
        <v>115895.2</v>
      </c>
      <c r="J31" s="3457">
        <v>176111</v>
      </c>
      <c r="K31" s="3457">
        <v>0</v>
      </c>
      <c r="L31" s="3457">
        <v>0</v>
      </c>
      <c r="M31" s="3457">
        <v>0</v>
      </c>
      <c r="N31" s="3457">
        <v>0</v>
      </c>
      <c r="O31" s="3457" t="s">
        <v>3572</v>
      </c>
      <c r="P31" s="3457" t="s">
        <v>3878</v>
      </c>
      <c r="Q31" s="3457" t="s">
        <v>3879</v>
      </c>
      <c r="R31" s="3457" t="s">
        <v>3722</v>
      </c>
      <c r="S31" s="3457">
        <v>1.52</v>
      </c>
      <c r="T31" s="3457">
        <v>1.52</v>
      </c>
      <c r="U31" s="3457">
        <v>30.39</v>
      </c>
      <c r="V31" s="3457" t="s">
        <v>3571</v>
      </c>
      <c r="W31" s="3457" t="s">
        <v>3571</v>
      </c>
      <c r="X31" s="3457" t="s">
        <v>3577</v>
      </c>
      <c r="Y31" s="3457" t="s">
        <v>3578</v>
      </c>
      <c r="Z31" s="3457" t="s">
        <v>3880</v>
      </c>
      <c r="AA31" s="3457" t="s">
        <v>3881</v>
      </c>
      <c r="AB31" s="3457" t="s">
        <v>3571</v>
      </c>
      <c r="AC31" s="3457" t="s">
        <v>3571</v>
      </c>
      <c r="AD31" s="3458">
        <v>43423.000497685185</v>
      </c>
      <c r="AE31" s="3458">
        <v>43444.000497685185</v>
      </c>
      <c r="AF31" s="3458">
        <v>43458.000497685185</v>
      </c>
      <c r="AG31" s="3458">
        <v>43458.000497685185</v>
      </c>
      <c r="AH31" s="3457" t="s">
        <v>3581</v>
      </c>
      <c r="AI31" s="3457" t="s">
        <v>3634</v>
      </c>
      <c r="AJ31" s="3457" t="s">
        <v>3882</v>
      </c>
      <c r="AK31" s="3457" t="s">
        <v>3883</v>
      </c>
      <c r="AL31" s="3457" t="s">
        <v>3671</v>
      </c>
      <c r="AM31" s="3457" t="s">
        <v>3884</v>
      </c>
      <c r="AN31" s="3457">
        <v>255500</v>
      </c>
      <c r="AO31" s="3457">
        <v>51100</v>
      </c>
      <c r="AP31" s="3458">
        <v>43455.625497685185</v>
      </c>
      <c r="AQ31" s="3457">
        <v>255500</v>
      </c>
      <c r="AR31" s="3457">
        <v>22045.78</v>
      </c>
      <c r="AS31" s="3457">
        <v>22045.78</v>
      </c>
      <c r="AT31" s="3457">
        <v>1469.72</v>
      </c>
      <c r="AU31" s="3457">
        <v>1469.72</v>
      </c>
      <c r="AV31" s="3457">
        <v>14508</v>
      </c>
      <c r="AW31" s="3457">
        <v>14508</v>
      </c>
      <c r="AX31" s="3457" t="s">
        <v>3571</v>
      </c>
      <c r="AY31" s="3457" t="s">
        <v>3571</v>
      </c>
      <c r="AZ31" s="3457">
        <v>0</v>
      </c>
      <c r="BA31" s="3457" t="s">
        <v>3571</v>
      </c>
      <c r="BB31" s="3457" t="s">
        <v>3571</v>
      </c>
      <c r="BC31" s="3457" t="s">
        <v>3571</v>
      </c>
      <c r="BD31" s="3457">
        <v>34058</v>
      </c>
      <c r="BE31" s="3457" t="s">
        <v>3571</v>
      </c>
      <c r="BF31" s="3457" t="s">
        <v>3571</v>
      </c>
      <c r="BG31" s="3457">
        <v>19101</v>
      </c>
      <c r="BH31" s="3457" t="s">
        <v>3588</v>
      </c>
      <c r="BI31" s="3457" t="s">
        <v>3885</v>
      </c>
      <c r="BJ31" s="3457" t="s">
        <v>3590</v>
      </c>
      <c r="BK31" s="3457" t="s">
        <v>3591</v>
      </c>
      <c r="BL31" s="3457" t="s">
        <v>3571</v>
      </c>
      <c r="BM31" s="3457" t="s">
        <v>3571</v>
      </c>
    </row>
    <row r="34" spans="1:33">
      <c r="AG34" s="3457" t="s">
        <v>3886</v>
      </c>
    </row>
    <row r="36" spans="1:33" ht="13.5">
      <c r="A36" s="3465" t="s">
        <v>3887</v>
      </c>
    </row>
  </sheetData>
  <phoneticPr fontId="134" type="noConversion"/>
  <hyperlinks>
    <hyperlink ref="A36" r:id="rId1"/>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90" zoomScaleNormal="60" zoomScaleSheetLayoutView="90" workbookViewId="0">
      <selection activeCell="M47" sqref="M4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t="s">
        <v>3435</v>
      </c>
      <c r="E1" s="3424" t="s">
        <v>3462</v>
      </c>
      <c r="F1" s="1877" t="s">
        <v>3461</v>
      </c>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f>IF(E1="项目模式",IF(C2="——",ROUND(C49*D3/10000,0),ROUND(C49*D3/10000,0)-D2),IF(E1="单套模式",IF(C2="——",ROUND(C49*D3/10000,4),ROUND(C49*D3/10000,4)-D2)))</f>
        <v>196.18610000000001</v>
      </c>
      <c r="C2" s="1879" t="s">
        <v>43</v>
      </c>
      <c r="D2" s="1114" t="e">
        <f ca="1">IF(E1="项目模式",SUMIF(INDIRECT("'"&amp;F2&amp;"'"&amp;"!A:A"),"承租人权益价值",INDIRECT("'"&amp;F2&amp;"'"&amp;"!c:c")),SUMIF(INDIRECT("'"&amp;F2&amp;"'"&amp;"!A:A"),"承租人权益价值（单套）",INDIRECT("'"&amp;F2&amp;"'"&amp;"!c:c")))</f>
        <v>#REF!</v>
      </c>
      <c r="E2" s="1880" t="s">
        <v>1664</v>
      </c>
      <c r="F2" s="1881"/>
      <c r="G2" s="906"/>
      <c r="H2" s="906"/>
      <c r="I2" s="906"/>
      <c r="J2" s="906"/>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21886</v>
      </c>
      <c r="C3" s="354" t="s">
        <v>1665</v>
      </c>
      <c r="D3" s="353">
        <f>IF(D1="",'数据-汇总表'!E3,SUMIF('数据-汇总表'!$C19:$C33,D1,'数据-汇总表'!$E19:$E33))</f>
        <v>89.64</v>
      </c>
      <c r="E3" s="906"/>
      <c r="F3" s="1886"/>
      <c r="G3" s="906"/>
      <c r="H3" s="906"/>
      <c r="I3" s="906"/>
      <c r="J3" s="906"/>
      <c r="K3" s="1882"/>
      <c r="L3" s="2711"/>
      <c r="M3" s="2712"/>
      <c r="N3" s="2712"/>
      <c r="O3" s="2712"/>
      <c r="P3" s="1883"/>
      <c r="Q3" s="1884"/>
      <c r="R3" s="1884"/>
      <c r="S3" s="1884"/>
      <c r="T3" s="1884"/>
      <c r="U3" s="1884"/>
      <c r="V3" s="1884"/>
      <c r="W3" s="1884"/>
      <c r="X3" s="1884"/>
      <c r="Y3" s="1884"/>
      <c r="Z3" s="1884"/>
      <c r="AA3" s="1884"/>
      <c r="AB3" s="1884"/>
      <c r="AC3" s="1060"/>
    </row>
    <row r="4" spans="1:29" ht="15">
      <c r="A4" s="355" t="s">
        <v>1666</v>
      </c>
      <c r="B4" s="356"/>
      <c r="C4" s="3710" t="s">
        <v>1667</v>
      </c>
      <c r="D4" s="3722"/>
      <c r="E4" s="3723" t="s">
        <v>1668</v>
      </c>
      <c r="F4" s="3724"/>
      <c r="G4" s="3710" t="s">
        <v>1669</v>
      </c>
      <c r="H4" s="3722"/>
      <c r="I4" s="3710" t="s">
        <v>1670</v>
      </c>
      <c r="J4" s="3722"/>
      <c r="K4" s="1887" t="s">
        <v>1671</v>
      </c>
      <c r="L4" s="2713"/>
      <c r="M4" s="2714"/>
      <c r="N4" s="2714"/>
      <c r="O4" s="2714"/>
      <c r="P4" s="3725" t="s">
        <v>1672</v>
      </c>
      <c r="Q4" s="3726"/>
      <c r="R4" s="3731" t="s">
        <v>1668</v>
      </c>
      <c r="S4" s="3732"/>
      <c r="T4" s="3731" t="s">
        <v>1669</v>
      </c>
      <c r="U4" s="3732"/>
      <c r="V4" s="3718" t="s">
        <v>1670</v>
      </c>
      <c r="W4" s="3718"/>
      <c r="X4" s="1353"/>
      <c r="Y4" s="3731" t="s">
        <v>1672</v>
      </c>
      <c r="Z4" s="3732"/>
      <c r="AA4" s="3719" t="s">
        <v>1668</v>
      </c>
      <c r="AB4" s="3719" t="s">
        <v>1669</v>
      </c>
      <c r="AC4" s="3719" t="s">
        <v>1670</v>
      </c>
    </row>
    <row r="5" spans="1:29" ht="15">
      <c r="A5" s="358"/>
      <c r="B5" s="359"/>
      <c r="C5" s="3757" t="s">
        <v>3463</v>
      </c>
      <c r="D5" s="3740"/>
      <c r="E5" s="3759" t="s">
        <v>3463</v>
      </c>
      <c r="F5" s="3747"/>
      <c r="G5" s="3757" t="s">
        <v>3463</v>
      </c>
      <c r="H5" s="3740"/>
      <c r="I5" s="3757" t="s">
        <v>3463</v>
      </c>
      <c r="J5" s="3740"/>
      <c r="K5" s="1888"/>
      <c r="L5" s="2713"/>
      <c r="M5" s="2714"/>
      <c r="N5" s="2714"/>
      <c r="O5" s="2714"/>
      <c r="P5" s="3727"/>
      <c r="Q5" s="3728"/>
      <c r="R5" s="3733"/>
      <c r="S5" s="3734"/>
      <c r="T5" s="3733"/>
      <c r="U5" s="3734"/>
      <c r="V5" s="3718"/>
      <c r="W5" s="3718"/>
      <c r="X5" s="1353"/>
      <c r="Y5" s="3733"/>
      <c r="Z5" s="3734"/>
      <c r="AA5" s="3720"/>
      <c r="AB5" s="3720"/>
      <c r="AC5" s="3720"/>
    </row>
    <row r="6" spans="1:29" ht="15.75" thickBot="1">
      <c r="A6" s="360"/>
      <c r="B6" s="361"/>
      <c r="C6" s="3737" t="s">
        <v>1677</v>
      </c>
      <c r="D6" s="3738"/>
      <c r="E6" s="3758" t="s">
        <v>3465</v>
      </c>
      <c r="F6" s="3745"/>
      <c r="G6" s="3756" t="s">
        <v>3464</v>
      </c>
      <c r="H6" s="3738"/>
      <c r="I6" s="3756" t="s">
        <v>3469</v>
      </c>
      <c r="J6" s="3738"/>
      <c r="K6" s="1888" t="s">
        <v>1678</v>
      </c>
      <c r="L6" s="2713"/>
      <c r="M6" s="2714"/>
      <c r="N6" s="2714"/>
      <c r="O6" s="2714"/>
      <c r="P6" s="3729"/>
      <c r="Q6" s="3730"/>
      <c r="R6" s="3733"/>
      <c r="S6" s="3734"/>
      <c r="T6" s="3735"/>
      <c r="U6" s="3736"/>
      <c r="V6" s="3718"/>
      <c r="W6" s="3718"/>
      <c r="X6" s="1353"/>
      <c r="Y6" s="3735"/>
      <c r="Z6" s="3736"/>
      <c r="AA6" s="3721"/>
      <c r="AB6" s="3721"/>
      <c r="AC6" s="3721"/>
    </row>
    <row r="7" spans="1:29" s="108" customFormat="1" ht="15.75" thickBot="1">
      <c r="A7" s="362" t="s">
        <v>1679</v>
      </c>
      <c r="B7" s="363"/>
      <c r="C7" s="364">
        <f>'数据-取费表'!B2</f>
        <v>45581</v>
      </c>
      <c r="D7" s="365">
        <v>100</v>
      </c>
      <c r="E7" s="366">
        <v>45443</v>
      </c>
      <c r="F7" s="367">
        <f>SUMIF(58:58,YEAR(E7)&amp;"-"&amp;MONTH(E7),59:59)</f>
        <v>100</v>
      </c>
      <c r="G7" s="366">
        <v>45380</v>
      </c>
      <c r="H7" s="365">
        <f>SUMIF(58:58,YEAR(G7)&amp;"-"&amp;MONTH(G7),59:59)</f>
        <v>100</v>
      </c>
      <c r="I7" s="366">
        <v>45378</v>
      </c>
      <c r="J7" s="365">
        <f>SUMIF(58:58,YEAR(I7)&amp;"-"&amp;MONTH(I7),59:59)</f>
        <v>100</v>
      </c>
      <c r="K7" s="1889"/>
      <c r="L7" s="2715"/>
      <c r="M7" s="2716"/>
      <c r="N7" s="2716"/>
      <c r="O7" s="2716"/>
      <c r="P7" s="3741" t="s">
        <v>1680</v>
      </c>
      <c r="Q7" s="3743"/>
      <c r="R7" s="700" t="s">
        <v>20</v>
      </c>
      <c r="S7" s="701">
        <f t="shared" ref="S7:S15" si="0">F7</f>
        <v>100</v>
      </c>
      <c r="T7" s="700" t="s">
        <v>20</v>
      </c>
      <c r="U7" s="701">
        <f t="shared" ref="U7:U15" si="1">H7</f>
        <v>100</v>
      </c>
      <c r="V7" s="700" t="s">
        <v>20</v>
      </c>
      <c r="W7" s="701">
        <f t="shared" ref="W7:W15" si="2">J7</f>
        <v>100</v>
      </c>
      <c r="X7" s="702"/>
      <c r="Y7" s="3741" t="s">
        <v>1680</v>
      </c>
      <c r="Z7" s="3742"/>
      <c r="AA7" s="703">
        <f>D7/F7</f>
        <v>1</v>
      </c>
      <c r="AB7" s="703">
        <f>D7/H7</f>
        <v>1</v>
      </c>
      <c r="AC7" s="703">
        <f>D7/J7</f>
        <v>1</v>
      </c>
    </row>
    <row r="8" spans="1:29" s="108" customFormat="1" ht="15.75" thickBot="1">
      <c r="A8" s="362" t="s">
        <v>1681</v>
      </c>
      <c r="B8" s="363"/>
      <c r="C8" s="368" t="s">
        <v>3471</v>
      </c>
      <c r="D8" s="365">
        <v>100</v>
      </c>
      <c r="E8" s="1890" t="s">
        <v>3471</v>
      </c>
      <c r="F8" s="367">
        <f>SUMIF(61:61,E8,62:62)-SUMIF(61:61,C8,62:62)+100</f>
        <v>100</v>
      </c>
      <c r="G8" s="1890" t="s">
        <v>3471</v>
      </c>
      <c r="H8" s="365">
        <f>SUMIF(61:61,G8,62:62)-SUMIF(61:61,C8,62:62)+100</f>
        <v>100</v>
      </c>
      <c r="I8" s="1890" t="s">
        <v>3471</v>
      </c>
      <c r="J8" s="365">
        <f>SUMIF(61:61,I8,62:62)-SUMIF(61:61,C8,62:62)+100</f>
        <v>100</v>
      </c>
      <c r="K8" s="1889"/>
      <c r="L8" s="2715"/>
      <c r="M8" s="2716"/>
      <c r="N8" s="2716"/>
      <c r="O8" s="2716"/>
      <c r="P8" s="3741" t="s">
        <v>1683</v>
      </c>
      <c r="Q8" s="3742"/>
      <c r="R8" s="700" t="s">
        <v>20</v>
      </c>
      <c r="S8" s="701">
        <f t="shared" si="0"/>
        <v>100</v>
      </c>
      <c r="T8" s="700" t="s">
        <v>20</v>
      </c>
      <c r="U8" s="701">
        <f t="shared" si="1"/>
        <v>100</v>
      </c>
      <c r="V8" s="700" t="s">
        <v>20</v>
      </c>
      <c r="W8" s="701">
        <f t="shared" si="2"/>
        <v>100</v>
      </c>
      <c r="X8" s="702"/>
      <c r="Y8" s="3741" t="s">
        <v>1683</v>
      </c>
      <c r="Z8" s="3742"/>
      <c r="AA8" s="703">
        <f t="shared" ref="AA8:AA19" si="3">D8/F8</f>
        <v>1</v>
      </c>
      <c r="AB8" s="703">
        <f t="shared" ref="AB8:AB19" si="4">D8/H8</f>
        <v>1</v>
      </c>
      <c r="AC8" s="703">
        <f t="shared" ref="AC8:AC19" si="5">D8/J8</f>
        <v>1</v>
      </c>
    </row>
    <row r="9" spans="1:29" s="108" customFormat="1">
      <c r="A9" s="369" t="s">
        <v>1684</v>
      </c>
      <c r="B9" s="63" t="s">
        <v>1685</v>
      </c>
      <c r="C9" s="3451" t="s">
        <v>3472</v>
      </c>
      <c r="D9" s="126">
        <v>100</v>
      </c>
      <c r="E9" s="371" t="s">
        <v>3395</v>
      </c>
      <c r="F9" s="372">
        <f>SUMIF(63:63,E9,64:64)-SUMIF(63:63,C9,64:64)+100</f>
        <v>100</v>
      </c>
      <c r="G9" s="371" t="s">
        <v>3395</v>
      </c>
      <c r="H9" s="126">
        <f>SUMIF(63:63,G9,64:64)-SUMIF(63:63,C9,64:64)+100</f>
        <v>100</v>
      </c>
      <c r="I9" s="371" t="s">
        <v>3395</v>
      </c>
      <c r="J9" s="126">
        <f>SUMIF(63:63,I9,64:64)-SUMIF(63:63,C9,64:64)+100</f>
        <v>100</v>
      </c>
      <c r="K9" s="1889"/>
      <c r="L9" s="2715"/>
      <c r="M9" s="2716"/>
      <c r="N9" s="2716"/>
      <c r="O9" s="2716"/>
      <c r="P9" s="3712"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712"/>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703">
        <f t="shared" si="5"/>
        <v>1</v>
      </c>
    </row>
    <row r="11" spans="1:29" ht="15">
      <c r="A11" s="379"/>
      <c r="B11" s="375" t="s">
        <v>1689</v>
      </c>
      <c r="C11" s="380">
        <v>1.6</v>
      </c>
      <c r="D11" s="127">
        <v>100</v>
      </c>
      <c r="E11" s="381">
        <v>1.6</v>
      </c>
      <c r="F11" s="376">
        <f>LOOKUP(E11,68:68,69:69)-LOOKUP(C11,68:68,69:69)+100</f>
        <v>100</v>
      </c>
      <c r="G11" s="380">
        <v>1.6</v>
      </c>
      <c r="H11" s="127">
        <f>LOOKUP(G11,68:68,69:69)-LOOKUP(C11,68:68,69:69)+100</f>
        <v>100</v>
      </c>
      <c r="I11" s="380">
        <v>1.6</v>
      </c>
      <c r="J11" s="127">
        <f>LOOKUP(I11,68:68,69:69)-LOOKUP(C11,68:68,69:69)+100</f>
        <v>100</v>
      </c>
      <c r="K11" s="377">
        <v>2</v>
      </c>
      <c r="L11" s="2719"/>
      <c r="M11" s="2714"/>
      <c r="N11" s="2714"/>
      <c r="O11" s="2714"/>
      <c r="P11" s="3712"/>
      <c r="Q11" s="1341" t="str">
        <f t="shared" si="6"/>
        <v>容积率</v>
      </c>
      <c r="R11" s="700" t="s">
        <v>18</v>
      </c>
      <c r="S11" s="701">
        <f t="shared" si="0"/>
        <v>100</v>
      </c>
      <c r="T11" s="700" t="s">
        <v>18</v>
      </c>
      <c r="U11" s="701">
        <f t="shared" si="1"/>
        <v>100</v>
      </c>
      <c r="V11" s="700" t="s">
        <v>18</v>
      </c>
      <c r="W11" s="701">
        <f t="shared" si="2"/>
        <v>100</v>
      </c>
      <c r="X11" s="702"/>
      <c r="Y11" s="3565"/>
      <c r="Z11" s="52" t="str">
        <f t="shared" si="7"/>
        <v>容积率</v>
      </c>
      <c r="AA11" s="703">
        <f t="shared" si="3"/>
        <v>1</v>
      </c>
      <c r="AB11" s="703">
        <f t="shared" si="4"/>
        <v>1</v>
      </c>
      <c r="AC11" s="703">
        <f t="shared" si="5"/>
        <v>1</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712"/>
      <c r="Q12" s="1341">
        <f t="shared" si="6"/>
        <v>111</v>
      </c>
      <c r="R12" s="700" t="s">
        <v>18</v>
      </c>
      <c r="S12" s="701">
        <f t="shared" si="0"/>
        <v>100</v>
      </c>
      <c r="T12" s="700" t="s">
        <v>18</v>
      </c>
      <c r="U12" s="701">
        <f t="shared" si="1"/>
        <v>100</v>
      </c>
      <c r="V12" s="700" t="s">
        <v>18</v>
      </c>
      <c r="W12" s="701">
        <f t="shared" si="2"/>
        <v>100</v>
      </c>
      <c r="X12" s="702"/>
      <c r="Y12" s="3565"/>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712"/>
      <c r="Q13" s="1341">
        <f t="shared" si="6"/>
        <v>111</v>
      </c>
      <c r="R13" s="700" t="s">
        <v>18</v>
      </c>
      <c r="S13" s="701">
        <f t="shared" si="0"/>
        <v>100</v>
      </c>
      <c r="T13" s="700" t="s">
        <v>18</v>
      </c>
      <c r="U13" s="701">
        <f t="shared" si="1"/>
        <v>100</v>
      </c>
      <c r="V13" s="700" t="s">
        <v>18</v>
      </c>
      <c r="W13" s="701">
        <f t="shared" si="2"/>
        <v>100</v>
      </c>
      <c r="X13" s="702"/>
      <c r="Y13" s="3565"/>
      <c r="Z13" s="52">
        <f t="shared" si="7"/>
        <v>111</v>
      </c>
      <c r="AA13" s="703">
        <f t="shared" si="3"/>
        <v>1</v>
      </c>
      <c r="AB13" s="703">
        <f t="shared" si="4"/>
        <v>1</v>
      </c>
      <c r="AC13" s="703">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712"/>
      <c r="Q14" s="1341">
        <f t="shared" si="6"/>
        <v>111</v>
      </c>
      <c r="R14" s="700" t="s">
        <v>18</v>
      </c>
      <c r="S14" s="701">
        <f t="shared" si="0"/>
        <v>100</v>
      </c>
      <c r="T14" s="700" t="s">
        <v>18</v>
      </c>
      <c r="U14" s="701">
        <f t="shared" si="1"/>
        <v>100</v>
      </c>
      <c r="V14" s="700" t="s">
        <v>18</v>
      </c>
      <c r="W14" s="701">
        <f t="shared" si="2"/>
        <v>100</v>
      </c>
      <c r="X14" s="702"/>
      <c r="Y14" s="3565"/>
      <c r="Z14" s="52">
        <f t="shared" si="7"/>
        <v>111</v>
      </c>
      <c r="AA14" s="703">
        <f t="shared" si="3"/>
        <v>1</v>
      </c>
      <c r="AB14" s="703">
        <f t="shared" si="4"/>
        <v>1</v>
      </c>
      <c r="AC14" s="703">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54" t="s">
        <v>1691</v>
      </c>
      <c r="Q15" s="1350" t="str">
        <f t="shared" si="6"/>
        <v>居住社区成熟度</v>
      </c>
      <c r="R15" s="704" t="s">
        <v>18</v>
      </c>
      <c r="S15" s="705">
        <f t="shared" si="0"/>
        <v>100</v>
      </c>
      <c r="T15" s="704" t="s">
        <v>18</v>
      </c>
      <c r="U15" s="705">
        <f t="shared" si="1"/>
        <v>100</v>
      </c>
      <c r="V15" s="704" t="s">
        <v>18</v>
      </c>
      <c r="W15" s="705">
        <f t="shared" si="2"/>
        <v>100</v>
      </c>
      <c r="X15" s="1353"/>
      <c r="Y15" s="3714"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755"/>
      <c r="Q16" s="1350"/>
      <c r="R16" s="704"/>
      <c r="S16" s="705"/>
      <c r="T16" s="704"/>
      <c r="U16" s="705"/>
      <c r="V16" s="704"/>
      <c r="W16" s="705"/>
      <c r="X16" s="1353"/>
      <c r="Y16" s="3715"/>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55"/>
      <c r="Q17" s="1350" t="str">
        <f>B17</f>
        <v>交通便捷度</v>
      </c>
      <c r="R17" s="704" t="s">
        <v>18</v>
      </c>
      <c r="S17" s="705">
        <f>F17</f>
        <v>100</v>
      </c>
      <c r="T17" s="704" t="s">
        <v>18</v>
      </c>
      <c r="U17" s="705">
        <f>H17</f>
        <v>100</v>
      </c>
      <c r="V17" s="704" t="s">
        <v>18</v>
      </c>
      <c r="W17" s="705">
        <f>J17</f>
        <v>100</v>
      </c>
      <c r="X17" s="1353"/>
      <c r="Y17" s="3715"/>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755"/>
      <c r="Q18" s="1350"/>
      <c r="R18" s="704"/>
      <c r="S18" s="705"/>
      <c r="T18" s="704"/>
      <c r="U18" s="705"/>
      <c r="V18" s="704"/>
      <c r="W18" s="705"/>
      <c r="X18" s="1353"/>
      <c r="Y18" s="3715"/>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55"/>
      <c r="Q19" s="1350" t="str">
        <f>B19</f>
        <v>公共配套设施</v>
      </c>
      <c r="R19" s="704" t="s">
        <v>18</v>
      </c>
      <c r="S19" s="705">
        <f>F19</f>
        <v>100</v>
      </c>
      <c r="T19" s="704" t="s">
        <v>18</v>
      </c>
      <c r="U19" s="705">
        <f>H19</f>
        <v>100</v>
      </c>
      <c r="V19" s="704" t="s">
        <v>18</v>
      </c>
      <c r="W19" s="705">
        <f>J19</f>
        <v>100</v>
      </c>
      <c r="X19" s="1353"/>
      <c r="Y19" s="3715"/>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755"/>
      <c r="Q20" s="1350"/>
      <c r="R20" s="704"/>
      <c r="S20" s="705"/>
      <c r="T20" s="704"/>
      <c r="U20" s="705"/>
      <c r="V20" s="704"/>
      <c r="W20" s="705"/>
      <c r="X20" s="1353"/>
      <c r="Y20" s="3715"/>
      <c r="Z20" s="1354"/>
      <c r="AA20" s="1351">
        <v>1</v>
      </c>
      <c r="AB20" s="1351">
        <v>1</v>
      </c>
      <c r="AC20" s="1351">
        <v>1</v>
      </c>
    </row>
    <row r="21" spans="1:29" ht="28.5">
      <c r="A21" s="379"/>
      <c r="B21" s="1130"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55"/>
      <c r="Q21" s="1350" t="str">
        <f>B21</f>
        <v>基础设施水平</v>
      </c>
      <c r="R21" s="704" t="s">
        <v>14</v>
      </c>
      <c r="S21" s="705">
        <f>F21</f>
        <v>100</v>
      </c>
      <c r="T21" s="704" t="s">
        <v>14</v>
      </c>
      <c r="U21" s="705">
        <f>H21</f>
        <v>100</v>
      </c>
      <c r="V21" s="704" t="s">
        <v>14</v>
      </c>
      <c r="W21" s="705">
        <f>J21</f>
        <v>100</v>
      </c>
      <c r="X21" s="1353"/>
      <c r="Y21" s="3715"/>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399"/>
      <c r="G22" s="1902"/>
      <c r="H22" s="399"/>
      <c r="I22" s="398"/>
      <c r="J22" s="399"/>
      <c r="K22" s="1903"/>
      <c r="L22" s="2720"/>
      <c r="M22" s="2714"/>
      <c r="N22" s="2714"/>
      <c r="O22" s="2714"/>
      <c r="P22" s="3755"/>
      <c r="Q22" s="1350"/>
      <c r="R22" s="704"/>
      <c r="S22" s="705"/>
      <c r="T22" s="704"/>
      <c r="U22" s="705"/>
      <c r="V22" s="704"/>
      <c r="W22" s="705"/>
      <c r="X22" s="1353"/>
      <c r="Y22" s="3715"/>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55"/>
      <c r="Q23" s="1350" t="str">
        <f>B23</f>
        <v>自然及人文环境</v>
      </c>
      <c r="R23" s="704" t="s">
        <v>18</v>
      </c>
      <c r="S23" s="705">
        <f>F23</f>
        <v>100</v>
      </c>
      <c r="T23" s="704" t="s">
        <v>18</v>
      </c>
      <c r="U23" s="705">
        <f>H23</f>
        <v>100</v>
      </c>
      <c r="V23" s="704" t="s">
        <v>18</v>
      </c>
      <c r="W23" s="705">
        <f>J23</f>
        <v>100</v>
      </c>
      <c r="X23" s="1353"/>
      <c r="Y23" s="3715"/>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755"/>
      <c r="Q24" s="1350"/>
      <c r="R24" s="704"/>
      <c r="S24" s="705"/>
      <c r="T24" s="704"/>
      <c r="U24" s="705"/>
      <c r="V24" s="704"/>
      <c r="W24" s="705"/>
      <c r="X24" s="1353"/>
      <c r="Y24" s="3715"/>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55"/>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715"/>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755"/>
      <c r="Q26" s="1350" t="str">
        <f t="shared" si="11"/>
        <v>朝向</v>
      </c>
      <c r="R26" s="704" t="s">
        <v>18</v>
      </c>
      <c r="S26" s="705">
        <f t="shared" si="12"/>
        <v>100</v>
      </c>
      <c r="T26" s="704" t="s">
        <v>18</v>
      </c>
      <c r="U26" s="705">
        <f t="shared" si="13"/>
        <v>100</v>
      </c>
      <c r="V26" s="704" t="s">
        <v>18</v>
      </c>
      <c r="W26" s="705">
        <f t="shared" si="14"/>
        <v>100</v>
      </c>
      <c r="X26" s="1353"/>
      <c r="Y26" s="3715"/>
      <c r="Z26" s="1354" t="str">
        <f>Q26</f>
        <v>朝向</v>
      </c>
      <c r="AA26" s="1351">
        <f t="shared" si="15"/>
        <v>1</v>
      </c>
      <c r="AB26" s="1351">
        <f t="shared" si="16"/>
        <v>1</v>
      </c>
      <c r="AC26" s="1351">
        <f t="shared" si="17"/>
        <v>1</v>
      </c>
    </row>
    <row r="27" spans="1:29" s="108" customFormat="1" ht="15">
      <c r="A27" s="382"/>
      <c r="B27" s="3455" t="s">
        <v>3480</v>
      </c>
      <c r="C27" s="383" t="s">
        <v>3467</v>
      </c>
      <c r="D27" s="413">
        <v>100</v>
      </c>
      <c r="E27" s="416" t="s">
        <v>3468</v>
      </c>
      <c r="F27" s="413">
        <f>SUMIF(90:90,E27,91:91)-SUMIF(90:90,C27,91:91)+100</f>
        <v>103</v>
      </c>
      <c r="G27" s="414" t="s">
        <v>3466</v>
      </c>
      <c r="H27" s="413">
        <f>SUMIF(90:90,G27,91:91)-SUMIF(90:90,C27,91:91)+100</f>
        <v>106</v>
      </c>
      <c r="I27" s="414" t="s">
        <v>3470</v>
      </c>
      <c r="J27" s="413">
        <f>SUMIF(90:90,I27,91:91)-SUMIF(90:90,C27,91:91)+100</f>
        <v>97</v>
      </c>
      <c r="K27" s="1892"/>
      <c r="L27" s="2715"/>
      <c r="M27" s="2716"/>
      <c r="N27" s="2716"/>
      <c r="O27" s="2716"/>
      <c r="P27" s="3755"/>
      <c r="Q27" s="1341" t="str">
        <f t="shared" si="11"/>
        <v>楼层</v>
      </c>
      <c r="R27" s="700" t="s">
        <v>18</v>
      </c>
      <c r="S27" s="701">
        <f t="shared" si="12"/>
        <v>103</v>
      </c>
      <c r="T27" s="700" t="s">
        <v>18</v>
      </c>
      <c r="U27" s="701">
        <f t="shared" si="13"/>
        <v>106</v>
      </c>
      <c r="V27" s="700" t="s">
        <v>18</v>
      </c>
      <c r="W27" s="701">
        <f t="shared" si="14"/>
        <v>97</v>
      </c>
      <c r="X27" s="702"/>
      <c r="Y27" s="3715"/>
      <c r="Z27" s="52" t="str">
        <f>Q27</f>
        <v>楼层</v>
      </c>
      <c r="AA27" s="1351">
        <f t="shared" si="15"/>
        <v>0.970873786407767</v>
      </c>
      <c r="AB27" s="1351">
        <f t="shared" si="16"/>
        <v>0.94339622641509435</v>
      </c>
      <c r="AC27" s="1351">
        <f t="shared" si="17"/>
        <v>1.0309278350515463</v>
      </c>
    </row>
    <row r="28" spans="1:29" ht="15">
      <c r="A28" s="379"/>
      <c r="B28" s="1132">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55"/>
      <c r="Q28" s="1350">
        <f t="shared" si="11"/>
        <v>111</v>
      </c>
      <c r="R28" s="704" t="s">
        <v>18</v>
      </c>
      <c r="S28" s="705">
        <f t="shared" si="12"/>
        <v>100</v>
      </c>
      <c r="T28" s="704" t="s">
        <v>18</v>
      </c>
      <c r="U28" s="705">
        <f t="shared" si="13"/>
        <v>100</v>
      </c>
      <c r="V28" s="704" t="s">
        <v>18</v>
      </c>
      <c r="W28" s="705">
        <f t="shared" si="14"/>
        <v>100</v>
      </c>
      <c r="X28" s="1353"/>
      <c r="Y28" s="3715"/>
      <c r="Z28" s="1354">
        <f t="shared" ref="Z28:Z46" si="18">Q28</f>
        <v>111</v>
      </c>
      <c r="AA28" s="1351">
        <f t="shared" si="15"/>
        <v>1</v>
      </c>
      <c r="AB28" s="1351">
        <f t="shared" si="16"/>
        <v>1</v>
      </c>
      <c r="AC28" s="1351">
        <f t="shared" si="17"/>
        <v>1</v>
      </c>
    </row>
    <row r="29" spans="1:29" ht="15">
      <c r="A29" s="379"/>
      <c r="B29" s="1132">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55"/>
      <c r="Q29" s="1350">
        <f t="shared" si="11"/>
        <v>111</v>
      </c>
      <c r="R29" s="704" t="s">
        <v>18</v>
      </c>
      <c r="S29" s="705">
        <f t="shared" si="12"/>
        <v>100</v>
      </c>
      <c r="T29" s="704" t="s">
        <v>18</v>
      </c>
      <c r="U29" s="705">
        <f t="shared" si="13"/>
        <v>100</v>
      </c>
      <c r="V29" s="704" t="s">
        <v>18</v>
      </c>
      <c r="W29" s="705">
        <f t="shared" si="14"/>
        <v>100</v>
      </c>
      <c r="X29" s="1353"/>
      <c r="Y29" s="3715"/>
      <c r="Z29" s="1354">
        <f t="shared" si="18"/>
        <v>111</v>
      </c>
      <c r="AA29" s="1351">
        <f t="shared" si="15"/>
        <v>1</v>
      </c>
      <c r="AB29" s="1351">
        <f t="shared" si="16"/>
        <v>1</v>
      </c>
      <c r="AC29" s="1351">
        <f t="shared" si="17"/>
        <v>1</v>
      </c>
    </row>
    <row r="30" spans="1:29" ht="15">
      <c r="A30" s="379"/>
      <c r="B30" s="1132">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55"/>
      <c r="Q30" s="1350">
        <f t="shared" si="11"/>
        <v>111</v>
      </c>
      <c r="R30" s="704" t="s">
        <v>18</v>
      </c>
      <c r="S30" s="705">
        <f t="shared" si="12"/>
        <v>100</v>
      </c>
      <c r="T30" s="704" t="s">
        <v>18</v>
      </c>
      <c r="U30" s="705">
        <f t="shared" si="13"/>
        <v>100</v>
      </c>
      <c r="V30" s="704" t="s">
        <v>18</v>
      </c>
      <c r="W30" s="705">
        <f t="shared" si="14"/>
        <v>100</v>
      </c>
      <c r="X30" s="1353"/>
      <c r="Y30" s="3715"/>
      <c r="Z30" s="1354">
        <f t="shared" si="18"/>
        <v>111</v>
      </c>
      <c r="AA30" s="1351">
        <f t="shared" si="15"/>
        <v>1</v>
      </c>
      <c r="AB30" s="1351">
        <f t="shared" si="16"/>
        <v>1</v>
      </c>
      <c r="AC30" s="1351">
        <f t="shared" si="17"/>
        <v>1</v>
      </c>
    </row>
    <row r="31" spans="1:29" ht="15.75" thickBot="1">
      <c r="A31" s="387"/>
      <c r="B31" s="1132">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55"/>
      <c r="Q31" s="1350">
        <f t="shared" si="11"/>
        <v>111</v>
      </c>
      <c r="R31" s="704" t="s">
        <v>18</v>
      </c>
      <c r="S31" s="705">
        <f t="shared" si="12"/>
        <v>100</v>
      </c>
      <c r="T31" s="704" t="s">
        <v>18</v>
      </c>
      <c r="U31" s="705">
        <f t="shared" si="13"/>
        <v>100</v>
      </c>
      <c r="V31" s="704" t="s">
        <v>18</v>
      </c>
      <c r="W31" s="705">
        <f t="shared" si="14"/>
        <v>100</v>
      </c>
      <c r="X31" s="1353"/>
      <c r="Y31" s="3715"/>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50" t="s">
        <v>1696</v>
      </c>
      <c r="Q32" s="1350" t="str">
        <f t="shared" si="11"/>
        <v>建筑类型</v>
      </c>
      <c r="R32" s="704" t="s">
        <v>18</v>
      </c>
      <c r="S32" s="705">
        <f t="shared" si="12"/>
        <v>100</v>
      </c>
      <c r="T32" s="704" t="s">
        <v>18</v>
      </c>
      <c r="U32" s="705">
        <f t="shared" si="13"/>
        <v>100</v>
      </c>
      <c r="V32" s="704" t="s">
        <v>18</v>
      </c>
      <c r="W32" s="705">
        <f t="shared" si="14"/>
        <v>100</v>
      </c>
      <c r="X32" s="1353"/>
      <c r="Y32" s="3717" t="s">
        <v>1696</v>
      </c>
      <c r="Z32" s="1354" t="str">
        <f t="shared" si="18"/>
        <v>建筑类型</v>
      </c>
      <c r="AA32" s="1351">
        <f t="shared" si="15"/>
        <v>1</v>
      </c>
      <c r="AB32" s="1351">
        <f t="shared" si="16"/>
        <v>1</v>
      </c>
      <c r="AC32" s="1351">
        <f t="shared" si="17"/>
        <v>1</v>
      </c>
    </row>
    <row r="33" spans="1:29" s="422" customFormat="1" ht="15">
      <c r="A33" s="419"/>
      <c r="B33" s="375" t="s">
        <v>1697</v>
      </c>
      <c r="C33" s="420">
        <f>'数据-基础表'!I13</f>
        <v>89.64</v>
      </c>
      <c r="D33" s="127">
        <v>100</v>
      </c>
      <c r="E33" s="381">
        <v>89.51</v>
      </c>
      <c r="F33" s="376">
        <f>LOOKUP(E33,103:103,104:104)-LOOKUP(C33,103:103,104:104)+100</f>
        <v>100</v>
      </c>
      <c r="G33" s="380">
        <v>89.54</v>
      </c>
      <c r="H33" s="127">
        <f>LOOKUP(G33,103:103,104:104)-LOOKUP(C33,103:103,104:104)+100</f>
        <v>100</v>
      </c>
      <c r="I33" s="381">
        <v>82.25</v>
      </c>
      <c r="J33" s="127">
        <f>LOOKUP(I33,103:103,104:104)-LOOKUP(C33,103:103,104:104)+100</f>
        <v>100</v>
      </c>
      <c r="K33" s="1892"/>
      <c r="L33" s="2719"/>
      <c r="M33" s="2721"/>
      <c r="N33" s="2721"/>
      <c r="O33" s="2721"/>
      <c r="P33" s="3751"/>
      <c r="Q33" s="706" t="str">
        <f t="shared" si="11"/>
        <v>项目建筑规模</v>
      </c>
      <c r="R33" s="707" t="s">
        <v>18</v>
      </c>
      <c r="S33" s="708">
        <f t="shared" si="12"/>
        <v>100</v>
      </c>
      <c r="T33" s="707" t="s">
        <v>18</v>
      </c>
      <c r="U33" s="708">
        <f t="shared" si="13"/>
        <v>100</v>
      </c>
      <c r="V33" s="707" t="s">
        <v>18</v>
      </c>
      <c r="W33" s="708">
        <f t="shared" si="14"/>
        <v>100</v>
      </c>
      <c r="X33" s="709"/>
      <c r="Y33" s="3717"/>
      <c r="Z33" s="710" t="str">
        <f t="shared" si="18"/>
        <v>项目建筑规模</v>
      </c>
      <c r="AA33" s="1351">
        <f t="shared" si="15"/>
        <v>1</v>
      </c>
      <c r="AB33" s="1351">
        <f t="shared" si="16"/>
        <v>1</v>
      </c>
      <c r="AC33" s="1351">
        <f t="shared" si="17"/>
        <v>1</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51"/>
      <c r="Q34" s="1350" t="str">
        <f t="shared" si="11"/>
        <v>建筑结构</v>
      </c>
      <c r="R34" s="704" t="s">
        <v>18</v>
      </c>
      <c r="S34" s="705">
        <f t="shared" si="12"/>
        <v>100</v>
      </c>
      <c r="T34" s="704" t="s">
        <v>18</v>
      </c>
      <c r="U34" s="705">
        <f t="shared" si="13"/>
        <v>100</v>
      </c>
      <c r="V34" s="704" t="s">
        <v>18</v>
      </c>
      <c r="W34" s="705">
        <f t="shared" si="14"/>
        <v>100</v>
      </c>
      <c r="X34" s="1353"/>
      <c r="Y34" s="3717"/>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51"/>
      <c r="Q35" s="1350" t="str">
        <f t="shared" si="11"/>
        <v>建筑品质</v>
      </c>
      <c r="R35" s="704" t="s">
        <v>18</v>
      </c>
      <c r="S35" s="705">
        <f t="shared" si="12"/>
        <v>100</v>
      </c>
      <c r="T35" s="704" t="s">
        <v>18</v>
      </c>
      <c r="U35" s="705">
        <f t="shared" si="13"/>
        <v>100</v>
      </c>
      <c r="V35" s="704" t="s">
        <v>18</v>
      </c>
      <c r="W35" s="705">
        <f t="shared" si="14"/>
        <v>100</v>
      </c>
      <c r="X35" s="1353"/>
      <c r="Y35" s="3717"/>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51"/>
      <c r="Q36" s="1350" t="str">
        <f t="shared" si="11"/>
        <v>公共部分装修</v>
      </c>
      <c r="R36" s="704" t="s">
        <v>18</v>
      </c>
      <c r="S36" s="705">
        <f t="shared" si="12"/>
        <v>100</v>
      </c>
      <c r="T36" s="704" t="s">
        <v>18</v>
      </c>
      <c r="U36" s="705">
        <f t="shared" si="13"/>
        <v>100</v>
      </c>
      <c r="V36" s="704" t="s">
        <v>18</v>
      </c>
      <c r="W36" s="705">
        <f t="shared" si="14"/>
        <v>100</v>
      </c>
      <c r="X36" s="1353"/>
      <c r="Y36" s="3717"/>
      <c r="Z36" s="1354" t="str">
        <f t="shared" si="18"/>
        <v>公共部分装修</v>
      </c>
      <c r="AA36" s="1351">
        <f t="shared" si="15"/>
        <v>1</v>
      </c>
      <c r="AB36" s="1351">
        <f t="shared" si="16"/>
        <v>1</v>
      </c>
      <c r="AC36" s="1351">
        <f t="shared" si="17"/>
        <v>1</v>
      </c>
    </row>
    <row r="37" spans="1:29" s="108" customFormat="1" ht="15">
      <c r="A37" s="424"/>
      <c r="B37" s="375" t="s">
        <v>1701</v>
      </c>
      <c r="C37" s="425">
        <f>'数据-取费表'!N6</f>
        <v>0.95</v>
      </c>
      <c r="D37" s="127">
        <v>100</v>
      </c>
      <c r="E37" s="425">
        <f>C37</f>
        <v>0.95</v>
      </c>
      <c r="F37" s="376">
        <f>LOOKUP(E37,112:112,113:113)-LOOKUP(C37,112:112,113:113)+100</f>
        <v>100</v>
      </c>
      <c r="G37" s="427">
        <f>C37</f>
        <v>0.95</v>
      </c>
      <c r="H37" s="127">
        <f>LOOKUP(G37,112:112,113:113)-LOOKUP(C37,112:112,113:113)+100</f>
        <v>100</v>
      </c>
      <c r="I37" s="426">
        <f>C37</f>
        <v>0.95</v>
      </c>
      <c r="J37" s="127">
        <f>LOOKUP(I37,112:112,113:113)-LOOKUP(C37,112:112,113:113)+100</f>
        <v>100</v>
      </c>
      <c r="K37" s="377"/>
      <c r="L37" s="2715"/>
      <c r="M37" s="2716"/>
      <c r="N37" s="2716"/>
      <c r="O37" s="2716"/>
      <c r="P37" s="3751"/>
      <c r="Q37" s="1341" t="str">
        <f t="shared" si="11"/>
        <v>成新度</v>
      </c>
      <c r="R37" s="700" t="s">
        <v>18</v>
      </c>
      <c r="S37" s="701">
        <f t="shared" si="12"/>
        <v>100</v>
      </c>
      <c r="T37" s="700" t="s">
        <v>18</v>
      </c>
      <c r="U37" s="701">
        <f t="shared" si="13"/>
        <v>100</v>
      </c>
      <c r="V37" s="700" t="s">
        <v>18</v>
      </c>
      <c r="W37" s="701">
        <f t="shared" si="14"/>
        <v>100</v>
      </c>
      <c r="X37" s="702"/>
      <c r="Y37" s="3717"/>
      <c r="Z37" s="52" t="str">
        <f t="shared" si="18"/>
        <v>成新度</v>
      </c>
      <c r="AA37" s="703">
        <f t="shared" si="15"/>
        <v>1</v>
      </c>
      <c r="AB37" s="703">
        <f t="shared" si="16"/>
        <v>1</v>
      </c>
      <c r="AC37" s="703">
        <f t="shared" si="17"/>
        <v>1</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51" t="s">
        <v>1696</v>
      </c>
      <c r="Q38" s="1350" t="str">
        <f t="shared" si="11"/>
        <v>物业管理</v>
      </c>
      <c r="R38" s="704" t="s">
        <v>18</v>
      </c>
      <c r="S38" s="705">
        <f t="shared" si="12"/>
        <v>100</v>
      </c>
      <c r="T38" s="704" t="s">
        <v>18</v>
      </c>
      <c r="U38" s="705">
        <f t="shared" si="13"/>
        <v>100</v>
      </c>
      <c r="V38" s="704" t="s">
        <v>18</v>
      </c>
      <c r="W38" s="705">
        <f t="shared" si="14"/>
        <v>100</v>
      </c>
      <c r="X38" s="1353"/>
      <c r="Y38" s="3717"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51"/>
      <c r="Q39" s="1350" t="str">
        <f t="shared" si="11"/>
        <v>市政基础设施</v>
      </c>
      <c r="R39" s="704" t="s">
        <v>18</v>
      </c>
      <c r="S39" s="705">
        <f t="shared" si="12"/>
        <v>100</v>
      </c>
      <c r="T39" s="704" t="s">
        <v>18</v>
      </c>
      <c r="U39" s="705">
        <f t="shared" si="13"/>
        <v>100</v>
      </c>
      <c r="V39" s="704" t="s">
        <v>18</v>
      </c>
      <c r="W39" s="705">
        <f t="shared" si="14"/>
        <v>100</v>
      </c>
      <c r="X39" s="1353"/>
      <c r="Y39" s="3717"/>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51"/>
      <c r="Q40" s="1350" t="str">
        <f t="shared" si="11"/>
        <v>房型</v>
      </c>
      <c r="R40" s="704" t="s">
        <v>18</v>
      </c>
      <c r="S40" s="705">
        <f t="shared" si="12"/>
        <v>100</v>
      </c>
      <c r="T40" s="704" t="s">
        <v>18</v>
      </c>
      <c r="U40" s="705">
        <f t="shared" si="13"/>
        <v>100</v>
      </c>
      <c r="V40" s="704" t="s">
        <v>18</v>
      </c>
      <c r="W40" s="705">
        <f t="shared" si="14"/>
        <v>100</v>
      </c>
      <c r="X40" s="1353"/>
      <c r="Y40" s="3717"/>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51"/>
      <c r="Q41" s="706" t="str">
        <f t="shared" si="11"/>
        <v>单套/主力户型建筑面积</v>
      </c>
      <c r="R41" s="707" t="s">
        <v>18</v>
      </c>
      <c r="S41" s="708">
        <f t="shared" si="12"/>
        <v>100</v>
      </c>
      <c r="T41" s="707" t="s">
        <v>18</v>
      </c>
      <c r="U41" s="708">
        <f t="shared" si="13"/>
        <v>100</v>
      </c>
      <c r="V41" s="707" t="s">
        <v>18</v>
      </c>
      <c r="W41" s="708">
        <f t="shared" si="14"/>
        <v>100</v>
      </c>
      <c r="X41" s="709"/>
      <c r="Y41" s="3717"/>
      <c r="Z41" s="710"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751"/>
      <c r="Q42" s="1350" t="str">
        <f t="shared" si="11"/>
        <v>内部装修</v>
      </c>
      <c r="R42" s="704" t="s">
        <v>18</v>
      </c>
      <c r="S42" s="705">
        <f t="shared" si="12"/>
        <v>100</v>
      </c>
      <c r="T42" s="704" t="s">
        <v>18</v>
      </c>
      <c r="U42" s="705">
        <f t="shared" si="13"/>
        <v>100</v>
      </c>
      <c r="V42" s="704" t="s">
        <v>18</v>
      </c>
      <c r="W42" s="705">
        <f t="shared" si="14"/>
        <v>100</v>
      </c>
      <c r="X42" s="1353"/>
      <c r="Y42" s="3717"/>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751"/>
      <c r="Q43" s="1350" t="str">
        <f t="shared" si="11"/>
        <v>内部装修维护情况</v>
      </c>
      <c r="R43" s="704" t="s">
        <v>18</v>
      </c>
      <c r="S43" s="705">
        <f t="shared" si="12"/>
        <v>100</v>
      </c>
      <c r="T43" s="704" t="s">
        <v>18</v>
      </c>
      <c r="U43" s="705">
        <f t="shared" si="13"/>
        <v>100</v>
      </c>
      <c r="V43" s="704" t="s">
        <v>18</v>
      </c>
      <c r="W43" s="705">
        <f t="shared" si="14"/>
        <v>100</v>
      </c>
      <c r="X43" s="1353"/>
      <c r="Y43" s="3717"/>
      <c r="Z43" s="1354" t="str">
        <f t="shared" si="18"/>
        <v>内部装修维护情况</v>
      </c>
      <c r="AA43" s="1351">
        <f t="shared" si="15"/>
        <v>1</v>
      </c>
      <c r="AB43" s="1351">
        <f t="shared" si="16"/>
        <v>1</v>
      </c>
      <c r="AC43" s="1351">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51"/>
      <c r="Q44" s="1341">
        <f t="shared" si="11"/>
        <v>111</v>
      </c>
      <c r="R44" s="700" t="s">
        <v>18</v>
      </c>
      <c r="S44" s="701">
        <f t="shared" si="12"/>
        <v>100</v>
      </c>
      <c r="T44" s="700" t="s">
        <v>18</v>
      </c>
      <c r="U44" s="701">
        <f t="shared" si="13"/>
        <v>100</v>
      </c>
      <c r="V44" s="700" t="s">
        <v>18</v>
      </c>
      <c r="W44" s="701">
        <f t="shared" si="14"/>
        <v>100</v>
      </c>
      <c r="X44" s="702"/>
      <c r="Y44" s="3717"/>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51"/>
      <c r="Q45" s="1350">
        <f t="shared" si="11"/>
        <v>111</v>
      </c>
      <c r="R45" s="704" t="s">
        <v>18</v>
      </c>
      <c r="S45" s="705">
        <f t="shared" si="12"/>
        <v>100</v>
      </c>
      <c r="T45" s="704" t="s">
        <v>18</v>
      </c>
      <c r="U45" s="705">
        <f t="shared" si="13"/>
        <v>100</v>
      </c>
      <c r="V45" s="704" t="s">
        <v>18</v>
      </c>
      <c r="W45" s="705">
        <f t="shared" si="14"/>
        <v>100</v>
      </c>
      <c r="X45" s="1353"/>
      <c r="Y45" s="3717"/>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52"/>
      <c r="Q46" s="1350">
        <f t="shared" si="11"/>
        <v>111</v>
      </c>
      <c r="R46" s="704" t="s">
        <v>17</v>
      </c>
      <c r="S46" s="705">
        <f t="shared" si="12"/>
        <v>100</v>
      </c>
      <c r="T46" s="704" t="s">
        <v>17</v>
      </c>
      <c r="U46" s="705">
        <f t="shared" si="13"/>
        <v>100</v>
      </c>
      <c r="V46" s="704" t="s">
        <v>17</v>
      </c>
      <c r="W46" s="705">
        <f t="shared" si="14"/>
        <v>100</v>
      </c>
      <c r="X46" s="1353"/>
      <c r="Y46" s="3753"/>
      <c r="Z46" s="1354">
        <f t="shared" si="18"/>
        <v>111</v>
      </c>
      <c r="AA46" s="1351">
        <f t="shared" si="15"/>
        <v>1</v>
      </c>
      <c r="AB46" s="1351">
        <f t="shared" si="16"/>
        <v>1</v>
      </c>
      <c r="AC46" s="1351">
        <f t="shared" si="17"/>
        <v>1</v>
      </c>
    </row>
    <row r="47" spans="1:29" ht="15">
      <c r="A47" s="430" t="s">
        <v>1708</v>
      </c>
      <c r="B47" s="431"/>
      <c r="C47" s="1153" t="s">
        <v>16</v>
      </c>
      <c r="D47" s="1154"/>
      <c r="E47" s="1155">
        <v>22798</v>
      </c>
      <c r="F47" s="1156"/>
      <c r="G47" s="1157">
        <v>22208</v>
      </c>
      <c r="H47" s="1158"/>
      <c r="I47" s="1155">
        <v>21895</v>
      </c>
      <c r="J47" s="1158"/>
      <c r="K47" s="1912"/>
      <c r="L47" s="2722"/>
      <c r="M47" s="2723"/>
      <c r="N47" s="2714"/>
      <c r="O47" s="2723"/>
      <c r="P47" s="3713" t="str">
        <f>A47</f>
        <v>成交单价（元/平方米）</v>
      </c>
      <c r="Q47" s="3713"/>
      <c r="R47" s="3749">
        <f>E47</f>
        <v>22798</v>
      </c>
      <c r="S47" s="3749"/>
      <c r="T47" s="3749">
        <f>G47</f>
        <v>22208</v>
      </c>
      <c r="U47" s="3749"/>
      <c r="V47" s="3749">
        <f>I47</f>
        <v>21895</v>
      </c>
      <c r="W47" s="3749"/>
      <c r="X47" s="689"/>
      <c r="Y47" s="711"/>
      <c r="Z47" s="689"/>
      <c r="AA47" s="689"/>
      <c r="AB47" s="689"/>
      <c r="AC47" s="689"/>
    </row>
    <row r="48" spans="1:29" ht="15.75" thickBot="1">
      <c r="A48" s="437" t="s">
        <v>1709</v>
      </c>
      <c r="B48" s="438"/>
      <c r="C48" s="1159">
        <f>R49</f>
        <v>21886</v>
      </c>
      <c r="D48" s="2315" t="s">
        <v>2137</v>
      </c>
      <c r="E48" s="1160">
        <f>R48</f>
        <v>22134</v>
      </c>
      <c r="F48" s="2316"/>
      <c r="G48" s="1159">
        <f>T48</f>
        <v>20951</v>
      </c>
      <c r="H48" s="2316"/>
      <c r="I48" s="1160">
        <f>V48</f>
        <v>22572</v>
      </c>
      <c r="J48" s="2316"/>
      <c r="K48" s="2317">
        <f>F48+H48+J48</f>
        <v>0</v>
      </c>
      <c r="L48" s="2722"/>
      <c r="M48" s="2723"/>
      <c r="N48" s="2723"/>
      <c r="O48" s="2723"/>
      <c r="P48" s="3713" t="str">
        <f>A48</f>
        <v>比较价值（元/平方米）</v>
      </c>
      <c r="Q48" s="3713"/>
      <c r="R48" s="3749">
        <f>IF(F1="售价",ROUND(PRODUCT(R47,AA7:AA46),0),ROUND(PRODUCT(R47,AA7:AA46),1))</f>
        <v>22134</v>
      </c>
      <c r="S48" s="3749"/>
      <c r="T48" s="3749">
        <f>IF(F1="售价",ROUND(PRODUCT(T47,AB7:AB46),0),ROUND(PRODUCT(T47,AB7:AB46),1))</f>
        <v>20951</v>
      </c>
      <c r="U48" s="3749"/>
      <c r="V48" s="3749">
        <f>IF(F1="售价",ROUND(PRODUCT(V47,AC7:AC46),0),ROUND(PRODUCT(V47,AC7:AC46),1))</f>
        <v>22572</v>
      </c>
      <c r="W48" s="3749"/>
      <c r="X48" s="689"/>
      <c r="Y48" s="689"/>
      <c r="Z48" s="689"/>
      <c r="AA48" s="689"/>
      <c r="AB48" s="689"/>
      <c r="AC48" s="689"/>
    </row>
    <row r="49" spans="1:29" ht="15.75" thickBot="1">
      <c r="A49" s="441" t="s">
        <v>1710</v>
      </c>
      <c r="B49" s="442"/>
      <c r="C49" s="1161">
        <f>R49</f>
        <v>21886</v>
      </c>
      <c r="D49" s="1162"/>
      <c r="E49" s="1162"/>
      <c r="F49" s="1162"/>
      <c r="G49" s="1162"/>
      <c r="H49" s="1162"/>
      <c r="I49" s="1162"/>
      <c r="J49" s="1162"/>
      <c r="K49" s="1913"/>
      <c r="L49" s="2722"/>
      <c r="M49" s="2723"/>
      <c r="N49" s="2723"/>
      <c r="O49" s="2723"/>
      <c r="P49" s="3707" t="str">
        <f>A49</f>
        <v>估价对象XX用房的比较价值（楼面单价，元/平方米）</v>
      </c>
      <c r="Q49" s="3708"/>
      <c r="R49" s="3748">
        <f>IF(F1="售价",ROUND(IF(D48="简单平均",AVERAGE(R48:V48),R48*F48+T48*H48+V48*J48),0),ROUND(IF(D48="简单平均",AVERAGE(R48:V48),R48*F48+T48*H48+V48*J48),1))</f>
        <v>21886</v>
      </c>
      <c r="S49" s="3748"/>
      <c r="T49" s="3748"/>
      <c r="U49" s="3748"/>
      <c r="V49" s="3748"/>
      <c r="W49" s="3748"/>
      <c r="X49" s="689"/>
      <c r="Y49" s="689"/>
      <c r="Z49" s="689"/>
      <c r="AA49" s="689"/>
      <c r="AB49" s="689"/>
      <c r="AC49" s="689"/>
    </row>
    <row r="50" spans="1:29">
      <c r="A50" s="2723"/>
      <c r="B50" s="2723"/>
      <c r="C50" s="2723"/>
      <c r="D50" s="2723"/>
      <c r="E50" s="2723"/>
      <c r="F50" s="2723"/>
      <c r="G50" s="3456"/>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2.9999096412758552E-2</v>
      </c>
      <c r="F52" s="449" t="str">
        <f>IF(OR(E52&gt;=0.3,E52&lt;=-0.3),"超过30%","")</f>
        <v/>
      </c>
      <c r="G52" s="448">
        <f>IF(G47&lt;G48,G48/G47-1,G47/G48-1)</f>
        <v>5.9997136174884336E-2</v>
      </c>
      <c r="H52" s="449" t="str">
        <f>IF(OR(G52&gt;=0.3,G52&lt;=-0.3),"超过30%","")</f>
        <v/>
      </c>
      <c r="I52" s="448">
        <f>IF(I47&lt;I48,I48/I47-1,I47/I48-1)</f>
        <v>3.0920301438684739E-2</v>
      </c>
      <c r="J52" s="449" t="str">
        <f>IF(OR(I52&gt;=0.3,I52&lt;=-0.3),"超过30%","")</f>
        <v/>
      </c>
      <c r="K52" s="2728"/>
      <c r="L52" s="2724"/>
      <c r="M52" s="2723"/>
      <c r="N52" s="2723"/>
      <c r="O52" s="2723"/>
    </row>
    <row r="53" spans="1:29" ht="13.5" customHeight="1">
      <c r="A53" s="2723"/>
      <c r="B53" s="2723"/>
      <c r="C53" s="446" t="s">
        <v>1712</v>
      </c>
      <c r="D53" s="450"/>
      <c r="E53" s="448">
        <f>IF(E48&lt;G48,G48/E48-1,E48/G48-1)</f>
        <v>5.6465085198797116E-2</v>
      </c>
      <c r="F53" s="449" t="str">
        <f>IF(OR(E53&gt;=0.2,E53&lt;=-0.2),"超过20%","")</f>
        <v/>
      </c>
      <c r="G53" s="448">
        <f>IF(G48&lt;I48,I48/G48-1,G48/I48-1)</f>
        <v>7.7371008543744901E-2</v>
      </c>
      <c r="H53" s="449" t="str">
        <f>IF(OR(G53&gt;=0.2,G53&lt;=-0.2),"超过20%","")</f>
        <v/>
      </c>
      <c r="I53" s="448">
        <f>IF(I48&lt;E48,E48/I48-1,I48/E48-1)</f>
        <v>1.9788560585524584E-2</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2.6567002881844326E-2</v>
      </c>
      <c r="F54" s="449" t="str">
        <f>IF(OR(E54&gt;=0.3,E54&lt;=-0.3),"超过30%","")</f>
        <v/>
      </c>
      <c r="G54" s="448">
        <f>IF(G47&lt;I47,I47/G47-1,G47/I47-1)</f>
        <v>1.4295501255994436E-2</v>
      </c>
      <c r="H54" s="449" t="str">
        <f>IF(OR(G54&gt;=0.3,G54&lt;=-0.3),"超过30%","")</f>
        <v/>
      </c>
      <c r="I54" s="448">
        <f>IF(I47&lt;E47,E47/I47-1,I47/E47-1)</f>
        <v>4.1242292760904409E-2</v>
      </c>
      <c r="J54" s="449" t="str">
        <f>IF(OR(I54&gt;=0.3,I54&lt;=-0.3),"超过30%","")</f>
        <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3" t="s">
        <v>1714</v>
      </c>
      <c r="B57" s="689"/>
      <c r="C57" s="694"/>
      <c r="D57" s="694"/>
      <c r="E57" s="694"/>
      <c r="F57" s="695"/>
      <c r="G57" s="695"/>
      <c r="H57" s="694"/>
      <c r="I57" s="694"/>
      <c r="J57" s="694"/>
      <c r="K57" s="940"/>
      <c r="L57" s="941"/>
      <c r="M57" s="939"/>
      <c r="N57" s="939"/>
      <c r="O57" s="939"/>
      <c r="P57" s="1916"/>
      <c r="Q57" s="453"/>
    </row>
    <row r="58" spans="1:29" s="457" customFormat="1" ht="15">
      <c r="A58" s="454" t="s">
        <v>1715</v>
      </c>
      <c r="B58" s="455"/>
      <c r="C58" s="1184" t="str">
        <f>YEAR(C7)&amp;"-"&amp;MONTH(C7)</f>
        <v>2024-10</v>
      </c>
      <c r="D58" s="1183">
        <f>EDATE(C58,-1)</f>
        <v>45536</v>
      </c>
      <c r="E58" s="1183">
        <f>EDATE(D58,-1)</f>
        <v>45505</v>
      </c>
      <c r="F58" s="1183">
        <f t="shared" ref="F58:O58" si="19">EDATE(E58,-1)</f>
        <v>45474</v>
      </c>
      <c r="G58" s="1183">
        <f t="shared" si="19"/>
        <v>45444</v>
      </c>
      <c r="H58" s="1183">
        <f t="shared" si="19"/>
        <v>45413</v>
      </c>
      <c r="I58" s="1183">
        <f t="shared" si="19"/>
        <v>45383</v>
      </c>
      <c r="J58" s="1183">
        <f t="shared" si="19"/>
        <v>45352</v>
      </c>
      <c r="K58" s="1183">
        <f t="shared" si="19"/>
        <v>45323</v>
      </c>
      <c r="L58" s="1183">
        <f t="shared" si="19"/>
        <v>45292</v>
      </c>
      <c r="M58" s="1183">
        <f t="shared" si="19"/>
        <v>45261</v>
      </c>
      <c r="N58" s="1183">
        <f t="shared" si="19"/>
        <v>45231</v>
      </c>
      <c r="O58" s="1183">
        <f t="shared" si="19"/>
        <v>45200</v>
      </c>
      <c r="P58" s="1179"/>
    </row>
    <row r="59" spans="1:29" s="108" customFormat="1" ht="15">
      <c r="A59" s="458"/>
      <c r="B59" s="1917"/>
      <c r="C59" s="1181">
        <v>100</v>
      </c>
      <c r="D59" s="460">
        <v>100</v>
      </c>
      <c r="E59" s="460">
        <v>100</v>
      </c>
      <c r="F59" s="460">
        <v>100</v>
      </c>
      <c r="G59" s="460">
        <v>100</v>
      </c>
      <c r="H59" s="460">
        <v>100</v>
      </c>
      <c r="I59" s="460">
        <v>100</v>
      </c>
      <c r="J59" s="460">
        <v>100</v>
      </c>
      <c r="K59" s="460">
        <v>100</v>
      </c>
      <c r="L59" s="460">
        <v>100</v>
      </c>
      <c r="M59" s="460">
        <v>100</v>
      </c>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1"/>
      <c r="O61" s="931"/>
      <c r="P61" s="1919"/>
      <c r="Q61" s="453"/>
    </row>
    <row r="62" spans="1:29" s="108" customFormat="1" ht="15.75" thickBot="1">
      <c r="A62" s="470"/>
      <c r="B62" s="459"/>
      <c r="C62" s="460">
        <v>100</v>
      </c>
      <c r="D62" s="461"/>
      <c r="E62" s="461"/>
      <c r="F62" s="461"/>
      <c r="G62" s="461"/>
      <c r="H62" s="461"/>
      <c r="I62" s="461"/>
      <c r="J62" s="461"/>
      <c r="K62" s="461"/>
      <c r="L62" s="461"/>
      <c r="M62" s="463"/>
      <c r="N62" s="931"/>
      <c r="O62" s="931"/>
      <c r="P62" s="1918"/>
      <c r="Q62" s="453"/>
    </row>
    <row r="63" spans="1:29">
      <c r="A63" s="476" t="s">
        <v>1719</v>
      </c>
      <c r="B63" s="477" t="s">
        <v>1685</v>
      </c>
      <c r="C63" s="478" t="str">
        <f>C9</f>
        <v>住宅</v>
      </c>
      <c r="D63" s="479"/>
      <c r="E63" s="479"/>
      <c r="F63" s="479"/>
      <c r="G63" s="479"/>
      <c r="H63" s="479"/>
      <c r="I63" s="479"/>
      <c r="J63" s="479"/>
      <c r="K63" s="480"/>
      <c r="L63" s="481"/>
      <c r="M63" s="482"/>
      <c r="N63" s="932"/>
      <c r="O63" s="932"/>
      <c r="P63" s="1920"/>
      <c r="Q63" s="453"/>
    </row>
    <row r="64" spans="1:29" ht="15.75" thickBot="1">
      <c r="A64" s="483"/>
      <c r="B64" s="484"/>
      <c r="C64" s="485">
        <v>100</v>
      </c>
      <c r="D64" s="485"/>
      <c r="E64" s="485"/>
      <c r="F64" s="485"/>
      <c r="G64" s="485"/>
      <c r="H64" s="485"/>
      <c r="I64" s="485"/>
      <c r="J64" s="485"/>
      <c r="K64" s="485"/>
      <c r="L64" s="485"/>
      <c r="M64" s="486"/>
      <c r="N64" s="933"/>
      <c r="O64" s="933"/>
      <c r="P64" s="1920"/>
      <c r="Q64" s="453"/>
    </row>
    <row r="65" spans="1:17" ht="27.75" thickTop="1">
      <c r="A65" s="483"/>
      <c r="B65" s="487" t="s">
        <v>1688</v>
      </c>
      <c r="C65" s="532"/>
      <c r="D65" s="532"/>
      <c r="E65" s="532"/>
      <c r="F65" s="532"/>
      <c r="G65" s="532"/>
      <c r="H65" s="532"/>
      <c r="I65" s="532"/>
      <c r="J65" s="532"/>
      <c r="K65" s="532"/>
      <c r="L65" s="532"/>
      <c r="M65" s="532"/>
      <c r="N65" s="933"/>
      <c r="O65" s="933"/>
      <c r="P65" s="1920"/>
      <c r="Q65" s="453"/>
    </row>
    <row r="66" spans="1:17" ht="15.75" thickBot="1">
      <c r="A66" s="483"/>
      <c r="B66" s="492"/>
      <c r="C66" s="485"/>
      <c r="D66" s="485"/>
      <c r="E66" s="485"/>
      <c r="F66" s="485"/>
      <c r="G66" s="485"/>
      <c r="H66" s="485"/>
      <c r="I66" s="485"/>
      <c r="J66" s="485"/>
      <c r="K66" s="485"/>
      <c r="L66" s="485"/>
      <c r="M66" s="486"/>
      <c r="N66" s="933"/>
      <c r="O66" s="933"/>
      <c r="P66" s="1920"/>
      <c r="Q66" s="453"/>
    </row>
    <row r="67" spans="1:17" ht="15.75" thickTop="1">
      <c r="A67" s="483"/>
      <c r="B67" s="495" t="s">
        <v>1689</v>
      </c>
      <c r="C67" s="496" t="str">
        <f>C68&amp;"（含）"&amp;"-"&amp;D68</f>
        <v>0（含）-0.5</v>
      </c>
      <c r="D67" s="496" t="str">
        <f t="shared" ref="D67:L67" si="20">D68&amp;"（含）"&amp;"-"&amp;E68</f>
        <v>0.5（含）-1</v>
      </c>
      <c r="E67" s="496" t="str">
        <f t="shared" si="20"/>
        <v>1（含）-1.5</v>
      </c>
      <c r="F67" s="496" t="str">
        <f t="shared" si="20"/>
        <v>1.5（含）-2</v>
      </c>
      <c r="G67" s="496" t="str">
        <f t="shared" si="20"/>
        <v>2（含）-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0"/>
      <c r="Q67" s="453"/>
    </row>
    <row r="68" spans="1:17" ht="15">
      <c r="A68" s="483"/>
      <c r="B68" s="497"/>
      <c r="C68" s="498">
        <v>0</v>
      </c>
      <c r="D68" s="498">
        <v>0.5</v>
      </c>
      <c r="E68" s="498">
        <v>1</v>
      </c>
      <c r="F68" s="498">
        <v>1.5</v>
      </c>
      <c r="G68" s="498">
        <v>2</v>
      </c>
      <c r="H68" s="498"/>
      <c r="I68" s="498"/>
      <c r="J68" s="498"/>
      <c r="K68" s="499"/>
      <c r="L68" s="500"/>
      <c r="M68" s="501"/>
      <c r="N68" s="932"/>
      <c r="O68" s="932"/>
      <c r="P68" s="1920"/>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3"/>
      <c r="O69" s="933"/>
      <c r="P69" s="1920"/>
      <c r="Q69" s="453"/>
    </row>
    <row r="70" spans="1:17" s="422" customFormat="1" ht="15.75" thickTop="1">
      <c r="A70" s="502"/>
      <c r="B70" s="487">
        <f>B12</f>
        <v>111</v>
      </c>
      <c r="C70" s="503"/>
      <c r="D70" s="503"/>
      <c r="E70" s="503"/>
      <c r="F70" s="503"/>
      <c r="G70" s="503"/>
      <c r="H70" s="504"/>
      <c r="I70" s="504"/>
      <c r="J70" s="504"/>
      <c r="K70" s="504"/>
      <c r="L70" s="505"/>
      <c r="M70" s="506"/>
      <c r="N70" s="934"/>
      <c r="O70" s="934"/>
      <c r="P70" s="1921"/>
      <c r="Q70" s="508"/>
    </row>
    <row r="71" spans="1:17" s="422" customFormat="1" ht="15.75" thickBot="1">
      <c r="A71" s="502"/>
      <c r="B71" s="492"/>
      <c r="C71" s="509"/>
      <c r="D71" s="485"/>
      <c r="E71" s="485"/>
      <c r="F71" s="485"/>
      <c r="G71" s="485"/>
      <c r="H71" s="485"/>
      <c r="I71" s="485"/>
      <c r="J71" s="485"/>
      <c r="K71" s="485"/>
      <c r="L71" s="485"/>
      <c r="M71" s="486"/>
      <c r="N71" s="933"/>
      <c r="O71" s="933"/>
      <c r="P71" s="1921"/>
      <c r="Q71" s="508"/>
    </row>
    <row r="72" spans="1:17" s="422" customFormat="1" ht="15.75" thickTop="1">
      <c r="A72" s="502"/>
      <c r="B72" s="487">
        <f>B13</f>
        <v>111</v>
      </c>
      <c r="C72" s="503"/>
      <c r="D72" s="503"/>
      <c r="E72" s="503"/>
      <c r="F72" s="503"/>
      <c r="G72" s="503"/>
      <c r="H72" s="504"/>
      <c r="I72" s="504"/>
      <c r="J72" s="504"/>
      <c r="K72" s="504"/>
      <c r="L72" s="505"/>
      <c r="M72" s="506"/>
      <c r="N72" s="934"/>
      <c r="O72" s="934"/>
      <c r="P72" s="1922"/>
      <c r="Q72" s="510"/>
    </row>
    <row r="73" spans="1:17" s="422" customFormat="1" ht="15.75" thickBot="1">
      <c r="A73" s="502"/>
      <c r="B73" s="492"/>
      <c r="C73" s="509"/>
      <c r="D73" s="509"/>
      <c r="E73" s="509"/>
      <c r="F73" s="509"/>
      <c r="G73" s="509"/>
      <c r="H73" s="511"/>
      <c r="I73" s="511"/>
      <c r="J73" s="511"/>
      <c r="K73" s="511"/>
      <c r="L73" s="511"/>
      <c r="M73" s="512"/>
      <c r="N73" s="934"/>
      <c r="O73" s="934"/>
      <c r="P73" s="1921"/>
      <c r="Q73" s="508"/>
    </row>
    <row r="74" spans="1:17" s="422" customFormat="1" ht="15.75" thickTop="1">
      <c r="A74" s="502"/>
      <c r="B74" s="495">
        <f>B14</f>
        <v>111</v>
      </c>
      <c r="C74" s="503"/>
      <c r="D74" s="503"/>
      <c r="E74" s="503"/>
      <c r="F74" s="503"/>
      <c r="G74" s="472"/>
      <c r="H74" s="513"/>
      <c r="I74" s="513"/>
      <c r="J74" s="513"/>
      <c r="K74" s="513"/>
      <c r="L74" s="514"/>
      <c r="M74" s="515"/>
      <c r="N74" s="934"/>
      <c r="O74" s="934"/>
      <c r="P74" s="1923"/>
      <c r="Q74" s="508"/>
    </row>
    <row r="75" spans="1:17" s="422" customFormat="1" ht="15.75" thickBot="1">
      <c r="A75" s="517"/>
      <c r="B75" s="518"/>
      <c r="C75" s="519"/>
      <c r="D75" s="519"/>
      <c r="E75" s="519"/>
      <c r="F75" s="519"/>
      <c r="G75" s="519"/>
      <c r="H75" s="520"/>
      <c r="I75" s="520"/>
      <c r="J75" s="520"/>
      <c r="K75" s="520"/>
      <c r="L75" s="520"/>
      <c r="M75" s="521"/>
      <c r="N75" s="934"/>
      <c r="O75" s="934"/>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0"/>
      <c r="Q85" s="453"/>
    </row>
    <row r="86" spans="1:17" s="108" customFormat="1" ht="15.75" thickTop="1">
      <c r="A86" s="528"/>
      <c r="B86" s="487" t="s">
        <v>1734</v>
      </c>
      <c r="C86" s="503"/>
      <c r="D86" s="503"/>
      <c r="E86" s="503"/>
      <c r="F86" s="503"/>
      <c r="G86" s="503"/>
      <c r="H86" s="503"/>
      <c r="I86" s="503"/>
      <c r="J86" s="503"/>
      <c r="K86" s="503"/>
      <c r="L86" s="529"/>
      <c r="M86" s="530"/>
      <c r="N86" s="931"/>
      <c r="O86" s="931"/>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0"/>
      <c r="Q87" s="453"/>
    </row>
    <row r="88" spans="1:17" s="108" customFormat="1" ht="15.75" thickTop="1">
      <c r="A88" s="528"/>
      <c r="B88" s="487" t="s">
        <v>1735</v>
      </c>
      <c r="C88" s="503"/>
      <c r="D88" s="503"/>
      <c r="E88" s="503"/>
      <c r="F88" s="1925"/>
      <c r="G88" s="503"/>
      <c r="H88" s="503"/>
      <c r="I88" s="503"/>
      <c r="J88" s="503"/>
      <c r="K88" s="503"/>
      <c r="L88" s="503"/>
      <c r="M88" s="530"/>
      <c r="N88" s="931"/>
      <c r="O88" s="931"/>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0"/>
      <c r="Q89" s="453"/>
    </row>
    <row r="90" spans="1:17" s="422" customFormat="1" ht="15.75" thickTop="1">
      <c r="A90" s="502"/>
      <c r="B90" s="487" t="str">
        <f>B27</f>
        <v>楼层</v>
      </c>
      <c r="C90" s="503" t="s">
        <v>3470</v>
      </c>
      <c r="D90" s="503" t="s">
        <v>3481</v>
      </c>
      <c r="E90" s="503" t="s">
        <v>3482</v>
      </c>
      <c r="F90" s="503" t="s">
        <v>3483</v>
      </c>
      <c r="G90" s="503" t="s">
        <v>3484</v>
      </c>
      <c r="H90" s="503" t="s">
        <v>3485</v>
      </c>
      <c r="I90" s="503" t="s">
        <v>3486</v>
      </c>
      <c r="J90" s="503" t="s">
        <v>3487</v>
      </c>
      <c r="K90" s="504"/>
      <c r="L90" s="505"/>
      <c r="M90" s="506"/>
      <c r="N90" s="934"/>
      <c r="O90" s="934"/>
      <c r="P90" s="1921"/>
      <c r="Q90" s="508"/>
    </row>
    <row r="91" spans="1:17" s="422" customFormat="1" ht="15.75" thickBot="1">
      <c r="A91" s="502"/>
      <c r="B91" s="492"/>
      <c r="C91" s="509">
        <v>94</v>
      </c>
      <c r="D91" s="509">
        <v>97</v>
      </c>
      <c r="E91" s="509">
        <v>100</v>
      </c>
      <c r="F91" s="509">
        <v>100</v>
      </c>
      <c r="G91" s="509">
        <v>103</v>
      </c>
      <c r="H91" s="511">
        <v>103</v>
      </c>
      <c r="I91" s="511">
        <v>103</v>
      </c>
      <c r="J91" s="511">
        <v>94</v>
      </c>
      <c r="K91" s="511"/>
      <c r="L91" s="511"/>
      <c r="M91" s="512"/>
      <c r="N91" s="934"/>
      <c r="O91" s="934"/>
      <c r="P91" s="1921"/>
      <c r="Q91" s="508"/>
    </row>
    <row r="92" spans="1:17" ht="15.75" thickTop="1">
      <c r="A92" s="483"/>
      <c r="B92" s="487">
        <f>B28</f>
        <v>111</v>
      </c>
      <c r="C92" s="503"/>
      <c r="D92" s="503"/>
      <c r="E92" s="503"/>
      <c r="F92" s="503"/>
      <c r="G92" s="532"/>
      <c r="H92" s="532"/>
      <c r="I92" s="532"/>
      <c r="J92" s="532"/>
      <c r="K92" s="533"/>
      <c r="L92" s="534"/>
      <c r="M92" s="535"/>
      <c r="N92" s="932"/>
      <c r="O92" s="932"/>
      <c r="P92" s="1920"/>
      <c r="Q92" s="453"/>
    </row>
    <row r="93" spans="1:17" ht="15.75" thickBot="1">
      <c r="A93" s="483"/>
      <c r="B93" s="492"/>
      <c r="C93" s="509"/>
      <c r="D93" s="485"/>
      <c r="E93" s="485"/>
      <c r="F93" s="485"/>
      <c r="G93" s="485"/>
      <c r="H93" s="485"/>
      <c r="I93" s="485"/>
      <c r="J93" s="485"/>
      <c r="K93" s="485"/>
      <c r="L93" s="485"/>
      <c r="M93" s="486"/>
      <c r="N93" s="933"/>
      <c r="O93" s="933"/>
      <c r="P93" s="1920"/>
      <c r="Q93" s="453"/>
    </row>
    <row r="94" spans="1:17" ht="15.75" thickTop="1">
      <c r="A94" s="483"/>
      <c r="B94" s="487">
        <f>B29</f>
        <v>111</v>
      </c>
      <c r="C94" s="503"/>
      <c r="D94" s="503"/>
      <c r="E94" s="503"/>
      <c r="F94" s="503"/>
      <c r="G94" s="532"/>
      <c r="H94" s="532"/>
      <c r="I94" s="532"/>
      <c r="J94" s="532"/>
      <c r="K94" s="533"/>
      <c r="L94" s="534"/>
      <c r="M94" s="535"/>
      <c r="N94" s="932"/>
      <c r="O94" s="932"/>
      <c r="P94" s="1920"/>
      <c r="Q94" s="453"/>
    </row>
    <row r="95" spans="1:17" ht="15.75" thickBot="1">
      <c r="A95" s="483"/>
      <c r="B95" s="492"/>
      <c r="C95" s="509"/>
      <c r="D95" s="509"/>
      <c r="E95" s="509"/>
      <c r="F95" s="509"/>
      <c r="G95" s="485"/>
      <c r="H95" s="485"/>
      <c r="I95" s="485"/>
      <c r="J95" s="485"/>
      <c r="K95" s="485"/>
      <c r="L95" s="485"/>
      <c r="M95" s="486"/>
      <c r="N95" s="933"/>
      <c r="O95" s="933"/>
      <c r="P95" s="1920"/>
      <c r="Q95" s="453"/>
    </row>
    <row r="96" spans="1:17" ht="15.75" thickTop="1">
      <c r="A96" s="483"/>
      <c r="B96" s="487">
        <f>B30</f>
        <v>111</v>
      </c>
      <c r="C96" s="503"/>
      <c r="D96" s="503"/>
      <c r="E96" s="503"/>
      <c r="F96" s="503"/>
      <c r="G96" s="532"/>
      <c r="H96" s="532"/>
      <c r="I96" s="532"/>
      <c r="J96" s="532"/>
      <c r="K96" s="533"/>
      <c r="L96" s="534"/>
      <c r="M96" s="535"/>
      <c r="N96" s="932"/>
      <c r="O96" s="932"/>
      <c r="P96" s="1920"/>
      <c r="Q96" s="453"/>
    </row>
    <row r="97" spans="1:17" ht="15.75" thickBot="1">
      <c r="A97" s="483"/>
      <c r="B97" s="492"/>
      <c r="C97" s="519"/>
      <c r="D97" s="519"/>
      <c r="E97" s="519"/>
      <c r="F97" s="519"/>
      <c r="G97" s="485"/>
      <c r="H97" s="485"/>
      <c r="I97" s="485"/>
      <c r="J97" s="485"/>
      <c r="K97" s="485"/>
      <c r="L97" s="485"/>
      <c r="M97" s="486"/>
      <c r="N97" s="933"/>
      <c r="O97" s="933"/>
      <c r="P97" s="1920"/>
      <c r="Q97" s="453"/>
    </row>
    <row r="98" spans="1:17" ht="15.75" thickTop="1">
      <c r="A98" s="483"/>
      <c r="B98" s="495">
        <f>B31</f>
        <v>111</v>
      </c>
      <c r="C98" s="536"/>
      <c r="D98" s="536"/>
      <c r="E98" s="536"/>
      <c r="F98" s="536"/>
      <c r="G98" s="536"/>
      <c r="H98" s="536"/>
      <c r="I98" s="536"/>
      <c r="J98" s="536"/>
      <c r="K98" s="537"/>
      <c r="L98" s="538"/>
      <c r="M98" s="539"/>
      <c r="N98" s="932"/>
      <c r="O98" s="932"/>
      <c r="P98" s="1920"/>
      <c r="Q98" s="453"/>
    </row>
    <row r="99" spans="1:17" ht="15.75" thickBot="1">
      <c r="A99" s="1926"/>
      <c r="B99" s="518"/>
      <c r="C99" s="540"/>
      <c r="D99" s="540"/>
      <c r="E99" s="540"/>
      <c r="F99" s="540"/>
      <c r="G99" s="540"/>
      <c r="H99" s="540"/>
      <c r="I99" s="540"/>
      <c r="J99" s="540"/>
      <c r="K99" s="540"/>
      <c r="L99" s="540"/>
      <c r="M99" s="541"/>
      <c r="N99" s="933"/>
      <c r="O99" s="933"/>
      <c r="P99" s="1920"/>
      <c r="Q99" s="453"/>
    </row>
    <row r="100" spans="1:17">
      <c r="A100" s="476" t="s">
        <v>1694</v>
      </c>
      <c r="B100" s="477" t="s">
        <v>1736</v>
      </c>
      <c r="C100" s="3452" t="s">
        <v>3473</v>
      </c>
      <c r="D100" s="479"/>
      <c r="E100" s="479"/>
      <c r="F100" s="479"/>
      <c r="G100" s="479"/>
      <c r="H100" s="479"/>
      <c r="I100" s="479"/>
      <c r="J100" s="479"/>
      <c r="K100" s="480"/>
      <c r="L100" s="481"/>
      <c r="M100" s="482"/>
      <c r="N100" s="932"/>
      <c r="O100" s="932"/>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0"/>
      <c r="Q101" s="453"/>
    </row>
    <row r="102" spans="1:17" ht="15.75" thickTop="1">
      <c r="A102" s="483"/>
      <c r="B102" s="487" t="s">
        <v>1737</v>
      </c>
      <c r="C102" s="527" t="str">
        <f>C103&amp;"(含)"&amp;"-"&amp;D103</f>
        <v>0(含)-90</v>
      </c>
      <c r="D102" s="527" t="str">
        <f t="shared" ref="D102:L102" si="26">D103&amp;"(含)"&amp;"-"&amp;E103</f>
        <v>90(含)-120</v>
      </c>
      <c r="E102" s="527" t="str">
        <f t="shared" si="26"/>
        <v>120(含)-150</v>
      </c>
      <c r="F102" s="527" t="str">
        <f t="shared" si="26"/>
        <v>150(含)-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0"/>
      <c r="Q102" s="453"/>
    </row>
    <row r="103" spans="1:17" s="422" customFormat="1">
      <c r="A103" s="542"/>
      <c r="B103" s="543"/>
      <c r="C103" s="544">
        <v>0</v>
      </c>
      <c r="D103" s="544">
        <v>90</v>
      </c>
      <c r="E103" s="544">
        <v>120</v>
      </c>
      <c r="F103" s="544">
        <v>150</v>
      </c>
      <c r="G103" s="544"/>
      <c r="H103" s="544"/>
      <c r="I103" s="544"/>
      <c r="J103" s="545"/>
      <c r="K103" s="545"/>
      <c r="L103" s="546"/>
      <c r="M103" s="547"/>
      <c r="N103" s="934"/>
      <c r="O103" s="934"/>
      <c r="P103" s="1921"/>
      <c r="Q103" s="508"/>
    </row>
    <row r="104" spans="1:17" s="422" customFormat="1" ht="15.75" thickBot="1">
      <c r="A104" s="502"/>
      <c r="B104" s="492"/>
      <c r="C104" s="509">
        <v>100</v>
      </c>
      <c r="D104" s="485">
        <v>101</v>
      </c>
      <c r="E104" s="485">
        <v>102</v>
      </c>
      <c r="F104" s="485">
        <v>103</v>
      </c>
      <c r="G104" s="485"/>
      <c r="H104" s="485"/>
      <c r="I104" s="485"/>
      <c r="J104" s="485"/>
      <c r="K104" s="485"/>
      <c r="L104" s="485"/>
      <c r="M104" s="485"/>
      <c r="N104" s="933"/>
      <c r="O104" s="933"/>
      <c r="P104" s="1921"/>
      <c r="Q104" s="508"/>
    </row>
    <row r="105" spans="1:17" ht="15" thickTop="1">
      <c r="A105" s="548"/>
      <c r="B105" s="487" t="s">
        <v>1738</v>
      </c>
      <c r="C105" s="3453" t="s">
        <v>3474</v>
      </c>
      <c r="D105" s="503"/>
      <c r="E105" s="532"/>
      <c r="F105" s="532"/>
      <c r="G105" s="532"/>
      <c r="H105" s="532"/>
      <c r="I105" s="532"/>
      <c r="J105" s="532"/>
      <c r="K105" s="533"/>
      <c r="L105" s="534"/>
      <c r="M105" s="535"/>
      <c r="N105" s="932"/>
      <c r="O105" s="932"/>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0"/>
      <c r="Q106" s="453"/>
    </row>
    <row r="107" spans="1:17" ht="15" thickTop="1">
      <c r="A107" s="548"/>
      <c r="B107" s="487" t="s">
        <v>1739</v>
      </c>
      <c r="C107" s="3454" t="s">
        <v>3479</v>
      </c>
      <c r="D107" s="532"/>
      <c r="E107" s="532"/>
      <c r="F107" s="532"/>
      <c r="G107" s="532"/>
      <c r="H107" s="532"/>
      <c r="I107" s="532"/>
      <c r="J107" s="532"/>
      <c r="K107" s="533"/>
      <c r="L107" s="534"/>
      <c r="M107" s="535"/>
      <c r="N107" s="932"/>
      <c r="O107" s="932"/>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0"/>
      <c r="Q108" s="453"/>
    </row>
    <row r="109" spans="1:17" ht="15" thickTop="1">
      <c r="A109" s="548"/>
      <c r="B109" s="487" t="s">
        <v>1740</v>
      </c>
      <c r="C109" s="3453" t="s">
        <v>3475</v>
      </c>
      <c r="D109" s="503"/>
      <c r="E109" s="503"/>
      <c r="F109" s="532"/>
      <c r="G109" s="532"/>
      <c r="H109" s="532"/>
      <c r="I109" s="532"/>
      <c r="J109" s="532"/>
      <c r="K109" s="533"/>
      <c r="L109" s="534"/>
      <c r="M109" s="535"/>
      <c r="N109" s="932"/>
      <c r="O109" s="932"/>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1"/>
      <c r="Q113" s="508"/>
    </row>
    <row r="114" spans="1:17" ht="15" thickTop="1">
      <c r="A114" s="548"/>
      <c r="B114" s="487" t="s">
        <v>1741</v>
      </c>
      <c r="C114" s="3453" t="s">
        <v>3476</v>
      </c>
      <c r="D114" s="503"/>
      <c r="E114" s="532"/>
      <c r="F114" s="532"/>
      <c r="G114" s="532"/>
      <c r="H114" s="532"/>
      <c r="I114" s="532"/>
      <c r="J114" s="532"/>
      <c r="K114" s="533"/>
      <c r="L114" s="534"/>
      <c r="M114" s="535"/>
      <c r="N114" s="932"/>
      <c r="O114" s="932"/>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0"/>
      <c r="Q115" s="453"/>
    </row>
    <row r="116" spans="1:17" ht="15" thickTop="1">
      <c r="A116" s="548"/>
      <c r="B116" s="487" t="s">
        <v>1742</v>
      </c>
      <c r="C116" s="3453" t="s">
        <v>3477</v>
      </c>
      <c r="D116" s="503"/>
      <c r="E116" s="503"/>
      <c r="F116" s="503"/>
      <c r="G116" s="503"/>
      <c r="H116" s="532"/>
      <c r="I116" s="532"/>
      <c r="J116" s="532"/>
      <c r="K116" s="533"/>
      <c r="L116" s="534"/>
      <c r="M116" s="535"/>
      <c r="N116" s="932"/>
      <c r="O116" s="932"/>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0"/>
      <c r="Q117" s="453"/>
    </row>
    <row r="118" spans="1:17" ht="15" thickTop="1">
      <c r="A118" s="548"/>
      <c r="B118" s="487" t="s">
        <v>1743</v>
      </c>
      <c r="C118" s="3454" t="s">
        <v>3478</v>
      </c>
      <c r="D118" s="532"/>
      <c r="E118" s="532"/>
      <c r="F118" s="532"/>
      <c r="G118" s="532"/>
      <c r="H118" s="532"/>
      <c r="I118" s="532"/>
      <c r="J118" s="532"/>
      <c r="K118" s="533"/>
      <c r="L118" s="534"/>
      <c r="M118" s="535"/>
      <c r="N118" s="932"/>
      <c r="O118" s="932"/>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0"/>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1"/>
      <c r="Q120" s="508"/>
    </row>
    <row r="121" spans="1:17" s="422" customFormat="1" ht="15.75" thickBot="1">
      <c r="A121" s="502"/>
      <c r="B121" s="484"/>
      <c r="C121" s="509"/>
      <c r="D121" s="485"/>
      <c r="E121" s="485"/>
      <c r="F121" s="485"/>
      <c r="G121" s="485"/>
      <c r="H121" s="485"/>
      <c r="I121" s="485"/>
      <c r="J121" s="485"/>
      <c r="K121" s="485"/>
      <c r="L121" s="485"/>
      <c r="M121" s="485"/>
      <c r="N121" s="934"/>
      <c r="O121" s="934"/>
      <c r="P121" s="1921"/>
      <c r="Q121" s="508"/>
    </row>
    <row r="122" spans="1:17" ht="15" thickTop="1">
      <c r="A122" s="548"/>
      <c r="B122" s="487" t="s">
        <v>1744</v>
      </c>
      <c r="C122" s="3453" t="s">
        <v>3475</v>
      </c>
      <c r="D122" s="503"/>
      <c r="E122" s="503"/>
      <c r="F122" s="532"/>
      <c r="G122" s="532"/>
      <c r="H122" s="532"/>
      <c r="I122" s="532"/>
      <c r="J122" s="532"/>
      <c r="K122" s="533"/>
      <c r="L122" s="534"/>
      <c r="M122" s="535"/>
      <c r="N122" s="932"/>
      <c r="O122" s="932"/>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0"/>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1"/>
      <c r="Q126" s="508"/>
    </row>
    <row r="127" spans="1:17" s="422" customFormat="1" ht="15.75" thickBot="1">
      <c r="A127" s="502"/>
      <c r="B127" s="492"/>
      <c r="C127" s="509"/>
      <c r="D127" s="485"/>
      <c r="E127" s="485"/>
      <c r="F127" s="485"/>
      <c r="G127" s="509"/>
      <c r="H127" s="511"/>
      <c r="I127" s="511"/>
      <c r="J127" s="511"/>
      <c r="K127" s="511"/>
      <c r="L127" s="511"/>
      <c r="M127" s="512"/>
      <c r="N127" s="934"/>
      <c r="O127" s="934"/>
      <c r="P127" s="1921"/>
      <c r="Q127" s="508"/>
    </row>
    <row r="128" spans="1:17" ht="15" thickTop="1">
      <c r="A128" s="548"/>
      <c r="B128" s="487">
        <f>B45</f>
        <v>111</v>
      </c>
      <c r="C128" s="503"/>
      <c r="D128" s="503"/>
      <c r="E128" s="503"/>
      <c r="F128" s="503"/>
      <c r="G128" s="532"/>
      <c r="H128" s="532"/>
      <c r="I128" s="532"/>
      <c r="J128" s="532"/>
      <c r="K128" s="533"/>
      <c r="L128" s="534"/>
      <c r="M128" s="535"/>
      <c r="N128" s="932"/>
      <c r="O128" s="932"/>
      <c r="P128" s="1920"/>
      <c r="Q128" s="453"/>
    </row>
    <row r="129" spans="1:17" ht="15.75" thickBot="1">
      <c r="A129" s="483"/>
      <c r="B129" s="492"/>
      <c r="C129" s="509"/>
      <c r="D129" s="509"/>
      <c r="E129" s="509"/>
      <c r="F129" s="509"/>
      <c r="G129" s="485"/>
      <c r="H129" s="485"/>
      <c r="I129" s="485"/>
      <c r="J129" s="485"/>
      <c r="K129" s="485"/>
      <c r="L129" s="485"/>
      <c r="M129" s="486"/>
      <c r="N129" s="933"/>
      <c r="O129" s="933"/>
      <c r="P129" s="1920"/>
      <c r="Q129" s="453"/>
    </row>
    <row r="130" spans="1:17" ht="15" thickTop="1">
      <c r="A130" s="548"/>
      <c r="B130" s="495">
        <f>B46</f>
        <v>111</v>
      </c>
      <c r="C130" s="503"/>
      <c r="D130" s="503"/>
      <c r="E130" s="503"/>
      <c r="F130" s="503"/>
      <c r="G130" s="536"/>
      <c r="H130" s="536"/>
      <c r="I130" s="536"/>
      <c r="J130" s="536"/>
      <c r="K130" s="472"/>
      <c r="L130" s="473"/>
      <c r="M130" s="539"/>
      <c r="N130" s="932"/>
      <c r="O130" s="932"/>
      <c r="P130" s="1920"/>
      <c r="Q130" s="453"/>
    </row>
    <row r="131" spans="1:17" ht="15.75" thickBot="1">
      <c r="A131" s="1926"/>
      <c r="B131" s="518"/>
      <c r="C131" s="519"/>
      <c r="D131" s="519"/>
      <c r="E131" s="519"/>
      <c r="F131" s="519"/>
      <c r="G131" s="540"/>
      <c r="H131" s="540"/>
      <c r="I131" s="540"/>
      <c r="J131" s="540"/>
      <c r="K131" s="540"/>
      <c r="L131" s="540"/>
      <c r="M131" s="541"/>
      <c r="N131" s="933"/>
      <c r="O131" s="933"/>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6">
        <v>6</v>
      </c>
      <c r="C139" s="867">
        <v>96</v>
      </c>
      <c r="D139" s="1938" t="s">
        <v>1755</v>
      </c>
      <c r="E139" s="868">
        <v>100</v>
      </c>
      <c r="F139" s="869">
        <v>102.5</v>
      </c>
      <c r="G139" s="1938" t="s">
        <v>1755</v>
      </c>
      <c r="H139" s="870">
        <v>105</v>
      </c>
      <c r="I139" s="1939" t="s">
        <v>1756</v>
      </c>
      <c r="J139" s="867">
        <v>20</v>
      </c>
      <c r="K139" s="871">
        <f>C145/(J139-2)</f>
        <v>4.0555555555555553E-3</v>
      </c>
    </row>
    <row r="140" spans="1:17" ht="15">
      <c r="B140" s="872">
        <v>5</v>
      </c>
      <c r="C140" s="873">
        <v>100</v>
      </c>
      <c r="D140" s="873"/>
      <c r="E140" s="874"/>
      <c r="F140" s="875">
        <v>102</v>
      </c>
      <c r="G140" s="873"/>
      <c r="H140" s="876"/>
      <c r="I140" s="1940" t="s">
        <v>1757</v>
      </c>
      <c r="J140" s="271">
        <f>ROUNDUP((J139-1)/2,0)</f>
        <v>10</v>
      </c>
      <c r="K140" s="877">
        <v>100</v>
      </c>
    </row>
    <row r="141" spans="1:17" ht="15">
      <c r="B141" s="872">
        <v>4</v>
      </c>
      <c r="C141" s="873">
        <v>102</v>
      </c>
      <c r="D141" s="873"/>
      <c r="E141" s="874"/>
      <c r="F141" s="875">
        <v>101.5</v>
      </c>
      <c r="G141" s="873"/>
      <c r="H141" s="876"/>
      <c r="I141" s="1940" t="s">
        <v>1758</v>
      </c>
      <c r="J141" s="271">
        <v>1</v>
      </c>
      <c r="K141" s="878">
        <f>ROUND(100+(J141-J140)*K139*100,1)</f>
        <v>96.4</v>
      </c>
    </row>
    <row r="142" spans="1:17" ht="15">
      <c r="B142" s="872">
        <v>3</v>
      </c>
      <c r="C142" s="873">
        <v>103</v>
      </c>
      <c r="D142" s="873"/>
      <c r="E142" s="874"/>
      <c r="F142" s="875">
        <v>101</v>
      </c>
      <c r="G142" s="873"/>
      <c r="H142" s="876"/>
      <c r="I142" s="1940" t="s">
        <v>1759</v>
      </c>
      <c r="J142" s="271">
        <f>J139</f>
        <v>20</v>
      </c>
      <c r="K142" s="879">
        <v>95</v>
      </c>
    </row>
    <row r="143" spans="1:17" ht="15">
      <c r="B143" s="872">
        <v>2</v>
      </c>
      <c r="C143" s="873">
        <v>100</v>
      </c>
      <c r="D143" s="873"/>
      <c r="E143" s="874"/>
      <c r="F143" s="875">
        <v>100.5</v>
      </c>
      <c r="G143" s="873"/>
      <c r="H143" s="876"/>
      <c r="I143" s="1940" t="s">
        <v>1760</v>
      </c>
      <c r="J143" s="873">
        <v>15</v>
      </c>
      <c r="K143" s="878">
        <f>ROUND(100+(J143-J140)*K139*100,1)</f>
        <v>102</v>
      </c>
    </row>
    <row r="144" spans="1:17" ht="15">
      <c r="B144" s="872">
        <v>1</v>
      </c>
      <c r="C144" s="873">
        <v>98</v>
      </c>
      <c r="D144" s="1941" t="s">
        <v>1761</v>
      </c>
      <c r="E144" s="874">
        <v>102</v>
      </c>
      <c r="F144" s="880">
        <v>100</v>
      </c>
      <c r="G144" s="1941" t="s">
        <v>1761</v>
      </c>
      <c r="H144" s="876">
        <v>105</v>
      </c>
      <c r="I144" s="1940" t="s">
        <v>1760</v>
      </c>
      <c r="J144" s="873">
        <v>18</v>
      </c>
      <c r="K144" s="878">
        <f>ROUND(100+(J144-J140)*K139*100,1)</f>
        <v>103.2</v>
      </c>
    </row>
    <row r="145" spans="2:11" ht="15.75" thickBot="1">
      <c r="B145" s="1942" t="s">
        <v>1762</v>
      </c>
      <c r="C145" s="881">
        <f>ROUND(MAX(C139:C144)/MIN(C139:C144)-1,3)</f>
        <v>7.2999999999999995E-2</v>
      </c>
      <c r="D145" s="882"/>
      <c r="E145" s="882"/>
      <c r="F145" s="1943" t="s">
        <v>1763</v>
      </c>
      <c r="G145" s="1944"/>
      <c r="H145" s="1945"/>
      <c r="I145" s="1946" t="s">
        <v>1760</v>
      </c>
      <c r="J145" s="883">
        <v>8</v>
      </c>
      <c r="K145" s="884">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2"/>
      <c r="M2" s="2733"/>
      <c r="N2" s="2733"/>
      <c r="O2" s="2733"/>
      <c r="P2" s="1950"/>
      <c r="Q2" s="911"/>
      <c r="R2" s="911"/>
      <c r="S2" s="911"/>
      <c r="T2" s="911"/>
      <c r="U2" s="911"/>
      <c r="V2" s="911"/>
      <c r="W2" s="911"/>
      <c r="X2" s="911"/>
      <c r="Y2" s="911"/>
      <c r="Z2" s="911"/>
      <c r="AA2" s="911"/>
      <c r="AB2" s="911"/>
      <c r="AC2" s="1951"/>
    </row>
    <row r="3" spans="1:29" s="352" customFormat="1" ht="28.5" customHeight="1" thickBot="1">
      <c r="A3" s="203" t="s">
        <v>1464</v>
      </c>
      <c r="B3" s="558">
        <f>IF(C2="——",C49,ROUND(B2*10000/D3,0))</f>
        <v>0</v>
      </c>
      <c r="C3" s="354" t="s">
        <v>1768</v>
      </c>
      <c r="D3" s="353">
        <f>IF(D1="",'数据-汇总表'!E3,SUMIF('数据-汇总表'!$C19:$C33,D1,'数据-汇总表'!$E19:$E33))</f>
        <v>3643.6099999999992</v>
      </c>
      <c r="E3" s="1952"/>
      <c r="F3" s="908"/>
      <c r="G3" s="907"/>
      <c r="H3" s="907"/>
      <c r="I3" s="907"/>
      <c r="J3" s="907"/>
      <c r="K3" s="909"/>
      <c r="L3" s="2732"/>
      <c r="M3" s="2733"/>
      <c r="N3" s="2733"/>
      <c r="O3" s="2733"/>
      <c r="P3" s="1950"/>
      <c r="Q3" s="911"/>
      <c r="R3" s="911"/>
      <c r="S3" s="911"/>
      <c r="T3" s="911"/>
      <c r="U3" s="911"/>
      <c r="V3" s="911"/>
      <c r="W3" s="911"/>
      <c r="X3" s="911"/>
      <c r="Y3" s="911"/>
      <c r="Z3" s="911"/>
      <c r="AA3" s="911"/>
      <c r="AB3" s="911"/>
      <c r="AC3" s="1952"/>
    </row>
    <row r="4" spans="1:29" ht="15">
      <c r="A4" s="355" t="s">
        <v>1769</v>
      </c>
      <c r="B4" s="356"/>
      <c r="C4" s="3710" t="s">
        <v>1770</v>
      </c>
      <c r="D4" s="3722"/>
      <c r="E4" s="3723" t="s">
        <v>1771</v>
      </c>
      <c r="F4" s="3724"/>
      <c r="G4" s="3710" t="s">
        <v>1772</v>
      </c>
      <c r="H4" s="3722"/>
      <c r="I4" s="3710" t="s">
        <v>1773</v>
      </c>
      <c r="J4" s="3722"/>
      <c r="K4" s="559" t="s">
        <v>1774</v>
      </c>
      <c r="L4" s="2713"/>
      <c r="M4" s="2714"/>
      <c r="N4" s="2714"/>
      <c r="O4" s="2714"/>
      <c r="P4" s="3725" t="s">
        <v>1775</v>
      </c>
      <c r="Q4" s="3726"/>
      <c r="R4" s="3731" t="s">
        <v>1771</v>
      </c>
      <c r="S4" s="3732"/>
      <c r="T4" s="3731" t="s">
        <v>1772</v>
      </c>
      <c r="U4" s="3732"/>
      <c r="V4" s="3718" t="s">
        <v>1773</v>
      </c>
      <c r="W4" s="3718"/>
      <c r="X4" s="1353"/>
      <c r="Y4" s="3731" t="s">
        <v>1775</v>
      </c>
      <c r="Z4" s="3732"/>
      <c r="AA4" s="3719" t="s">
        <v>1771</v>
      </c>
      <c r="AB4" s="3718" t="s">
        <v>1772</v>
      </c>
      <c r="AC4" s="3719" t="s">
        <v>1773</v>
      </c>
    </row>
    <row r="5" spans="1:29" ht="15">
      <c r="A5" s="358"/>
      <c r="B5" s="359"/>
      <c r="C5" s="3739" t="s">
        <v>1673</v>
      </c>
      <c r="D5" s="3740"/>
      <c r="E5" s="3746" t="s">
        <v>1674</v>
      </c>
      <c r="F5" s="3747"/>
      <c r="G5" s="3739" t="s">
        <v>1675</v>
      </c>
      <c r="H5" s="3740"/>
      <c r="I5" s="3739" t="s">
        <v>1676</v>
      </c>
      <c r="J5" s="3740"/>
      <c r="K5" s="559"/>
      <c r="L5" s="2713"/>
      <c r="M5" s="2714"/>
      <c r="N5" s="2714"/>
      <c r="O5" s="2714"/>
      <c r="P5" s="3727"/>
      <c r="Q5" s="3728"/>
      <c r="R5" s="3733"/>
      <c r="S5" s="3734"/>
      <c r="T5" s="3733"/>
      <c r="U5" s="3734"/>
      <c r="V5" s="3718"/>
      <c r="W5" s="3718"/>
      <c r="X5" s="1353"/>
      <c r="Y5" s="3733"/>
      <c r="Z5" s="3734"/>
      <c r="AA5" s="3720"/>
      <c r="AB5" s="3718"/>
      <c r="AC5" s="3720"/>
    </row>
    <row r="6" spans="1:29" ht="15.75" thickBot="1">
      <c r="A6" s="360"/>
      <c r="B6" s="361"/>
      <c r="C6" s="3737" t="s">
        <v>1677</v>
      </c>
      <c r="D6" s="3738"/>
      <c r="E6" s="3744" t="s">
        <v>1677</v>
      </c>
      <c r="F6" s="3745"/>
      <c r="G6" s="3737" t="s">
        <v>1677</v>
      </c>
      <c r="H6" s="3738"/>
      <c r="I6" s="3737" t="s">
        <v>1677</v>
      </c>
      <c r="J6" s="3738"/>
      <c r="K6" s="559" t="s">
        <v>1678</v>
      </c>
      <c r="L6" s="2713"/>
      <c r="M6" s="2714"/>
      <c r="N6" s="2714"/>
      <c r="O6" s="2714"/>
      <c r="P6" s="3729"/>
      <c r="Q6" s="3730"/>
      <c r="R6" s="3733"/>
      <c r="S6" s="3734"/>
      <c r="T6" s="3735"/>
      <c r="U6" s="3736"/>
      <c r="V6" s="3718"/>
      <c r="W6" s="3718"/>
      <c r="X6" s="1353"/>
      <c r="Y6" s="3735"/>
      <c r="Z6" s="3736"/>
      <c r="AA6" s="3721"/>
      <c r="AB6" s="3718"/>
      <c r="AC6" s="3721"/>
    </row>
    <row r="7" spans="1:29" s="108" customFormat="1" ht="15.75" thickBot="1">
      <c r="A7" s="362" t="s">
        <v>1679</v>
      </c>
      <c r="B7" s="363"/>
      <c r="C7" s="364">
        <f>'数据-取费表'!B2</f>
        <v>45581</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41" t="s">
        <v>1680</v>
      </c>
      <c r="Q7" s="3743"/>
      <c r="R7" s="700" t="s">
        <v>14</v>
      </c>
      <c r="S7" s="701">
        <f t="shared" ref="S7:S15" si="0">F7</f>
        <v>0</v>
      </c>
      <c r="T7" s="700" t="s">
        <v>14</v>
      </c>
      <c r="U7" s="701">
        <f t="shared" ref="U7:U15" si="1">H7</f>
        <v>0</v>
      </c>
      <c r="V7" s="700" t="s">
        <v>14</v>
      </c>
      <c r="W7" s="701">
        <f t="shared" ref="W7:W15" si="2">J7</f>
        <v>0</v>
      </c>
      <c r="X7" s="702"/>
      <c r="Y7" s="3741" t="s">
        <v>1680</v>
      </c>
      <c r="Z7" s="3742"/>
      <c r="AA7" s="703" t="e">
        <f>D7/F7</f>
        <v>#DIV/0!</v>
      </c>
      <c r="AB7" s="703" t="e">
        <f>D7/H7</f>
        <v>#DIV/0!</v>
      </c>
      <c r="AC7" s="703"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41" t="s">
        <v>1683</v>
      </c>
      <c r="Q8" s="3742"/>
      <c r="R8" s="700" t="s">
        <v>14</v>
      </c>
      <c r="S8" s="701">
        <f t="shared" si="0"/>
        <v>100</v>
      </c>
      <c r="T8" s="700" t="s">
        <v>14</v>
      </c>
      <c r="U8" s="701">
        <f t="shared" si="1"/>
        <v>100</v>
      </c>
      <c r="V8" s="700" t="s">
        <v>14</v>
      </c>
      <c r="W8" s="701">
        <f t="shared" si="2"/>
        <v>100</v>
      </c>
      <c r="X8" s="702"/>
      <c r="Y8" s="3741" t="s">
        <v>1683</v>
      </c>
      <c r="Z8" s="3742"/>
      <c r="AA8" s="703">
        <f t="shared" ref="AA8:AA46" si="3">D8/F8</f>
        <v>1</v>
      </c>
      <c r="AB8" s="703">
        <f t="shared" ref="AB8:AB46" si="4">D8/H8</f>
        <v>1</v>
      </c>
      <c r="AC8" s="703">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12"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12"/>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12"/>
      <c r="Q11" s="1341" t="str">
        <f t="shared" si="6"/>
        <v>容积率</v>
      </c>
      <c r="R11" s="700" t="s">
        <v>14</v>
      </c>
      <c r="S11" s="701" t="e">
        <f t="shared" si="0"/>
        <v>#N/A</v>
      </c>
      <c r="T11" s="700" t="s">
        <v>14</v>
      </c>
      <c r="U11" s="701" t="e">
        <f t="shared" si="1"/>
        <v>#N/A</v>
      </c>
      <c r="V11" s="700" t="s">
        <v>14</v>
      </c>
      <c r="W11" s="701" t="e">
        <f t="shared" si="2"/>
        <v>#N/A</v>
      </c>
      <c r="X11" s="702"/>
      <c r="Y11" s="3565"/>
      <c r="Z11" s="52" t="str">
        <f t="shared" si="7"/>
        <v>容积率</v>
      </c>
      <c r="AA11" s="703" t="e">
        <f t="shared" si="3"/>
        <v>#N/A</v>
      </c>
      <c r="AB11" s="703" t="e">
        <f t="shared" si="4"/>
        <v>#N/A</v>
      </c>
      <c r="AC11" s="703"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12"/>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703">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12"/>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703">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12"/>
      <c r="Q14" s="1341">
        <f t="shared" si="6"/>
        <v>111</v>
      </c>
      <c r="R14" s="700" t="s">
        <v>14</v>
      </c>
      <c r="S14" s="701">
        <f t="shared" si="0"/>
        <v>100</v>
      </c>
      <c r="T14" s="700" t="s">
        <v>14</v>
      </c>
      <c r="U14" s="701">
        <f t="shared" si="1"/>
        <v>100</v>
      </c>
      <c r="V14" s="700" t="s">
        <v>14</v>
      </c>
      <c r="W14" s="701">
        <f t="shared" si="2"/>
        <v>100</v>
      </c>
      <c r="X14" s="702"/>
      <c r="Y14" s="3565"/>
      <c r="Z14" s="52">
        <f t="shared" si="7"/>
        <v>111</v>
      </c>
      <c r="AA14" s="703">
        <f t="shared" si="3"/>
        <v>1</v>
      </c>
      <c r="AB14" s="703">
        <f t="shared" si="4"/>
        <v>1</v>
      </c>
      <c r="AC14" s="703">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54" t="s">
        <v>1691</v>
      </c>
      <c r="Q15" s="1350" t="str">
        <f t="shared" si="6"/>
        <v>商业繁华度</v>
      </c>
      <c r="R15" s="704" t="s">
        <v>14</v>
      </c>
      <c r="S15" s="705">
        <f t="shared" si="0"/>
        <v>100</v>
      </c>
      <c r="T15" s="704" t="s">
        <v>14</v>
      </c>
      <c r="U15" s="705">
        <f t="shared" si="1"/>
        <v>100</v>
      </c>
      <c r="V15" s="704" t="s">
        <v>14</v>
      </c>
      <c r="W15" s="705">
        <f t="shared" si="2"/>
        <v>100</v>
      </c>
      <c r="X15" s="1353"/>
      <c r="Y15" s="3714"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20"/>
      <c r="M16" s="2714"/>
      <c r="N16" s="2714"/>
      <c r="O16" s="2714"/>
      <c r="P16" s="3755"/>
      <c r="Q16" s="1350"/>
      <c r="R16" s="704"/>
      <c r="S16" s="705"/>
      <c r="T16" s="704"/>
      <c r="U16" s="705"/>
      <c r="V16" s="704"/>
      <c r="W16" s="705"/>
      <c r="X16" s="1353"/>
      <c r="Y16" s="3715"/>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55"/>
      <c r="Q17" s="1350" t="str">
        <f>B17</f>
        <v>交通便捷度</v>
      </c>
      <c r="R17" s="704" t="s">
        <v>14</v>
      </c>
      <c r="S17" s="705">
        <f>F17</f>
        <v>100</v>
      </c>
      <c r="T17" s="704" t="s">
        <v>14</v>
      </c>
      <c r="U17" s="705">
        <f>H17</f>
        <v>100</v>
      </c>
      <c r="V17" s="704" t="s">
        <v>14</v>
      </c>
      <c r="W17" s="705">
        <f>J17</f>
        <v>100</v>
      </c>
      <c r="X17" s="1353"/>
      <c r="Y17" s="371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20"/>
      <c r="M18" s="2714"/>
      <c r="N18" s="2714"/>
      <c r="O18" s="2714"/>
      <c r="P18" s="3755"/>
      <c r="Q18" s="1350"/>
      <c r="R18" s="704"/>
      <c r="S18" s="705"/>
      <c r="T18" s="704"/>
      <c r="U18" s="705"/>
      <c r="V18" s="704"/>
      <c r="W18" s="705"/>
      <c r="X18" s="1353"/>
      <c r="Y18" s="3715"/>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55"/>
      <c r="Q19" s="1350" t="str">
        <f>B19</f>
        <v>公共配套设施</v>
      </c>
      <c r="R19" s="704" t="s">
        <v>14</v>
      </c>
      <c r="S19" s="705">
        <f>F19</f>
        <v>100</v>
      </c>
      <c r="T19" s="704" t="s">
        <v>14</v>
      </c>
      <c r="U19" s="705">
        <f>H19</f>
        <v>100</v>
      </c>
      <c r="V19" s="704" t="s">
        <v>14</v>
      </c>
      <c r="W19" s="705">
        <f>J19</f>
        <v>100</v>
      </c>
      <c r="X19" s="1353"/>
      <c r="Y19" s="371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20"/>
      <c r="M20" s="2714"/>
      <c r="N20" s="2714"/>
      <c r="O20" s="2714"/>
      <c r="P20" s="3755"/>
      <c r="Q20" s="1350"/>
      <c r="R20" s="704"/>
      <c r="S20" s="705"/>
      <c r="T20" s="704"/>
      <c r="U20" s="705"/>
      <c r="V20" s="704"/>
      <c r="W20" s="705"/>
      <c r="X20" s="1353"/>
      <c r="Y20" s="3715"/>
      <c r="Z20" s="1354"/>
      <c r="AA20" s="1351">
        <v>1</v>
      </c>
      <c r="AB20" s="1351">
        <v>1</v>
      </c>
      <c r="AC20" s="1351">
        <v>1</v>
      </c>
    </row>
    <row r="21" spans="1:29" ht="28.5">
      <c r="A21" s="379"/>
      <c r="B21" s="1130"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55"/>
      <c r="Q21" s="1350" t="str">
        <f>B21</f>
        <v>基础设施水平</v>
      </c>
      <c r="R21" s="704" t="s">
        <v>14</v>
      </c>
      <c r="S21" s="705">
        <f>F21</f>
        <v>100</v>
      </c>
      <c r="T21" s="704" t="s">
        <v>14</v>
      </c>
      <c r="U21" s="705">
        <f>H21</f>
        <v>100</v>
      </c>
      <c r="V21" s="704" t="s">
        <v>14</v>
      </c>
      <c r="W21" s="705">
        <f>J21</f>
        <v>100</v>
      </c>
      <c r="X21" s="1353"/>
      <c r="Y21" s="3715"/>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400"/>
      <c r="G22" s="398"/>
      <c r="H22" s="399"/>
      <c r="I22" s="398"/>
      <c r="J22" s="399"/>
      <c r="K22" s="1129"/>
      <c r="L22" s="2720"/>
      <c r="M22" s="2714"/>
      <c r="N22" s="2714"/>
      <c r="O22" s="2714"/>
      <c r="P22" s="3755"/>
      <c r="Q22" s="1350"/>
      <c r="R22" s="704"/>
      <c r="S22" s="705"/>
      <c r="T22" s="704"/>
      <c r="U22" s="705"/>
      <c r="V22" s="704"/>
      <c r="W22" s="705"/>
      <c r="X22" s="1353"/>
      <c r="Y22" s="3715"/>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55"/>
      <c r="Q23" s="1350" t="str">
        <f>B23</f>
        <v>自然及人文环境</v>
      </c>
      <c r="R23" s="704" t="s">
        <v>14</v>
      </c>
      <c r="S23" s="705">
        <f>F23</f>
        <v>100</v>
      </c>
      <c r="T23" s="704" t="s">
        <v>14</v>
      </c>
      <c r="U23" s="705">
        <f>H23</f>
        <v>100</v>
      </c>
      <c r="V23" s="704" t="s">
        <v>14</v>
      </c>
      <c r="W23" s="705">
        <f>J23</f>
        <v>100</v>
      </c>
      <c r="X23" s="1353"/>
      <c r="Y23" s="3715"/>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20"/>
      <c r="M24" s="2714"/>
      <c r="N24" s="2714"/>
      <c r="O24" s="2714"/>
      <c r="P24" s="3755"/>
      <c r="Q24" s="1350"/>
      <c r="R24" s="704"/>
      <c r="S24" s="705"/>
      <c r="T24" s="704"/>
      <c r="U24" s="705"/>
      <c r="V24" s="704"/>
      <c r="W24" s="705"/>
      <c r="X24" s="1353"/>
      <c r="Y24" s="3715"/>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55"/>
      <c r="Q25" s="1350" t="str">
        <f t="shared" ref="Q25:Q46" si="11">B25</f>
        <v>临街状况</v>
      </c>
      <c r="R25" s="704" t="s">
        <v>14</v>
      </c>
      <c r="S25" s="705">
        <f>F25</f>
        <v>100</v>
      </c>
      <c r="T25" s="704" t="s">
        <v>14</v>
      </c>
      <c r="U25" s="705">
        <f>H25</f>
        <v>100</v>
      </c>
      <c r="V25" s="704" t="s">
        <v>14</v>
      </c>
      <c r="W25" s="705">
        <f>J25</f>
        <v>100</v>
      </c>
      <c r="X25" s="1353"/>
      <c r="Y25" s="3715"/>
      <c r="Z25" s="1354" t="str">
        <f>Q25</f>
        <v>临街状况</v>
      </c>
      <c r="AA25" s="1351">
        <f t="shared" si="3"/>
        <v>1</v>
      </c>
      <c r="AB25" s="1351">
        <f t="shared" si="4"/>
        <v>1</v>
      </c>
      <c r="AC25" s="1351">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55"/>
      <c r="Q26" s="1350" t="str">
        <f t="shared" si="11"/>
        <v>平面位置/可视性</v>
      </c>
      <c r="R26" s="704" t="s">
        <v>14</v>
      </c>
      <c r="S26" s="705">
        <f>F26</f>
        <v>100</v>
      </c>
      <c r="T26" s="704" t="s">
        <v>14</v>
      </c>
      <c r="U26" s="705">
        <f>H26</f>
        <v>100</v>
      </c>
      <c r="V26" s="704" t="s">
        <v>14</v>
      </c>
      <c r="W26" s="705">
        <f>J26</f>
        <v>100</v>
      </c>
      <c r="X26" s="1353"/>
      <c r="Y26" s="3715"/>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55"/>
      <c r="Q27" s="1341" t="str">
        <f t="shared" si="11"/>
        <v>人流量</v>
      </c>
      <c r="R27" s="700" t="s">
        <v>14</v>
      </c>
      <c r="S27" s="701">
        <f>F27</f>
        <v>100</v>
      </c>
      <c r="T27" s="700" t="s">
        <v>14</v>
      </c>
      <c r="U27" s="701">
        <f>H27</f>
        <v>100</v>
      </c>
      <c r="V27" s="700" t="s">
        <v>14</v>
      </c>
      <c r="W27" s="701">
        <f>J27</f>
        <v>100</v>
      </c>
      <c r="X27" s="702"/>
      <c r="Y27" s="3715"/>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55"/>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715"/>
      <c r="Z28" s="1354" t="str">
        <f t="shared" ref="Z28:Z46" si="15">Q28</f>
        <v>楼层</v>
      </c>
      <c r="AA28" s="1351">
        <f t="shared" si="3"/>
        <v>1</v>
      </c>
      <c r="AB28" s="1351">
        <f t="shared" si="4"/>
        <v>1</v>
      </c>
      <c r="AC28" s="1351">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55"/>
      <c r="Q29" s="1350">
        <f t="shared" si="11"/>
        <v>111</v>
      </c>
      <c r="R29" s="704" t="s">
        <v>14</v>
      </c>
      <c r="S29" s="705">
        <f t="shared" si="12"/>
        <v>100</v>
      </c>
      <c r="T29" s="704" t="s">
        <v>14</v>
      </c>
      <c r="U29" s="705">
        <f t="shared" si="13"/>
        <v>100</v>
      </c>
      <c r="V29" s="704" t="s">
        <v>14</v>
      </c>
      <c r="W29" s="705">
        <f t="shared" si="14"/>
        <v>100</v>
      </c>
      <c r="X29" s="1353"/>
      <c r="Y29" s="3715"/>
      <c r="Z29" s="1354">
        <f t="shared" si="15"/>
        <v>111</v>
      </c>
      <c r="AA29" s="1351">
        <f t="shared" si="3"/>
        <v>1</v>
      </c>
      <c r="AB29" s="1351">
        <f t="shared" si="4"/>
        <v>1</v>
      </c>
      <c r="AC29" s="1351">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55"/>
      <c r="Q30" s="1350">
        <f t="shared" si="11"/>
        <v>111</v>
      </c>
      <c r="R30" s="704" t="s">
        <v>14</v>
      </c>
      <c r="S30" s="705">
        <f t="shared" si="12"/>
        <v>100</v>
      </c>
      <c r="T30" s="704" t="s">
        <v>14</v>
      </c>
      <c r="U30" s="705">
        <f t="shared" si="13"/>
        <v>100</v>
      </c>
      <c r="V30" s="704" t="s">
        <v>14</v>
      </c>
      <c r="W30" s="705">
        <f t="shared" si="14"/>
        <v>100</v>
      </c>
      <c r="X30" s="1353"/>
      <c r="Y30" s="3715"/>
      <c r="Z30" s="1354">
        <f t="shared" si="15"/>
        <v>111</v>
      </c>
      <c r="AA30" s="1351">
        <f t="shared" si="3"/>
        <v>1</v>
      </c>
      <c r="AB30" s="1351">
        <f t="shared" si="4"/>
        <v>1</v>
      </c>
      <c r="AC30" s="1351">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55"/>
      <c r="Q31" s="1350">
        <f t="shared" si="11"/>
        <v>111</v>
      </c>
      <c r="R31" s="704" t="s">
        <v>14</v>
      </c>
      <c r="S31" s="705">
        <f t="shared" si="12"/>
        <v>100</v>
      </c>
      <c r="T31" s="704" t="s">
        <v>14</v>
      </c>
      <c r="U31" s="705">
        <f t="shared" si="13"/>
        <v>100</v>
      </c>
      <c r="V31" s="704" t="s">
        <v>14</v>
      </c>
      <c r="W31" s="705">
        <f t="shared" si="14"/>
        <v>100</v>
      </c>
      <c r="X31" s="1353"/>
      <c r="Y31" s="3715"/>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750" t="s">
        <v>1696</v>
      </c>
      <c r="Q32" s="1350" t="str">
        <f t="shared" si="11"/>
        <v>商业类型</v>
      </c>
      <c r="R32" s="704" t="s">
        <v>14</v>
      </c>
      <c r="S32" s="705">
        <f t="shared" si="12"/>
        <v>100</v>
      </c>
      <c r="T32" s="704" t="s">
        <v>14</v>
      </c>
      <c r="U32" s="705">
        <f t="shared" si="13"/>
        <v>100</v>
      </c>
      <c r="V32" s="704" t="s">
        <v>14</v>
      </c>
      <c r="W32" s="705">
        <f t="shared" si="14"/>
        <v>100</v>
      </c>
      <c r="X32" s="1353"/>
      <c r="Y32" s="3717"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51"/>
      <c r="Q33" s="706" t="str">
        <f t="shared" si="11"/>
        <v>项目建筑规模</v>
      </c>
      <c r="R33" s="707" t="s">
        <v>14</v>
      </c>
      <c r="S33" s="708" t="e">
        <f t="shared" si="12"/>
        <v>#N/A</v>
      </c>
      <c r="T33" s="707" t="s">
        <v>14</v>
      </c>
      <c r="U33" s="708" t="e">
        <f t="shared" si="13"/>
        <v>#N/A</v>
      </c>
      <c r="V33" s="707" t="s">
        <v>14</v>
      </c>
      <c r="W33" s="708" t="e">
        <f t="shared" si="14"/>
        <v>#N/A</v>
      </c>
      <c r="X33" s="709"/>
      <c r="Y33" s="3717"/>
      <c r="Z33" s="710"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51"/>
      <c r="Q34" s="1350" t="str">
        <f t="shared" si="11"/>
        <v>建筑结构</v>
      </c>
      <c r="R34" s="704" t="s">
        <v>14</v>
      </c>
      <c r="S34" s="705">
        <f t="shared" si="12"/>
        <v>100</v>
      </c>
      <c r="T34" s="704" t="s">
        <v>14</v>
      </c>
      <c r="U34" s="705">
        <f t="shared" si="13"/>
        <v>100</v>
      </c>
      <c r="V34" s="704" t="s">
        <v>14</v>
      </c>
      <c r="W34" s="705">
        <f t="shared" si="14"/>
        <v>100</v>
      </c>
      <c r="X34" s="1353"/>
      <c r="Y34" s="3717"/>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51"/>
      <c r="Q35" s="1350" t="str">
        <f t="shared" si="11"/>
        <v>公共部分装修</v>
      </c>
      <c r="R35" s="704" t="s">
        <v>14</v>
      </c>
      <c r="S35" s="705">
        <f t="shared" si="12"/>
        <v>100</v>
      </c>
      <c r="T35" s="704" t="s">
        <v>14</v>
      </c>
      <c r="U35" s="705">
        <f t="shared" si="13"/>
        <v>100</v>
      </c>
      <c r="V35" s="704" t="s">
        <v>14</v>
      </c>
      <c r="W35" s="705">
        <f t="shared" si="14"/>
        <v>100</v>
      </c>
      <c r="X35" s="1353"/>
      <c r="Y35" s="3717"/>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51"/>
      <c r="Q36" s="1350" t="str">
        <f t="shared" si="11"/>
        <v>成新度</v>
      </c>
      <c r="R36" s="704" t="s">
        <v>14</v>
      </c>
      <c r="S36" s="705" t="e">
        <f t="shared" si="12"/>
        <v>#N/A</v>
      </c>
      <c r="T36" s="704" t="s">
        <v>14</v>
      </c>
      <c r="U36" s="705" t="e">
        <f t="shared" si="13"/>
        <v>#N/A</v>
      </c>
      <c r="V36" s="704" t="s">
        <v>14</v>
      </c>
      <c r="W36" s="705" t="e">
        <f t="shared" si="14"/>
        <v>#N/A</v>
      </c>
      <c r="X36" s="1353"/>
      <c r="Y36" s="3717"/>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51"/>
      <c r="Q37" s="1341" t="str">
        <f t="shared" si="11"/>
        <v>市政基础设施</v>
      </c>
      <c r="R37" s="700" t="s">
        <v>14</v>
      </c>
      <c r="S37" s="701">
        <f t="shared" si="12"/>
        <v>100</v>
      </c>
      <c r="T37" s="700" t="s">
        <v>14</v>
      </c>
      <c r="U37" s="701">
        <f t="shared" si="13"/>
        <v>100</v>
      </c>
      <c r="V37" s="700" t="s">
        <v>14</v>
      </c>
      <c r="W37" s="701">
        <f t="shared" si="14"/>
        <v>100</v>
      </c>
      <c r="X37" s="702"/>
      <c r="Y37" s="3717"/>
      <c r="Z37" s="52" t="str">
        <f t="shared" si="15"/>
        <v>市政基础设施</v>
      </c>
      <c r="AA37" s="703">
        <f t="shared" si="3"/>
        <v>1</v>
      </c>
      <c r="AB37" s="703">
        <f t="shared" si="4"/>
        <v>1</v>
      </c>
      <c r="AC37" s="703">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51" t="s">
        <v>1696</v>
      </c>
      <c r="Q38" s="1350" t="str">
        <f t="shared" si="11"/>
        <v>业态</v>
      </c>
      <c r="R38" s="704" t="s">
        <v>14</v>
      </c>
      <c r="S38" s="705">
        <f t="shared" si="12"/>
        <v>100</v>
      </c>
      <c r="T38" s="704" t="s">
        <v>14</v>
      </c>
      <c r="U38" s="705">
        <f t="shared" si="13"/>
        <v>100</v>
      </c>
      <c r="V38" s="704" t="s">
        <v>14</v>
      </c>
      <c r="W38" s="705">
        <f t="shared" si="14"/>
        <v>100</v>
      </c>
      <c r="X38" s="1353"/>
      <c r="Y38" s="3717"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51"/>
      <c r="Q39" s="1350" t="str">
        <f t="shared" si="11"/>
        <v>层高</v>
      </c>
      <c r="R39" s="704" t="s">
        <v>14</v>
      </c>
      <c r="S39" s="705">
        <f t="shared" si="12"/>
        <v>100</v>
      </c>
      <c r="T39" s="704" t="s">
        <v>14</v>
      </c>
      <c r="U39" s="705">
        <f t="shared" si="13"/>
        <v>100</v>
      </c>
      <c r="V39" s="704" t="s">
        <v>14</v>
      </c>
      <c r="W39" s="705">
        <f t="shared" si="14"/>
        <v>100</v>
      </c>
      <c r="X39" s="1353"/>
      <c r="Y39" s="3717"/>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51"/>
      <c r="Q40" s="1350" t="str">
        <f t="shared" si="11"/>
        <v>单套建筑面积</v>
      </c>
      <c r="R40" s="704" t="s">
        <v>14</v>
      </c>
      <c r="S40" s="705">
        <f t="shared" si="12"/>
        <v>100</v>
      </c>
      <c r="T40" s="704" t="s">
        <v>14</v>
      </c>
      <c r="U40" s="705">
        <f t="shared" si="13"/>
        <v>100</v>
      </c>
      <c r="V40" s="704" t="s">
        <v>14</v>
      </c>
      <c r="W40" s="705">
        <f t="shared" si="14"/>
        <v>100</v>
      </c>
      <c r="X40" s="1353"/>
      <c r="Y40" s="3717"/>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51"/>
      <c r="Q41" s="706" t="str">
        <f t="shared" si="11"/>
        <v>进深比</v>
      </c>
      <c r="R41" s="707" t="s">
        <v>14</v>
      </c>
      <c r="S41" s="708">
        <f t="shared" si="12"/>
        <v>100</v>
      </c>
      <c r="T41" s="707" t="s">
        <v>14</v>
      </c>
      <c r="U41" s="708">
        <f t="shared" si="13"/>
        <v>100</v>
      </c>
      <c r="V41" s="707" t="s">
        <v>14</v>
      </c>
      <c r="W41" s="708">
        <f t="shared" si="14"/>
        <v>100</v>
      </c>
      <c r="X41" s="709"/>
      <c r="Y41" s="3717"/>
      <c r="Z41" s="710"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51"/>
      <c r="Q42" s="1350" t="str">
        <f t="shared" si="11"/>
        <v>内部装修</v>
      </c>
      <c r="R42" s="704" t="s">
        <v>14</v>
      </c>
      <c r="S42" s="705">
        <f t="shared" si="12"/>
        <v>100</v>
      </c>
      <c r="T42" s="704" t="s">
        <v>14</v>
      </c>
      <c r="U42" s="705">
        <f t="shared" si="13"/>
        <v>100</v>
      </c>
      <c r="V42" s="704" t="s">
        <v>14</v>
      </c>
      <c r="W42" s="705">
        <f t="shared" si="14"/>
        <v>100</v>
      </c>
      <c r="X42" s="1353"/>
      <c r="Y42" s="3717"/>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51"/>
      <c r="Q43" s="1350" t="str">
        <f t="shared" si="11"/>
        <v>内部装修维护情况</v>
      </c>
      <c r="R43" s="704" t="s">
        <v>14</v>
      </c>
      <c r="S43" s="705">
        <f t="shared" si="12"/>
        <v>100</v>
      </c>
      <c r="T43" s="704" t="s">
        <v>14</v>
      </c>
      <c r="U43" s="705">
        <f t="shared" si="13"/>
        <v>100</v>
      </c>
      <c r="V43" s="704" t="s">
        <v>14</v>
      </c>
      <c r="W43" s="705">
        <f t="shared" si="14"/>
        <v>100</v>
      </c>
      <c r="X43" s="1353"/>
      <c r="Y43" s="3717"/>
      <c r="Z43" s="1354" t="str">
        <f t="shared" si="15"/>
        <v>内部装修维护情况</v>
      </c>
      <c r="AA43" s="1351">
        <f t="shared" si="3"/>
        <v>1</v>
      </c>
      <c r="AB43" s="1351">
        <f t="shared" si="4"/>
        <v>1</v>
      </c>
      <c r="AC43" s="1351">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51"/>
      <c r="Q44" s="1341">
        <f t="shared" si="11"/>
        <v>111</v>
      </c>
      <c r="R44" s="700" t="s">
        <v>14</v>
      </c>
      <c r="S44" s="701">
        <f t="shared" si="12"/>
        <v>100</v>
      </c>
      <c r="T44" s="700" t="s">
        <v>14</v>
      </c>
      <c r="U44" s="701">
        <f t="shared" si="13"/>
        <v>100</v>
      </c>
      <c r="V44" s="700" t="s">
        <v>14</v>
      </c>
      <c r="W44" s="701">
        <f t="shared" si="14"/>
        <v>100</v>
      </c>
      <c r="X44" s="702"/>
      <c r="Y44" s="3717"/>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51"/>
      <c r="Q45" s="1350">
        <f t="shared" si="11"/>
        <v>111</v>
      </c>
      <c r="R45" s="704" t="s">
        <v>14</v>
      </c>
      <c r="S45" s="705">
        <f t="shared" si="12"/>
        <v>100</v>
      </c>
      <c r="T45" s="704" t="s">
        <v>14</v>
      </c>
      <c r="U45" s="705">
        <f t="shared" si="13"/>
        <v>100</v>
      </c>
      <c r="V45" s="704" t="s">
        <v>14</v>
      </c>
      <c r="W45" s="705">
        <f t="shared" si="14"/>
        <v>100</v>
      </c>
      <c r="X45" s="1353"/>
      <c r="Y45" s="3717"/>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52"/>
      <c r="Q46" s="1350">
        <f t="shared" si="11"/>
        <v>111</v>
      </c>
      <c r="R46" s="704" t="s">
        <v>14</v>
      </c>
      <c r="S46" s="705">
        <f t="shared" si="12"/>
        <v>100</v>
      </c>
      <c r="T46" s="704" t="s">
        <v>14</v>
      </c>
      <c r="U46" s="705">
        <f t="shared" si="13"/>
        <v>100</v>
      </c>
      <c r="V46" s="704" t="s">
        <v>14</v>
      </c>
      <c r="W46" s="705">
        <f t="shared" si="14"/>
        <v>100</v>
      </c>
      <c r="X46" s="1353"/>
      <c r="Y46" s="3753"/>
      <c r="Z46" s="1354">
        <f t="shared" si="15"/>
        <v>111</v>
      </c>
      <c r="AA46" s="1351">
        <f t="shared" si="3"/>
        <v>1</v>
      </c>
      <c r="AB46" s="1351">
        <f t="shared" si="4"/>
        <v>1</v>
      </c>
      <c r="AC46" s="1351">
        <f t="shared" si="5"/>
        <v>1</v>
      </c>
    </row>
    <row r="47" spans="1:29" ht="15">
      <c r="A47" s="430" t="s">
        <v>1708</v>
      </c>
      <c r="B47" s="431"/>
      <c r="C47" s="1153" t="s">
        <v>0</v>
      </c>
      <c r="D47" s="1154"/>
      <c r="E47" s="1155"/>
      <c r="F47" s="1156"/>
      <c r="G47" s="1157"/>
      <c r="H47" s="1158"/>
      <c r="I47" s="1155"/>
      <c r="J47" s="1158"/>
      <c r="K47" s="713"/>
      <c r="L47" s="2722"/>
      <c r="M47" s="2723"/>
      <c r="N47" s="2714"/>
      <c r="O47" s="2723"/>
      <c r="P47" s="3713" t="str">
        <f>A47</f>
        <v>成交单价（元/平方米）</v>
      </c>
      <c r="Q47" s="3713"/>
      <c r="R47" s="3718">
        <f>E47</f>
        <v>0</v>
      </c>
      <c r="S47" s="3718"/>
      <c r="T47" s="3718">
        <f>G47</f>
        <v>0</v>
      </c>
      <c r="U47" s="3718"/>
      <c r="V47" s="3718">
        <f>I47</f>
        <v>0</v>
      </c>
      <c r="W47" s="3718"/>
      <c r="X47" s="689"/>
      <c r="Y47" s="711"/>
      <c r="Z47" s="689"/>
      <c r="AA47" s="689"/>
      <c r="AB47" s="689"/>
      <c r="AC47" s="689"/>
    </row>
    <row r="48" spans="1:29" ht="15.75" thickBot="1">
      <c r="A48" s="437" t="s">
        <v>1793</v>
      </c>
      <c r="B48" s="438"/>
      <c r="C48" s="1159" t="e">
        <f>R49</f>
        <v>#DIV/0!</v>
      </c>
      <c r="D48" s="2315" t="s">
        <v>2137</v>
      </c>
      <c r="E48" s="1160" t="e">
        <f>R48</f>
        <v>#DIV/0!</v>
      </c>
      <c r="F48" s="2316"/>
      <c r="G48" s="1159" t="e">
        <f>T48</f>
        <v>#DIV/0!</v>
      </c>
      <c r="H48" s="2316"/>
      <c r="I48" s="1160" t="e">
        <f>V48</f>
        <v>#DIV/0!</v>
      </c>
      <c r="J48" s="2316"/>
      <c r="K48" s="2318">
        <f>F48+H48+J48</f>
        <v>0</v>
      </c>
      <c r="L48" s="2722"/>
      <c r="M48" s="2723"/>
      <c r="N48" s="2714"/>
      <c r="O48" s="2723"/>
      <c r="P48" s="3713" t="str">
        <f>A48</f>
        <v>比较价值（元/平方米）</v>
      </c>
      <c r="Q48" s="3713"/>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89"/>
      <c r="Y48" s="689"/>
      <c r="Z48" s="689"/>
      <c r="AA48" s="689"/>
      <c r="AB48" s="689"/>
      <c r="AC48" s="689"/>
    </row>
    <row r="49" spans="1:29" ht="15.75" thickBot="1">
      <c r="A49" s="441" t="s">
        <v>1794</v>
      </c>
      <c r="B49" s="442"/>
      <c r="C49" s="1162" t="e">
        <f>R49</f>
        <v>#DIV/0!</v>
      </c>
      <c r="D49" s="1162"/>
      <c r="E49" s="1162"/>
      <c r="F49" s="1162"/>
      <c r="G49" s="1162"/>
      <c r="H49" s="1162"/>
      <c r="I49" s="1162"/>
      <c r="J49" s="1162"/>
      <c r="K49" s="714"/>
      <c r="L49" s="2722"/>
      <c r="M49" s="2723"/>
      <c r="N49" s="2714"/>
      <c r="O49" s="2723"/>
      <c r="P49" s="3707" t="str">
        <f>A49</f>
        <v>估价对象XX用房的比较价值（楼面单价，元/平方米）</v>
      </c>
      <c r="Q49" s="3708"/>
      <c r="R49" s="3748" t="e">
        <f>IF(F1="售价",ROUND(IF(D48="简单平均",AVERAGE(R48:V48),R48*F48+T48*H48+V48*J48),0),ROUND(IF(D48="简单平均",AVERAGE(R48:V48),R48*F48+T48*H48+V48*J48),1))</f>
        <v>#DIV/0!</v>
      </c>
      <c r="S49" s="3748"/>
      <c r="T49" s="3748"/>
      <c r="U49" s="3748"/>
      <c r="V49" s="3748"/>
      <c r="W49" s="3748"/>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3" t="s">
        <v>1798</v>
      </c>
      <c r="B57" s="689"/>
      <c r="C57" s="694"/>
      <c r="D57" s="694"/>
      <c r="E57" s="694"/>
      <c r="F57" s="695"/>
      <c r="G57" s="695"/>
      <c r="H57" s="694"/>
      <c r="I57" s="694"/>
      <c r="J57" s="694"/>
      <c r="K57" s="696"/>
      <c r="L57" s="941"/>
      <c r="M57" s="939"/>
      <c r="N57" s="939"/>
      <c r="O57" s="939"/>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2024-10</v>
      </c>
      <c r="D58" s="1183">
        <f>EDATE(C58,-1)</f>
        <v>45536</v>
      </c>
      <c r="E58" s="1183">
        <f t="shared" ref="E58:N58" si="16">EDATE(D58,-1)</f>
        <v>45505</v>
      </c>
      <c r="F58" s="1183">
        <f t="shared" si="16"/>
        <v>45474</v>
      </c>
      <c r="G58" s="1183">
        <f t="shared" si="16"/>
        <v>45444</v>
      </c>
      <c r="H58" s="1183">
        <f t="shared" si="16"/>
        <v>45413</v>
      </c>
      <c r="I58" s="1183">
        <f t="shared" si="16"/>
        <v>45383</v>
      </c>
      <c r="J58" s="1183">
        <f t="shared" si="16"/>
        <v>45352</v>
      </c>
      <c r="K58" s="1183">
        <f t="shared" si="16"/>
        <v>45323</v>
      </c>
      <c r="L58" s="1183">
        <f t="shared" si="16"/>
        <v>45292</v>
      </c>
      <c r="M58" s="1183">
        <f t="shared" si="16"/>
        <v>45261</v>
      </c>
      <c r="N58" s="1183">
        <f t="shared" si="16"/>
        <v>45231</v>
      </c>
      <c r="O58" s="1183">
        <f>EDATE(N58,-1)</f>
        <v>45200</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3643.6099999999992</v>
      </c>
      <c r="E3" s="1952"/>
      <c r="F3" s="908"/>
      <c r="G3" s="907"/>
      <c r="H3" s="907"/>
      <c r="I3" s="907"/>
      <c r="J3" s="907"/>
      <c r="K3" s="909"/>
      <c r="L3" s="2732"/>
      <c r="M3" s="2733"/>
      <c r="N3" s="2733"/>
      <c r="O3" s="2733"/>
      <c r="P3" s="698"/>
      <c r="Q3" s="698"/>
      <c r="R3" s="698"/>
      <c r="S3" s="698"/>
      <c r="T3" s="698"/>
      <c r="U3" s="698"/>
      <c r="V3" s="698"/>
      <c r="W3" s="698"/>
      <c r="X3" s="698"/>
      <c r="Y3" s="698"/>
      <c r="Z3" s="698"/>
      <c r="AA3" s="698"/>
      <c r="AB3" s="698"/>
      <c r="AC3" s="699"/>
    </row>
    <row r="4" spans="1:29" ht="15">
      <c r="A4" s="355" t="s">
        <v>1769</v>
      </c>
      <c r="B4" s="356"/>
      <c r="C4" s="3710" t="s">
        <v>1770</v>
      </c>
      <c r="D4" s="3722"/>
      <c r="E4" s="3723" t="s">
        <v>1771</v>
      </c>
      <c r="F4" s="3724"/>
      <c r="G4" s="3710" t="s">
        <v>1772</v>
      </c>
      <c r="H4" s="3722"/>
      <c r="I4" s="3710" t="s">
        <v>1773</v>
      </c>
      <c r="J4" s="3722"/>
      <c r="K4" s="559" t="s">
        <v>1774</v>
      </c>
      <c r="L4" s="2713"/>
      <c r="M4" s="2714"/>
      <c r="N4" s="2714"/>
      <c r="O4" s="2714"/>
      <c r="P4" s="3766" t="s">
        <v>1775</v>
      </c>
      <c r="Q4" s="3767"/>
      <c r="R4" s="3770" t="s">
        <v>1771</v>
      </c>
      <c r="S4" s="3771"/>
      <c r="T4" s="3770" t="s">
        <v>1772</v>
      </c>
      <c r="U4" s="3771"/>
      <c r="V4" s="3772" t="s">
        <v>1773</v>
      </c>
      <c r="W4" s="3772"/>
      <c r="X4" s="1956"/>
      <c r="Y4" s="3770" t="s">
        <v>1775</v>
      </c>
      <c r="Z4" s="3771"/>
      <c r="AA4" s="3774" t="s">
        <v>1771</v>
      </c>
      <c r="AB4" s="3774" t="s">
        <v>1772</v>
      </c>
      <c r="AC4" s="3763" t="s">
        <v>1773</v>
      </c>
    </row>
    <row r="5" spans="1:29" ht="15">
      <c r="A5" s="358"/>
      <c r="B5" s="359"/>
      <c r="C5" s="3739" t="s">
        <v>1673</v>
      </c>
      <c r="D5" s="3740"/>
      <c r="E5" s="3746" t="s">
        <v>1674</v>
      </c>
      <c r="F5" s="3747"/>
      <c r="G5" s="3739" t="s">
        <v>1675</v>
      </c>
      <c r="H5" s="3740"/>
      <c r="I5" s="3739" t="s">
        <v>1676</v>
      </c>
      <c r="J5" s="3740"/>
      <c r="K5" s="559"/>
      <c r="L5" s="2713"/>
      <c r="M5" s="2714"/>
      <c r="N5" s="2714"/>
      <c r="O5" s="2714"/>
      <c r="P5" s="3768"/>
      <c r="Q5" s="3728"/>
      <c r="R5" s="3733"/>
      <c r="S5" s="3734"/>
      <c r="T5" s="3733"/>
      <c r="U5" s="3734"/>
      <c r="V5" s="3718"/>
      <c r="W5" s="3718"/>
      <c r="X5" s="1353"/>
      <c r="Y5" s="3733"/>
      <c r="Z5" s="3734"/>
      <c r="AA5" s="3720"/>
      <c r="AB5" s="3720"/>
      <c r="AC5" s="3764"/>
    </row>
    <row r="6" spans="1:29" ht="15.75" thickBot="1">
      <c r="A6" s="360"/>
      <c r="B6" s="361"/>
      <c r="C6" s="3737" t="s">
        <v>1677</v>
      </c>
      <c r="D6" s="3738"/>
      <c r="E6" s="3744" t="s">
        <v>1677</v>
      </c>
      <c r="F6" s="3745"/>
      <c r="G6" s="3737" t="s">
        <v>1677</v>
      </c>
      <c r="H6" s="3738"/>
      <c r="I6" s="3737" t="s">
        <v>1677</v>
      </c>
      <c r="J6" s="3738"/>
      <c r="K6" s="559" t="s">
        <v>1678</v>
      </c>
      <c r="L6" s="2713"/>
      <c r="M6" s="2714"/>
      <c r="N6" s="2714"/>
      <c r="O6" s="2714"/>
      <c r="P6" s="3769"/>
      <c r="Q6" s="3730"/>
      <c r="R6" s="3733"/>
      <c r="S6" s="3734"/>
      <c r="T6" s="3735"/>
      <c r="U6" s="3736"/>
      <c r="V6" s="3718"/>
      <c r="W6" s="3718"/>
      <c r="X6" s="1353"/>
      <c r="Y6" s="3735"/>
      <c r="Z6" s="3736"/>
      <c r="AA6" s="3721"/>
      <c r="AB6" s="3721"/>
      <c r="AC6" s="3765"/>
    </row>
    <row r="7" spans="1:29" s="108" customFormat="1" ht="15.75" thickBot="1">
      <c r="A7" s="362" t="s">
        <v>1679</v>
      </c>
      <c r="B7" s="363"/>
      <c r="C7" s="364">
        <f>'数据-取费表'!B2</f>
        <v>45581</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73" t="s">
        <v>1680</v>
      </c>
      <c r="Q7" s="3743"/>
      <c r="R7" s="700" t="s">
        <v>14</v>
      </c>
      <c r="S7" s="701">
        <f t="shared" ref="S7:S15" si="0">F7</f>
        <v>0</v>
      </c>
      <c r="T7" s="700" t="s">
        <v>14</v>
      </c>
      <c r="U7" s="701">
        <f t="shared" ref="U7:U15" si="1">H7</f>
        <v>0</v>
      </c>
      <c r="V7" s="700" t="s">
        <v>14</v>
      </c>
      <c r="W7" s="701">
        <f t="shared" ref="W7:W15" si="2">J7</f>
        <v>0</v>
      </c>
      <c r="X7" s="702"/>
      <c r="Y7" s="3741" t="s">
        <v>1680</v>
      </c>
      <c r="Z7" s="3742"/>
      <c r="AA7" s="703" t="e">
        <f>D7/F7</f>
        <v>#DIV/0!</v>
      </c>
      <c r="AB7" s="703"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73" t="s">
        <v>1683</v>
      </c>
      <c r="Q8" s="3742"/>
      <c r="R8" s="700" t="s">
        <v>14</v>
      </c>
      <c r="S8" s="701">
        <f t="shared" si="0"/>
        <v>100</v>
      </c>
      <c r="T8" s="700" t="s">
        <v>14</v>
      </c>
      <c r="U8" s="701">
        <f t="shared" si="1"/>
        <v>100</v>
      </c>
      <c r="V8" s="700" t="s">
        <v>14</v>
      </c>
      <c r="W8" s="701">
        <f t="shared" si="2"/>
        <v>100</v>
      </c>
      <c r="X8" s="702"/>
      <c r="Y8" s="3741" t="s">
        <v>1683</v>
      </c>
      <c r="Z8" s="3742"/>
      <c r="AA8" s="703">
        <f t="shared" ref="AA8:AA47" si="3">D8/F8</f>
        <v>1</v>
      </c>
      <c r="AB8" s="703">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12"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12"/>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12"/>
      <c r="Q11" s="1341" t="str">
        <f t="shared" si="6"/>
        <v>容积率</v>
      </c>
      <c r="R11" s="700" t="s">
        <v>14</v>
      </c>
      <c r="S11" s="701">
        <f t="shared" si="0"/>
        <v>100</v>
      </c>
      <c r="T11" s="700" t="s">
        <v>14</v>
      </c>
      <c r="U11" s="701">
        <f t="shared" si="1"/>
        <v>100</v>
      </c>
      <c r="V11" s="700" t="s">
        <v>14</v>
      </c>
      <c r="W11" s="701">
        <f t="shared" si="2"/>
        <v>100</v>
      </c>
      <c r="X11" s="702"/>
      <c r="Y11" s="3565"/>
      <c r="Z11" s="52" t="str">
        <f t="shared" si="7"/>
        <v>容积率</v>
      </c>
      <c r="AA11" s="703">
        <f t="shared" si="3"/>
        <v>1</v>
      </c>
      <c r="AB11" s="703">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712"/>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712"/>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712"/>
      <c r="Q14" s="1341">
        <f t="shared" si="6"/>
        <v>111</v>
      </c>
      <c r="R14" s="700" t="s">
        <v>14</v>
      </c>
      <c r="S14" s="701">
        <f t="shared" si="0"/>
        <v>100</v>
      </c>
      <c r="T14" s="700" t="s">
        <v>14</v>
      </c>
      <c r="U14" s="701">
        <f t="shared" si="1"/>
        <v>100</v>
      </c>
      <c r="V14" s="700" t="s">
        <v>14</v>
      </c>
      <c r="W14" s="701">
        <f t="shared" si="2"/>
        <v>100</v>
      </c>
      <c r="X14" s="702"/>
      <c r="Y14" s="3565"/>
      <c r="Z14" s="52">
        <f t="shared" si="7"/>
        <v>111</v>
      </c>
      <c r="AA14" s="703">
        <f t="shared" si="3"/>
        <v>1</v>
      </c>
      <c r="AB14" s="703">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54" t="s">
        <v>1691</v>
      </c>
      <c r="Q15" s="1350" t="str">
        <f t="shared" si="6"/>
        <v>办公集聚程度</v>
      </c>
      <c r="R15" s="704" t="s">
        <v>14</v>
      </c>
      <c r="S15" s="705">
        <f t="shared" si="0"/>
        <v>100</v>
      </c>
      <c r="T15" s="704" t="s">
        <v>14</v>
      </c>
      <c r="U15" s="705">
        <f t="shared" si="1"/>
        <v>100</v>
      </c>
      <c r="V15" s="704" t="s">
        <v>14</v>
      </c>
      <c r="W15" s="705">
        <f t="shared" si="2"/>
        <v>100</v>
      </c>
      <c r="X15" s="1353"/>
      <c r="Y15" s="3714"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755"/>
      <c r="Q16" s="1350"/>
      <c r="R16" s="704"/>
      <c r="S16" s="705"/>
      <c r="T16" s="704"/>
      <c r="U16" s="705"/>
      <c r="V16" s="704"/>
      <c r="W16" s="705"/>
      <c r="X16" s="1353"/>
      <c r="Y16" s="3715"/>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55"/>
      <c r="Q17" s="1350" t="str">
        <f>B17</f>
        <v>交通便捷度</v>
      </c>
      <c r="R17" s="704" t="s">
        <v>14</v>
      </c>
      <c r="S17" s="705">
        <f>F17</f>
        <v>100</v>
      </c>
      <c r="T17" s="704" t="s">
        <v>14</v>
      </c>
      <c r="U17" s="705">
        <f>H17</f>
        <v>100</v>
      </c>
      <c r="V17" s="704" t="s">
        <v>14</v>
      </c>
      <c r="W17" s="705">
        <f>J17</f>
        <v>100</v>
      </c>
      <c r="X17" s="1353"/>
      <c r="Y17" s="3715"/>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755"/>
      <c r="Q18" s="1350"/>
      <c r="R18" s="704"/>
      <c r="S18" s="705"/>
      <c r="T18" s="704"/>
      <c r="U18" s="705"/>
      <c r="V18" s="704"/>
      <c r="W18" s="705"/>
      <c r="X18" s="1353"/>
      <c r="Y18" s="3715"/>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55"/>
      <c r="Q19" s="1350" t="str">
        <f>B19</f>
        <v>公共配套设施</v>
      </c>
      <c r="R19" s="704" t="s">
        <v>14</v>
      </c>
      <c r="S19" s="705">
        <f>F19</f>
        <v>100</v>
      </c>
      <c r="T19" s="704" t="s">
        <v>14</v>
      </c>
      <c r="U19" s="705">
        <f>H19</f>
        <v>100</v>
      </c>
      <c r="V19" s="704" t="s">
        <v>14</v>
      </c>
      <c r="W19" s="705">
        <f>J19</f>
        <v>100</v>
      </c>
      <c r="X19" s="1353"/>
      <c r="Y19" s="3715"/>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755"/>
      <c r="Q20" s="1350"/>
      <c r="R20" s="704"/>
      <c r="S20" s="705"/>
      <c r="T20" s="704"/>
      <c r="U20" s="705"/>
      <c r="V20" s="704"/>
      <c r="W20" s="705"/>
      <c r="X20" s="1353"/>
      <c r="Y20" s="3715"/>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55"/>
      <c r="Q21" s="1350" t="str">
        <f>B21</f>
        <v>基础设施水平</v>
      </c>
      <c r="R21" s="704" t="s">
        <v>14</v>
      </c>
      <c r="S21" s="705">
        <f>F21</f>
        <v>100</v>
      </c>
      <c r="T21" s="704" t="s">
        <v>14</v>
      </c>
      <c r="U21" s="705">
        <f>H21</f>
        <v>100</v>
      </c>
      <c r="V21" s="704" t="s">
        <v>14</v>
      </c>
      <c r="W21" s="705">
        <f>J21</f>
        <v>100</v>
      </c>
      <c r="X21" s="1353"/>
      <c r="Y21" s="3715"/>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9"/>
      <c r="L22" s="2720"/>
      <c r="M22" s="2714"/>
      <c r="N22" s="2714"/>
      <c r="O22" s="2714"/>
      <c r="P22" s="3755"/>
      <c r="Q22" s="1350"/>
      <c r="R22" s="704"/>
      <c r="S22" s="705"/>
      <c r="T22" s="704"/>
      <c r="U22" s="705"/>
      <c r="V22" s="704"/>
      <c r="W22" s="705"/>
      <c r="X22" s="1353"/>
      <c r="Y22" s="3715"/>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55"/>
      <c r="Q23" s="1350" t="str">
        <f>B23</f>
        <v>环境质量</v>
      </c>
      <c r="R23" s="704" t="s">
        <v>14</v>
      </c>
      <c r="S23" s="705">
        <f>F23</f>
        <v>100</v>
      </c>
      <c r="T23" s="704" t="s">
        <v>14</v>
      </c>
      <c r="U23" s="705">
        <f>H23</f>
        <v>100</v>
      </c>
      <c r="V23" s="704" t="s">
        <v>14</v>
      </c>
      <c r="W23" s="705">
        <f>J23</f>
        <v>100</v>
      </c>
      <c r="X23" s="1353"/>
      <c r="Y23" s="3715"/>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755"/>
      <c r="Q24" s="1350"/>
      <c r="R24" s="704"/>
      <c r="S24" s="705"/>
      <c r="T24" s="704"/>
      <c r="U24" s="705"/>
      <c r="V24" s="704"/>
      <c r="W24" s="705"/>
      <c r="X24" s="1353"/>
      <c r="Y24" s="3715"/>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755"/>
      <c r="Q25" s="1350" t="str">
        <f>B25</f>
        <v>毗邻道路的类型与等级</v>
      </c>
      <c r="R25" s="704" t="s">
        <v>14</v>
      </c>
      <c r="S25" s="705">
        <f>F25</f>
        <v>100</v>
      </c>
      <c r="T25" s="704" t="s">
        <v>14</v>
      </c>
      <c r="U25" s="705">
        <f>H25</f>
        <v>100</v>
      </c>
      <c r="V25" s="704" t="s">
        <v>14</v>
      </c>
      <c r="W25" s="705">
        <f>J25</f>
        <v>100</v>
      </c>
      <c r="X25" s="1353"/>
      <c r="Y25" s="3715"/>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755"/>
      <c r="Q26" s="1350"/>
      <c r="R26" s="704"/>
      <c r="S26" s="705"/>
      <c r="T26" s="704"/>
      <c r="U26" s="705"/>
      <c r="V26" s="704"/>
      <c r="W26" s="705"/>
      <c r="X26" s="1353"/>
      <c r="Y26" s="3715"/>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55"/>
      <c r="Q27" s="1350" t="str">
        <f t="shared" ref="Q27:Q47" si="11">B27</f>
        <v>楼层</v>
      </c>
      <c r="R27" s="704" t="s">
        <v>14</v>
      </c>
      <c r="S27" s="705">
        <f>F27</f>
        <v>100</v>
      </c>
      <c r="T27" s="704" t="s">
        <v>14</v>
      </c>
      <c r="U27" s="705">
        <f>H27</f>
        <v>100</v>
      </c>
      <c r="V27" s="704" t="s">
        <v>14</v>
      </c>
      <c r="W27" s="705">
        <f>J27</f>
        <v>100</v>
      </c>
      <c r="X27" s="1353"/>
      <c r="Y27" s="3715"/>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55"/>
      <c r="Q28" s="1341" t="str">
        <f t="shared" si="11"/>
        <v>朝向</v>
      </c>
      <c r="R28" s="700" t="s">
        <v>14</v>
      </c>
      <c r="S28" s="701">
        <f>F28</f>
        <v>100</v>
      </c>
      <c r="T28" s="700" t="s">
        <v>14</v>
      </c>
      <c r="U28" s="701">
        <f>H28</f>
        <v>100</v>
      </c>
      <c r="V28" s="700" t="s">
        <v>14</v>
      </c>
      <c r="W28" s="701">
        <f>J28</f>
        <v>100</v>
      </c>
      <c r="X28" s="702"/>
      <c r="Y28" s="3715"/>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55"/>
      <c r="Q29" s="1350">
        <f t="shared" si="11"/>
        <v>111</v>
      </c>
      <c r="R29" s="704" t="s">
        <v>14</v>
      </c>
      <c r="S29" s="705">
        <f t="shared" ref="S29:S47" si="12">F29</f>
        <v>100</v>
      </c>
      <c r="T29" s="704" t="s">
        <v>14</v>
      </c>
      <c r="U29" s="705">
        <f t="shared" ref="U29:U47" si="13">H29</f>
        <v>100</v>
      </c>
      <c r="V29" s="704" t="s">
        <v>14</v>
      </c>
      <c r="W29" s="705">
        <f t="shared" ref="W29:W47" si="14">J29</f>
        <v>100</v>
      </c>
      <c r="X29" s="1353"/>
      <c r="Y29" s="3715"/>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55"/>
      <c r="Q30" s="1350">
        <f t="shared" si="11"/>
        <v>111</v>
      </c>
      <c r="R30" s="704" t="s">
        <v>14</v>
      </c>
      <c r="S30" s="705">
        <f t="shared" si="12"/>
        <v>100</v>
      </c>
      <c r="T30" s="704" t="s">
        <v>14</v>
      </c>
      <c r="U30" s="705">
        <f t="shared" si="13"/>
        <v>100</v>
      </c>
      <c r="V30" s="704" t="s">
        <v>14</v>
      </c>
      <c r="W30" s="705">
        <f t="shared" si="14"/>
        <v>100</v>
      </c>
      <c r="X30" s="1353"/>
      <c r="Y30" s="3715"/>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55"/>
      <c r="Q31" s="1350">
        <f t="shared" si="11"/>
        <v>111</v>
      </c>
      <c r="R31" s="704" t="s">
        <v>14</v>
      </c>
      <c r="S31" s="705">
        <f t="shared" si="12"/>
        <v>100</v>
      </c>
      <c r="T31" s="704" t="s">
        <v>14</v>
      </c>
      <c r="U31" s="705">
        <f t="shared" si="13"/>
        <v>100</v>
      </c>
      <c r="V31" s="704" t="s">
        <v>14</v>
      </c>
      <c r="W31" s="705">
        <f t="shared" si="14"/>
        <v>100</v>
      </c>
      <c r="X31" s="1353"/>
      <c r="Y31" s="3715"/>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55"/>
      <c r="Q32" s="1350">
        <f t="shared" si="11"/>
        <v>111</v>
      </c>
      <c r="R32" s="704" t="s">
        <v>14</v>
      </c>
      <c r="S32" s="705">
        <f t="shared" si="12"/>
        <v>100</v>
      </c>
      <c r="T32" s="704" t="s">
        <v>14</v>
      </c>
      <c r="U32" s="705">
        <f t="shared" si="13"/>
        <v>100</v>
      </c>
      <c r="V32" s="704" t="s">
        <v>14</v>
      </c>
      <c r="W32" s="705">
        <f t="shared" si="14"/>
        <v>100</v>
      </c>
      <c r="X32" s="1353"/>
      <c r="Y32" s="3715"/>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750" t="s">
        <v>1696</v>
      </c>
      <c r="Q33" s="1350" t="str">
        <f t="shared" si="11"/>
        <v>建筑类型</v>
      </c>
      <c r="R33" s="704" t="s">
        <v>14</v>
      </c>
      <c r="S33" s="705">
        <f t="shared" si="12"/>
        <v>100</v>
      </c>
      <c r="T33" s="704" t="s">
        <v>14</v>
      </c>
      <c r="U33" s="705">
        <f t="shared" si="13"/>
        <v>100</v>
      </c>
      <c r="V33" s="704" t="s">
        <v>14</v>
      </c>
      <c r="W33" s="705">
        <f t="shared" si="14"/>
        <v>100</v>
      </c>
      <c r="X33" s="1353"/>
      <c r="Y33" s="3717"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51"/>
      <c r="Q34" s="706" t="str">
        <f t="shared" si="11"/>
        <v>项目建筑规模</v>
      </c>
      <c r="R34" s="707" t="s">
        <v>14</v>
      </c>
      <c r="S34" s="708" t="e">
        <f t="shared" si="12"/>
        <v>#N/A</v>
      </c>
      <c r="T34" s="707" t="s">
        <v>14</v>
      </c>
      <c r="U34" s="708" t="e">
        <f t="shared" si="13"/>
        <v>#N/A</v>
      </c>
      <c r="V34" s="707" t="s">
        <v>14</v>
      </c>
      <c r="W34" s="708" t="e">
        <f t="shared" si="14"/>
        <v>#N/A</v>
      </c>
      <c r="X34" s="709"/>
      <c r="Y34" s="3717"/>
      <c r="Z34" s="710"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51"/>
      <c r="Q35" s="1350" t="str">
        <f t="shared" si="11"/>
        <v>建筑结构</v>
      </c>
      <c r="R35" s="704" t="s">
        <v>14</v>
      </c>
      <c r="S35" s="705">
        <f t="shared" si="12"/>
        <v>100</v>
      </c>
      <c r="T35" s="704" t="s">
        <v>14</v>
      </c>
      <c r="U35" s="705">
        <f t="shared" si="13"/>
        <v>100</v>
      </c>
      <c r="V35" s="704" t="s">
        <v>14</v>
      </c>
      <c r="W35" s="705">
        <f t="shared" si="14"/>
        <v>100</v>
      </c>
      <c r="X35" s="1353"/>
      <c r="Y35" s="3717"/>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51"/>
      <c r="Q36" s="1350" t="str">
        <f t="shared" si="11"/>
        <v>公共部分装修</v>
      </c>
      <c r="R36" s="704" t="s">
        <v>14</v>
      </c>
      <c r="S36" s="705">
        <f t="shared" si="12"/>
        <v>100</v>
      </c>
      <c r="T36" s="704" t="s">
        <v>14</v>
      </c>
      <c r="U36" s="705">
        <f t="shared" si="13"/>
        <v>100</v>
      </c>
      <c r="V36" s="704" t="s">
        <v>14</v>
      </c>
      <c r="W36" s="705">
        <f t="shared" si="14"/>
        <v>100</v>
      </c>
      <c r="X36" s="1353"/>
      <c r="Y36" s="3717"/>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51"/>
      <c r="Q37" s="1350" t="str">
        <f t="shared" si="11"/>
        <v>成新度</v>
      </c>
      <c r="R37" s="704" t="s">
        <v>14</v>
      </c>
      <c r="S37" s="705" t="e">
        <f t="shared" si="12"/>
        <v>#N/A</v>
      </c>
      <c r="T37" s="704" t="s">
        <v>14</v>
      </c>
      <c r="U37" s="705" t="e">
        <f t="shared" si="13"/>
        <v>#N/A</v>
      </c>
      <c r="V37" s="704" t="s">
        <v>14</v>
      </c>
      <c r="W37" s="705" t="e">
        <f t="shared" si="14"/>
        <v>#N/A</v>
      </c>
      <c r="X37" s="1353"/>
      <c r="Y37" s="3717"/>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51"/>
      <c r="Q38" s="1341" t="str">
        <f t="shared" si="11"/>
        <v>写字楼等级</v>
      </c>
      <c r="R38" s="700" t="s">
        <v>14</v>
      </c>
      <c r="S38" s="701">
        <f t="shared" si="12"/>
        <v>100</v>
      </c>
      <c r="T38" s="700" t="s">
        <v>14</v>
      </c>
      <c r="U38" s="701">
        <f t="shared" si="13"/>
        <v>100</v>
      </c>
      <c r="V38" s="700" t="s">
        <v>14</v>
      </c>
      <c r="W38" s="701">
        <f t="shared" si="14"/>
        <v>100</v>
      </c>
      <c r="X38" s="702"/>
      <c r="Y38" s="3717"/>
      <c r="Z38" s="52" t="str">
        <f t="shared" si="15"/>
        <v>写字楼等级</v>
      </c>
      <c r="AA38" s="703">
        <f t="shared" si="3"/>
        <v>1</v>
      </c>
      <c r="AB38" s="703">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51" t="s">
        <v>1696</v>
      </c>
      <c r="Q39" s="1350" t="str">
        <f t="shared" si="11"/>
        <v>物业管理</v>
      </c>
      <c r="R39" s="704" t="s">
        <v>14</v>
      </c>
      <c r="S39" s="705">
        <f t="shared" si="12"/>
        <v>100</v>
      </c>
      <c r="T39" s="704" t="s">
        <v>14</v>
      </c>
      <c r="U39" s="705">
        <f t="shared" si="13"/>
        <v>100</v>
      </c>
      <c r="V39" s="704" t="s">
        <v>14</v>
      </c>
      <c r="W39" s="705">
        <f t="shared" si="14"/>
        <v>100</v>
      </c>
      <c r="X39" s="1353"/>
      <c r="Y39" s="3717"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51"/>
      <c r="Q40" s="1350" t="str">
        <f t="shared" si="11"/>
        <v>市政基础设施</v>
      </c>
      <c r="R40" s="704" t="s">
        <v>14</v>
      </c>
      <c r="S40" s="705">
        <f t="shared" si="12"/>
        <v>100</v>
      </c>
      <c r="T40" s="704" t="s">
        <v>14</v>
      </c>
      <c r="U40" s="705">
        <f t="shared" si="13"/>
        <v>100</v>
      </c>
      <c r="V40" s="704" t="s">
        <v>14</v>
      </c>
      <c r="W40" s="705">
        <f t="shared" si="14"/>
        <v>100</v>
      </c>
      <c r="X40" s="1353"/>
      <c r="Y40" s="3717"/>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51"/>
      <c r="Q41" s="1350" t="str">
        <f t="shared" si="11"/>
        <v>层高</v>
      </c>
      <c r="R41" s="704" t="s">
        <v>14</v>
      </c>
      <c r="S41" s="705">
        <f t="shared" si="12"/>
        <v>100</v>
      </c>
      <c r="T41" s="704" t="s">
        <v>14</v>
      </c>
      <c r="U41" s="705">
        <f t="shared" si="13"/>
        <v>100</v>
      </c>
      <c r="V41" s="704" t="s">
        <v>14</v>
      </c>
      <c r="W41" s="705">
        <f t="shared" si="14"/>
        <v>100</v>
      </c>
      <c r="X41" s="1353"/>
      <c r="Y41" s="3717"/>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51"/>
      <c r="Q42" s="706" t="str">
        <f t="shared" si="11"/>
        <v>单套建筑面积</v>
      </c>
      <c r="R42" s="707" t="s">
        <v>14</v>
      </c>
      <c r="S42" s="708">
        <f t="shared" si="12"/>
        <v>100</v>
      </c>
      <c r="T42" s="707" t="s">
        <v>14</v>
      </c>
      <c r="U42" s="708">
        <f t="shared" si="13"/>
        <v>100</v>
      </c>
      <c r="V42" s="707" t="s">
        <v>14</v>
      </c>
      <c r="W42" s="708">
        <f t="shared" si="14"/>
        <v>100</v>
      </c>
      <c r="X42" s="709"/>
      <c r="Y42" s="3717"/>
      <c r="Z42" s="710"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51"/>
      <c r="Q43" s="1350" t="str">
        <f t="shared" si="11"/>
        <v>内部装修</v>
      </c>
      <c r="R43" s="704" t="s">
        <v>14</v>
      </c>
      <c r="S43" s="705">
        <f t="shared" si="12"/>
        <v>100</v>
      </c>
      <c r="T43" s="704" t="s">
        <v>14</v>
      </c>
      <c r="U43" s="705">
        <f t="shared" si="13"/>
        <v>100</v>
      </c>
      <c r="V43" s="704" t="s">
        <v>14</v>
      </c>
      <c r="W43" s="705">
        <f t="shared" si="14"/>
        <v>100</v>
      </c>
      <c r="X43" s="1353"/>
      <c r="Y43" s="3717"/>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751"/>
      <c r="Q44" s="1350" t="str">
        <f t="shared" si="11"/>
        <v>内部装修维护情况</v>
      </c>
      <c r="R44" s="704" t="s">
        <v>14</v>
      </c>
      <c r="S44" s="705">
        <f t="shared" si="12"/>
        <v>100</v>
      </c>
      <c r="T44" s="704" t="s">
        <v>14</v>
      </c>
      <c r="U44" s="705">
        <f t="shared" si="13"/>
        <v>100</v>
      </c>
      <c r="V44" s="704" t="s">
        <v>14</v>
      </c>
      <c r="W44" s="705">
        <f t="shared" si="14"/>
        <v>100</v>
      </c>
      <c r="X44" s="1353"/>
      <c r="Y44" s="3717"/>
      <c r="Z44" s="1354" t="str">
        <f t="shared" si="15"/>
        <v>内部装修维护情况</v>
      </c>
      <c r="AA44" s="1351">
        <f t="shared" si="3"/>
        <v>1</v>
      </c>
      <c r="AB44" s="1351">
        <f t="shared" si="4"/>
        <v>1</v>
      </c>
      <c r="AC44" s="1960">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51"/>
      <c r="Q45" s="1341">
        <f t="shared" si="11"/>
        <v>111</v>
      </c>
      <c r="R45" s="700" t="s">
        <v>14</v>
      </c>
      <c r="S45" s="701">
        <f t="shared" si="12"/>
        <v>100</v>
      </c>
      <c r="T45" s="700" t="s">
        <v>14</v>
      </c>
      <c r="U45" s="701">
        <f t="shared" si="13"/>
        <v>100</v>
      </c>
      <c r="V45" s="700" t="s">
        <v>14</v>
      </c>
      <c r="W45" s="701">
        <f t="shared" si="14"/>
        <v>100</v>
      </c>
      <c r="X45" s="702"/>
      <c r="Y45" s="3717"/>
      <c r="Z45" s="52">
        <f t="shared" si="15"/>
        <v>111</v>
      </c>
      <c r="AA45" s="703">
        <f t="shared" si="3"/>
        <v>1</v>
      </c>
      <c r="AB45" s="703">
        <f t="shared" si="4"/>
        <v>1</v>
      </c>
      <c r="AC45" s="1957">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51"/>
      <c r="Q46" s="1350">
        <f t="shared" si="11"/>
        <v>111</v>
      </c>
      <c r="R46" s="704" t="s">
        <v>14</v>
      </c>
      <c r="S46" s="705">
        <f t="shared" si="12"/>
        <v>100</v>
      </c>
      <c r="T46" s="704" t="s">
        <v>14</v>
      </c>
      <c r="U46" s="705">
        <f t="shared" si="13"/>
        <v>100</v>
      </c>
      <c r="V46" s="704" t="s">
        <v>14</v>
      </c>
      <c r="W46" s="705">
        <f t="shared" si="14"/>
        <v>100</v>
      </c>
      <c r="X46" s="1353"/>
      <c r="Y46" s="3717"/>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52"/>
      <c r="Q47" s="1350">
        <f t="shared" si="11"/>
        <v>111</v>
      </c>
      <c r="R47" s="704" t="s">
        <v>14</v>
      </c>
      <c r="S47" s="705">
        <f t="shared" si="12"/>
        <v>100</v>
      </c>
      <c r="T47" s="704" t="s">
        <v>14</v>
      </c>
      <c r="U47" s="705">
        <f t="shared" si="13"/>
        <v>100</v>
      </c>
      <c r="V47" s="704" t="s">
        <v>14</v>
      </c>
      <c r="W47" s="705">
        <f t="shared" si="14"/>
        <v>100</v>
      </c>
      <c r="X47" s="1353"/>
      <c r="Y47" s="3753"/>
      <c r="Z47" s="1354">
        <f t="shared" si="15"/>
        <v>111</v>
      </c>
      <c r="AA47" s="1351">
        <f t="shared" si="3"/>
        <v>1</v>
      </c>
      <c r="AB47" s="1351">
        <f t="shared" si="4"/>
        <v>1</v>
      </c>
      <c r="AC47" s="1960">
        <f t="shared" si="5"/>
        <v>1</v>
      </c>
    </row>
    <row r="48" spans="1:29" ht="15">
      <c r="A48" s="430" t="s">
        <v>1708</v>
      </c>
      <c r="B48" s="431"/>
      <c r="C48" s="1153" t="s">
        <v>0</v>
      </c>
      <c r="D48" s="1154"/>
      <c r="E48" s="1155"/>
      <c r="F48" s="1156"/>
      <c r="G48" s="1157"/>
      <c r="H48" s="1158"/>
      <c r="I48" s="1155"/>
      <c r="J48" s="436"/>
      <c r="K48" s="713"/>
      <c r="L48" s="2722"/>
      <c r="M48" s="2714"/>
      <c r="N48" s="2714"/>
      <c r="O48" s="2714"/>
      <c r="P48" s="3712" t="str">
        <f>A48</f>
        <v>成交单价（元/平方米）</v>
      </c>
      <c r="Q48" s="3713"/>
      <c r="R48" s="3749">
        <f>E48</f>
        <v>0</v>
      </c>
      <c r="S48" s="3749"/>
      <c r="T48" s="3749">
        <f>G48</f>
        <v>0</v>
      </c>
      <c r="U48" s="3749"/>
      <c r="V48" s="3749">
        <f>I48</f>
        <v>0</v>
      </c>
      <c r="W48" s="3749"/>
      <c r="X48" s="397"/>
      <c r="Y48" s="711"/>
      <c r="Z48" s="397"/>
      <c r="AA48" s="397"/>
      <c r="AB48" s="397"/>
      <c r="AC48" s="578"/>
    </row>
    <row r="49" spans="1:29" ht="15.75" thickBot="1">
      <c r="A49" s="437" t="s">
        <v>1793</v>
      </c>
      <c r="B49" s="438"/>
      <c r="C49" s="1159" t="e">
        <f>R50</f>
        <v>#DIV/0!</v>
      </c>
      <c r="D49" s="2315" t="s">
        <v>2137</v>
      </c>
      <c r="E49" s="1160" t="e">
        <f>R49</f>
        <v>#DIV/0!</v>
      </c>
      <c r="F49" s="2316"/>
      <c r="G49" s="1159" t="e">
        <f>T49</f>
        <v>#DIV/0!</v>
      </c>
      <c r="H49" s="2316"/>
      <c r="I49" s="1160" t="e">
        <f>V49</f>
        <v>#DIV/0!</v>
      </c>
      <c r="J49" s="2316"/>
      <c r="K49" s="2318">
        <f>F49+H49+J49</f>
        <v>0</v>
      </c>
      <c r="L49" s="2722"/>
      <c r="M49" s="2714"/>
      <c r="N49" s="2714"/>
      <c r="O49" s="2714"/>
      <c r="P49" s="3712" t="str">
        <f>A49</f>
        <v>比较价值（元/平方米）</v>
      </c>
      <c r="Q49" s="3713"/>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397"/>
      <c r="Y49" s="397"/>
      <c r="Z49" s="397"/>
      <c r="AA49" s="397"/>
      <c r="AB49" s="397"/>
      <c r="AC49" s="578"/>
    </row>
    <row r="50" spans="1:29" ht="15.75" thickBot="1">
      <c r="A50" s="441" t="s">
        <v>1794</v>
      </c>
      <c r="B50" s="442"/>
      <c r="C50" s="1162" t="e">
        <f>R50</f>
        <v>#DIV/0!</v>
      </c>
      <c r="D50" s="1162"/>
      <c r="E50" s="1162"/>
      <c r="F50" s="1162"/>
      <c r="G50" s="1162"/>
      <c r="H50" s="1162"/>
      <c r="I50" s="1162"/>
      <c r="J50" s="443"/>
      <c r="K50" s="714"/>
      <c r="L50" s="2722"/>
      <c r="M50" s="2714"/>
      <c r="N50" s="2714"/>
      <c r="O50" s="2714"/>
      <c r="P50" s="3760" t="str">
        <f>A50</f>
        <v>估价对象XX用房的比较价值（楼面单价，元/平方米）</v>
      </c>
      <c r="Q50" s="3761"/>
      <c r="R50" s="3762" t="e">
        <f>IF(F1="售价",ROUND(IF(D49="简单平均",AVERAGE(R49:V49),R49*F49+T49*H49+V49*J49),0),ROUND(IF(D49="简单平均",AVERAGE(R49:V49),R49*F49+T49*H49+V49*J49),1))</f>
        <v>#DIV/0!</v>
      </c>
      <c r="S50" s="3762"/>
      <c r="T50" s="3762"/>
      <c r="U50" s="3762"/>
      <c r="V50" s="3762"/>
      <c r="W50" s="3762"/>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3" t="s">
        <v>1798</v>
      </c>
      <c r="B58" s="689"/>
      <c r="C58" s="694"/>
      <c r="D58" s="694"/>
      <c r="E58" s="694"/>
      <c r="F58" s="695"/>
      <c r="G58" s="695"/>
      <c r="H58" s="694"/>
      <c r="I58" s="694"/>
      <c r="J58" s="694"/>
      <c r="K58" s="696"/>
      <c r="L58" s="941"/>
      <c r="M58" s="939"/>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2024-10</v>
      </c>
      <c r="D59" s="1183">
        <f>EDATE(C59,-1)</f>
        <v>45536</v>
      </c>
      <c r="E59" s="1183">
        <f>EDATE(D59,-1)</f>
        <v>45505</v>
      </c>
      <c r="F59" s="1183">
        <f t="shared" ref="F59:O59" si="16">EDATE(E59,-1)</f>
        <v>45474</v>
      </c>
      <c r="G59" s="1183">
        <f t="shared" si="16"/>
        <v>45444</v>
      </c>
      <c r="H59" s="1183">
        <f t="shared" si="16"/>
        <v>45413</v>
      </c>
      <c r="I59" s="1183">
        <f t="shared" si="16"/>
        <v>45383</v>
      </c>
      <c r="J59" s="1183">
        <f t="shared" si="16"/>
        <v>45352</v>
      </c>
      <c r="K59" s="1183">
        <f t="shared" si="16"/>
        <v>45323</v>
      </c>
      <c r="L59" s="1183">
        <f t="shared" si="16"/>
        <v>45292</v>
      </c>
      <c r="M59" s="1183">
        <f t="shared" si="16"/>
        <v>45261</v>
      </c>
      <c r="N59" s="1183">
        <f t="shared" si="16"/>
        <v>45231</v>
      </c>
      <c r="O59" s="1183">
        <f t="shared" si="16"/>
        <v>45200</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3643.6099999999992</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710" t="s">
        <v>1770</v>
      </c>
      <c r="D4" s="3722"/>
      <c r="E4" s="3723" t="s">
        <v>1771</v>
      </c>
      <c r="F4" s="3724"/>
      <c r="G4" s="3710" t="s">
        <v>1772</v>
      </c>
      <c r="H4" s="3722"/>
      <c r="I4" s="3710" t="s">
        <v>1773</v>
      </c>
      <c r="J4" s="3722"/>
      <c r="K4" s="559" t="s">
        <v>1774</v>
      </c>
      <c r="L4" s="912"/>
      <c r="M4" s="913"/>
      <c r="N4" s="913"/>
      <c r="O4" s="913"/>
      <c r="P4" s="3725" t="s">
        <v>1775</v>
      </c>
      <c r="Q4" s="3726"/>
      <c r="R4" s="3731" t="s">
        <v>1771</v>
      </c>
      <c r="S4" s="3732"/>
      <c r="T4" s="3731" t="s">
        <v>1772</v>
      </c>
      <c r="U4" s="3732"/>
      <c r="V4" s="3718" t="s">
        <v>1773</v>
      </c>
      <c r="W4" s="3718"/>
      <c r="X4" s="1353"/>
      <c r="Y4" s="3731" t="s">
        <v>1775</v>
      </c>
      <c r="Z4" s="3732"/>
      <c r="AA4" s="3719" t="s">
        <v>1771</v>
      </c>
      <c r="AB4" s="3720" t="s">
        <v>1772</v>
      </c>
      <c r="AC4" s="3719" t="s">
        <v>1773</v>
      </c>
    </row>
    <row r="5" spans="1:29" ht="15">
      <c r="A5" s="358"/>
      <c r="B5" s="359"/>
      <c r="C5" s="3739" t="s">
        <v>1673</v>
      </c>
      <c r="D5" s="3740"/>
      <c r="E5" s="3746" t="s">
        <v>1674</v>
      </c>
      <c r="F5" s="3747"/>
      <c r="G5" s="3739" t="s">
        <v>1675</v>
      </c>
      <c r="H5" s="3740"/>
      <c r="I5" s="3739" t="s">
        <v>1676</v>
      </c>
      <c r="J5" s="3740"/>
      <c r="K5" s="559"/>
      <c r="L5" s="912"/>
      <c r="M5" s="913"/>
      <c r="N5" s="913"/>
      <c r="O5" s="913"/>
      <c r="P5" s="3727"/>
      <c r="Q5" s="3728"/>
      <c r="R5" s="3733"/>
      <c r="S5" s="3734"/>
      <c r="T5" s="3733"/>
      <c r="U5" s="3734"/>
      <c r="V5" s="3718"/>
      <c r="W5" s="3718"/>
      <c r="X5" s="1353"/>
      <c r="Y5" s="3733"/>
      <c r="Z5" s="3734"/>
      <c r="AA5" s="3720"/>
      <c r="AB5" s="3720"/>
      <c r="AC5" s="3720"/>
    </row>
    <row r="6" spans="1:29" ht="15.75" thickBot="1">
      <c r="A6" s="360"/>
      <c r="B6" s="361"/>
      <c r="C6" s="3737" t="s">
        <v>1677</v>
      </c>
      <c r="D6" s="3738"/>
      <c r="E6" s="3744" t="s">
        <v>1677</v>
      </c>
      <c r="F6" s="3745"/>
      <c r="G6" s="3737" t="s">
        <v>1677</v>
      </c>
      <c r="H6" s="3738"/>
      <c r="I6" s="3737" t="s">
        <v>1677</v>
      </c>
      <c r="J6" s="3738"/>
      <c r="K6" s="559" t="s">
        <v>1678</v>
      </c>
      <c r="L6" s="912"/>
      <c r="M6" s="913"/>
      <c r="N6" s="913"/>
      <c r="O6" s="913"/>
      <c r="P6" s="3729"/>
      <c r="Q6" s="3730"/>
      <c r="R6" s="3733"/>
      <c r="S6" s="3734"/>
      <c r="T6" s="3735"/>
      <c r="U6" s="3736"/>
      <c r="V6" s="3718"/>
      <c r="W6" s="3718"/>
      <c r="X6" s="1353"/>
      <c r="Y6" s="3735"/>
      <c r="Z6" s="3736"/>
      <c r="AA6" s="3721"/>
      <c r="AB6" s="3721"/>
      <c r="AC6" s="3721"/>
    </row>
    <row r="7" spans="1:29" s="108" customFormat="1" ht="15.75" thickBot="1">
      <c r="A7" s="362" t="s">
        <v>1679</v>
      </c>
      <c r="B7" s="363"/>
      <c r="C7" s="364">
        <f>'数据-取费表'!B2</f>
        <v>45581</v>
      </c>
      <c r="D7" s="365">
        <v>100</v>
      </c>
      <c r="E7" s="366"/>
      <c r="F7" s="367">
        <f>SUMIF(52:52,YEAR(E7)&amp;"-"&amp;MONTH(E7),53:53)</f>
        <v>0</v>
      </c>
      <c r="G7" s="366"/>
      <c r="H7" s="365">
        <f>SUMIF(52:52,YEAR(G7)&amp;"-"&amp;MONTH(G7),53:53)</f>
        <v>0</v>
      </c>
      <c r="I7" s="366"/>
      <c r="J7" s="365">
        <f>SUMIF(52:52,YEAR(I7)&amp;"-"&amp;MONTH(I7),53:53)</f>
        <v>0</v>
      </c>
      <c r="K7" s="560"/>
      <c r="L7" s="914"/>
      <c r="M7" s="915"/>
      <c r="N7" s="915"/>
      <c r="O7" s="915"/>
      <c r="P7" s="3741" t="s">
        <v>1680</v>
      </c>
      <c r="Q7" s="3743"/>
      <c r="R7" s="700" t="s">
        <v>14</v>
      </c>
      <c r="S7" s="701">
        <f t="shared" ref="S7:S15" si="0">F7</f>
        <v>0</v>
      </c>
      <c r="T7" s="700" t="s">
        <v>14</v>
      </c>
      <c r="U7" s="701">
        <f t="shared" ref="U7:U15" si="1">H7</f>
        <v>0</v>
      </c>
      <c r="V7" s="700" t="s">
        <v>14</v>
      </c>
      <c r="W7" s="701">
        <f t="shared" ref="W7:W15" si="2">J7</f>
        <v>0</v>
      </c>
      <c r="X7" s="702"/>
      <c r="Y7" s="3741" t="s">
        <v>1680</v>
      </c>
      <c r="Z7" s="3742"/>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41" t="s">
        <v>1683</v>
      </c>
      <c r="Q8" s="3742"/>
      <c r="R8" s="700" t="s">
        <v>14</v>
      </c>
      <c r="S8" s="701">
        <f t="shared" si="0"/>
        <v>100</v>
      </c>
      <c r="T8" s="700" t="s">
        <v>14</v>
      </c>
      <c r="U8" s="701">
        <f t="shared" si="1"/>
        <v>100</v>
      </c>
      <c r="V8" s="700" t="s">
        <v>14</v>
      </c>
      <c r="W8" s="701">
        <f t="shared" si="2"/>
        <v>100</v>
      </c>
      <c r="X8" s="702"/>
      <c r="Y8" s="3741" t="s">
        <v>1683</v>
      </c>
      <c r="Z8" s="3742"/>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13"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7"/>
      <c r="M10" s="918"/>
      <c r="N10" s="918"/>
      <c r="O10" s="919"/>
      <c r="P10" s="3713"/>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13"/>
      <c r="Q11" s="1341" t="str">
        <f t="shared" si="6"/>
        <v>容积率</v>
      </c>
      <c r="R11" s="700" t="s">
        <v>14</v>
      </c>
      <c r="S11" s="701">
        <f t="shared" si="0"/>
        <v>100</v>
      </c>
      <c r="T11" s="700" t="s">
        <v>14</v>
      </c>
      <c r="U11" s="701">
        <f t="shared" si="1"/>
        <v>100</v>
      </c>
      <c r="V11" s="700" t="s">
        <v>14</v>
      </c>
      <c r="W11" s="701">
        <f t="shared" si="2"/>
        <v>100</v>
      </c>
      <c r="X11" s="702"/>
      <c r="Y11" s="3565"/>
      <c r="Z11" s="52" t="str">
        <f t="shared" si="7"/>
        <v>容积率</v>
      </c>
      <c r="AA11" s="703">
        <f t="shared" si="3"/>
        <v>1</v>
      </c>
      <c r="AB11" s="703">
        <f t="shared" si="4"/>
        <v>1</v>
      </c>
      <c r="AC11" s="703">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4"/>
      <c r="M12" s="915"/>
      <c r="N12" s="915"/>
      <c r="O12" s="916"/>
      <c r="P12" s="3713"/>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703">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2"/>
      <c r="M13" s="913"/>
      <c r="N13" s="913"/>
      <c r="O13" s="921"/>
      <c r="P13" s="3713"/>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703">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2"/>
      <c r="M14" s="913"/>
      <c r="N14" s="913"/>
      <c r="O14" s="921"/>
      <c r="P14" s="3713"/>
      <c r="Q14" s="1341">
        <f t="shared" si="6"/>
        <v>111</v>
      </c>
      <c r="R14" s="700" t="s">
        <v>14</v>
      </c>
      <c r="S14" s="701">
        <f t="shared" si="0"/>
        <v>100</v>
      </c>
      <c r="T14" s="700" t="s">
        <v>14</v>
      </c>
      <c r="U14" s="701">
        <f t="shared" si="1"/>
        <v>100</v>
      </c>
      <c r="V14" s="700" t="s">
        <v>14</v>
      </c>
      <c r="W14" s="701">
        <f t="shared" si="2"/>
        <v>100</v>
      </c>
      <c r="X14" s="702"/>
      <c r="Y14" s="3565"/>
      <c r="Z14" s="52">
        <f t="shared" si="7"/>
        <v>111</v>
      </c>
      <c r="AA14" s="703">
        <f t="shared" si="3"/>
        <v>1</v>
      </c>
      <c r="AB14" s="703">
        <f t="shared" si="4"/>
        <v>1</v>
      </c>
      <c r="AC14" s="703">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4" t="s">
        <v>1691</v>
      </c>
      <c r="Q15" s="1350" t="str">
        <f t="shared" si="6"/>
        <v>产业集聚程度</v>
      </c>
      <c r="R15" s="704" t="s">
        <v>14</v>
      </c>
      <c r="S15" s="705">
        <f t="shared" si="0"/>
        <v>100</v>
      </c>
      <c r="T15" s="704" t="s">
        <v>14</v>
      </c>
      <c r="U15" s="705">
        <f t="shared" si="1"/>
        <v>100</v>
      </c>
      <c r="V15" s="704" t="s">
        <v>14</v>
      </c>
      <c r="W15" s="705">
        <f t="shared" si="2"/>
        <v>100</v>
      </c>
      <c r="X15" s="1353"/>
      <c r="Y15" s="3714"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2"/>
      <c r="M16" s="913"/>
      <c r="N16" s="913"/>
      <c r="O16" s="921"/>
      <c r="P16" s="3715"/>
      <c r="Q16" s="1350"/>
      <c r="R16" s="704"/>
      <c r="S16" s="705"/>
      <c r="T16" s="704"/>
      <c r="U16" s="705"/>
      <c r="V16" s="704"/>
      <c r="W16" s="705"/>
      <c r="X16" s="1353"/>
      <c r="Y16" s="3715"/>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5"/>
      <c r="Q17" s="1350" t="str">
        <f>B17</f>
        <v>交通便捷度</v>
      </c>
      <c r="R17" s="704" t="s">
        <v>14</v>
      </c>
      <c r="S17" s="705">
        <f>F17</f>
        <v>100</v>
      </c>
      <c r="T17" s="704" t="s">
        <v>14</v>
      </c>
      <c r="U17" s="705">
        <f>H17</f>
        <v>100</v>
      </c>
      <c r="V17" s="704" t="s">
        <v>14</v>
      </c>
      <c r="W17" s="705">
        <f>J17</f>
        <v>100</v>
      </c>
      <c r="X17" s="1353"/>
      <c r="Y17" s="3715"/>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2"/>
      <c r="M18" s="913"/>
      <c r="N18" s="913"/>
      <c r="O18" s="921"/>
      <c r="P18" s="3715"/>
      <c r="Q18" s="1350"/>
      <c r="R18" s="704"/>
      <c r="S18" s="705"/>
      <c r="T18" s="704"/>
      <c r="U18" s="705"/>
      <c r="V18" s="704"/>
      <c r="W18" s="705"/>
      <c r="X18" s="1353"/>
      <c r="Y18" s="3715"/>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5"/>
      <c r="Q19" s="1350" t="str">
        <f>B19</f>
        <v>公共配套设施</v>
      </c>
      <c r="R19" s="704" t="s">
        <v>14</v>
      </c>
      <c r="S19" s="705">
        <f>F19</f>
        <v>100</v>
      </c>
      <c r="T19" s="704" t="s">
        <v>14</v>
      </c>
      <c r="U19" s="705">
        <f>H19</f>
        <v>100</v>
      </c>
      <c r="V19" s="704" t="s">
        <v>14</v>
      </c>
      <c r="W19" s="705">
        <f>J19</f>
        <v>100</v>
      </c>
      <c r="X19" s="1353"/>
      <c r="Y19" s="3715"/>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2"/>
      <c r="M20" s="913"/>
      <c r="N20" s="913"/>
      <c r="O20" s="921"/>
      <c r="P20" s="3715"/>
      <c r="Q20" s="1350"/>
      <c r="R20" s="704"/>
      <c r="S20" s="705"/>
      <c r="T20" s="704"/>
      <c r="U20" s="705"/>
      <c r="V20" s="704"/>
      <c r="W20" s="705"/>
      <c r="X20" s="1353"/>
      <c r="Y20" s="3715"/>
      <c r="Z20" s="1354"/>
      <c r="AA20" s="1351">
        <v>1</v>
      </c>
      <c r="AB20" s="1351">
        <v>1</v>
      </c>
      <c r="AC20" s="1351">
        <v>1</v>
      </c>
    </row>
    <row r="21" spans="1:29" ht="28.5">
      <c r="A21" s="379"/>
      <c r="B21" s="1130"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5"/>
      <c r="Q21" s="1350" t="str">
        <f>B21</f>
        <v>基础设施水平</v>
      </c>
      <c r="R21" s="704" t="s">
        <v>14</v>
      </c>
      <c r="S21" s="705">
        <f>F21</f>
        <v>100</v>
      </c>
      <c r="T21" s="704" t="s">
        <v>14</v>
      </c>
      <c r="U21" s="705">
        <f>H21</f>
        <v>100</v>
      </c>
      <c r="V21" s="704" t="s">
        <v>14</v>
      </c>
      <c r="W21" s="705">
        <f>J21</f>
        <v>100</v>
      </c>
      <c r="X21" s="1353"/>
      <c r="Y21" s="3715"/>
      <c r="Z21" s="1354" t="str">
        <f>Q21</f>
        <v>基础设施水平</v>
      </c>
      <c r="AA21" s="1351">
        <f t="shared" ref="AA21" si="8">D21/F21</f>
        <v>1</v>
      </c>
      <c r="AB21" s="1351">
        <f t="shared" ref="AB21" si="9">D21/H21</f>
        <v>1</v>
      </c>
      <c r="AC21" s="1351">
        <f t="shared" ref="AC21" si="10">D21/J21</f>
        <v>1</v>
      </c>
    </row>
    <row r="22" spans="1:29" ht="15">
      <c r="A22" s="379"/>
      <c r="B22" s="1130"/>
      <c r="C22" s="1899"/>
      <c r="D22" s="399"/>
      <c r="E22" s="398"/>
      <c r="F22" s="400"/>
      <c r="G22" s="398"/>
      <c r="H22" s="399"/>
      <c r="I22" s="398"/>
      <c r="J22" s="399"/>
      <c r="K22" s="1129"/>
      <c r="L22" s="922"/>
      <c r="M22" s="913"/>
      <c r="N22" s="913"/>
      <c r="O22" s="921"/>
      <c r="P22" s="3715"/>
      <c r="Q22" s="1350"/>
      <c r="R22" s="704"/>
      <c r="S22" s="705"/>
      <c r="T22" s="704"/>
      <c r="U22" s="705"/>
      <c r="V22" s="704"/>
      <c r="W22" s="705"/>
      <c r="X22" s="1353"/>
      <c r="Y22" s="3715"/>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5"/>
      <c r="Q23" s="1350" t="str">
        <f>B23</f>
        <v>环境质量</v>
      </c>
      <c r="R23" s="704" t="s">
        <v>14</v>
      </c>
      <c r="S23" s="705">
        <f>F23</f>
        <v>100</v>
      </c>
      <c r="T23" s="704" t="s">
        <v>14</v>
      </c>
      <c r="U23" s="705">
        <f>H23</f>
        <v>100</v>
      </c>
      <c r="V23" s="704" t="s">
        <v>14</v>
      </c>
      <c r="W23" s="705">
        <f>J23</f>
        <v>100</v>
      </c>
      <c r="X23" s="1353"/>
      <c r="Y23" s="3715"/>
      <c r="Z23" s="1354" t="str">
        <f>Q23</f>
        <v>环境质量</v>
      </c>
      <c r="AA23" s="1351">
        <f t="shared" si="3"/>
        <v>1</v>
      </c>
      <c r="AB23" s="1351">
        <f t="shared" si="4"/>
        <v>1</v>
      </c>
      <c r="AC23" s="1351">
        <f t="shared" si="5"/>
        <v>1</v>
      </c>
    </row>
    <row r="24" spans="1:29" ht="15">
      <c r="A24" s="379"/>
      <c r="B24" s="1130"/>
      <c r="C24" s="398"/>
      <c r="D24" s="399"/>
      <c r="E24" s="1896"/>
      <c r="F24" s="400"/>
      <c r="G24" s="1895"/>
      <c r="H24" s="399"/>
      <c r="I24" s="1896"/>
      <c r="J24" s="399"/>
      <c r="K24" s="564"/>
      <c r="L24" s="922"/>
      <c r="M24" s="913"/>
      <c r="N24" s="913"/>
      <c r="O24" s="921"/>
      <c r="P24" s="3715"/>
      <c r="Q24" s="1350"/>
      <c r="R24" s="704"/>
      <c r="S24" s="705"/>
      <c r="T24" s="704"/>
      <c r="U24" s="705"/>
      <c r="V24" s="704"/>
      <c r="W24" s="705"/>
      <c r="X24" s="1353"/>
      <c r="Y24" s="3715"/>
      <c r="Z24" s="1354"/>
      <c r="AA24" s="1351">
        <v>1</v>
      </c>
      <c r="AB24" s="1351">
        <v>1</v>
      </c>
      <c r="AC24" s="1351">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5"/>
      <c r="Q25" s="1350">
        <f>B25</f>
        <v>111</v>
      </c>
      <c r="R25" s="704" t="s">
        <v>14</v>
      </c>
      <c r="S25" s="705">
        <f>F25</f>
        <v>100</v>
      </c>
      <c r="T25" s="704" t="s">
        <v>14</v>
      </c>
      <c r="U25" s="705">
        <f>H25</f>
        <v>100</v>
      </c>
      <c r="V25" s="704" t="s">
        <v>14</v>
      </c>
      <c r="W25" s="705">
        <f>J25</f>
        <v>100</v>
      </c>
      <c r="X25" s="1353"/>
      <c r="Y25" s="3715"/>
      <c r="Z25" s="1354">
        <f>Q25</f>
        <v>111</v>
      </c>
      <c r="AA25" s="1351">
        <f t="shared" si="3"/>
        <v>1</v>
      </c>
      <c r="AB25" s="1351">
        <f t="shared" si="4"/>
        <v>1</v>
      </c>
      <c r="AC25" s="1351">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5"/>
      <c r="Q26" s="1350">
        <f t="shared" ref="Q26:Q40" si="11">B26</f>
        <v>111</v>
      </c>
      <c r="R26" s="704" t="s">
        <v>14</v>
      </c>
      <c r="S26" s="705">
        <f>F26</f>
        <v>100</v>
      </c>
      <c r="T26" s="704" t="s">
        <v>14</v>
      </c>
      <c r="U26" s="705">
        <f>H26</f>
        <v>100</v>
      </c>
      <c r="V26" s="704" t="s">
        <v>14</v>
      </c>
      <c r="W26" s="705">
        <f>J26</f>
        <v>100</v>
      </c>
      <c r="X26" s="1353"/>
      <c r="Y26" s="3715"/>
      <c r="Z26" s="1354">
        <f>Q26</f>
        <v>111</v>
      </c>
      <c r="AA26" s="1351">
        <f t="shared" si="3"/>
        <v>1</v>
      </c>
      <c r="AB26" s="1351">
        <f t="shared" si="4"/>
        <v>1</v>
      </c>
      <c r="AC26" s="1351">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5"/>
      <c r="Q27" s="1341">
        <f t="shared" si="11"/>
        <v>111</v>
      </c>
      <c r="R27" s="700" t="s">
        <v>14</v>
      </c>
      <c r="S27" s="701">
        <f>F27</f>
        <v>100</v>
      </c>
      <c r="T27" s="700" t="s">
        <v>14</v>
      </c>
      <c r="U27" s="701">
        <f>H27</f>
        <v>100</v>
      </c>
      <c r="V27" s="700" t="s">
        <v>14</v>
      </c>
      <c r="W27" s="701">
        <f>J27</f>
        <v>100</v>
      </c>
      <c r="X27" s="702"/>
      <c r="Y27" s="3715"/>
      <c r="Z27" s="52">
        <f>Q27</f>
        <v>111</v>
      </c>
      <c r="AA27" s="1351">
        <f>D27/F27</f>
        <v>1</v>
      </c>
      <c r="AB27" s="1351">
        <f>D27/H27</f>
        <v>1</v>
      </c>
      <c r="AC27" s="1351">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5"/>
      <c r="Q28" s="1350">
        <f t="shared" si="11"/>
        <v>111</v>
      </c>
      <c r="R28" s="704" t="s">
        <v>14</v>
      </c>
      <c r="S28" s="705">
        <f t="shared" ref="S28:S40" si="12">F28</f>
        <v>100</v>
      </c>
      <c r="T28" s="704" t="s">
        <v>14</v>
      </c>
      <c r="U28" s="705">
        <f t="shared" ref="U28:U40" si="13">H28</f>
        <v>100</v>
      </c>
      <c r="V28" s="704" t="s">
        <v>14</v>
      </c>
      <c r="W28" s="705">
        <f t="shared" ref="W28:W40" si="14">J28</f>
        <v>100</v>
      </c>
      <c r="X28" s="1353"/>
      <c r="Y28" s="3715"/>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2"/>
      <c r="M29" s="913"/>
      <c r="N29" s="913"/>
      <c r="O29" s="921"/>
      <c r="P29" s="3716" t="s">
        <v>1696</v>
      </c>
      <c r="Q29" s="1350" t="str">
        <f t="shared" si="11"/>
        <v>建筑类型</v>
      </c>
      <c r="R29" s="704" t="s">
        <v>14</v>
      </c>
      <c r="S29" s="705">
        <f t="shared" si="12"/>
        <v>100</v>
      </c>
      <c r="T29" s="704" t="s">
        <v>14</v>
      </c>
      <c r="U29" s="705">
        <f t="shared" si="13"/>
        <v>100</v>
      </c>
      <c r="V29" s="704" t="s">
        <v>14</v>
      </c>
      <c r="W29" s="705">
        <f t="shared" si="14"/>
        <v>100</v>
      </c>
      <c r="X29" s="1353"/>
      <c r="Y29" s="3717"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17"/>
      <c r="Q30" s="706" t="str">
        <f t="shared" si="11"/>
        <v>项目建筑规模</v>
      </c>
      <c r="R30" s="707" t="s">
        <v>14</v>
      </c>
      <c r="S30" s="708" t="e">
        <f t="shared" si="12"/>
        <v>#N/A</v>
      </c>
      <c r="T30" s="707" t="s">
        <v>14</v>
      </c>
      <c r="U30" s="708" t="e">
        <f t="shared" si="13"/>
        <v>#N/A</v>
      </c>
      <c r="V30" s="707" t="s">
        <v>14</v>
      </c>
      <c r="W30" s="708" t="e">
        <f t="shared" si="14"/>
        <v>#N/A</v>
      </c>
      <c r="X30" s="709"/>
      <c r="Y30" s="3717"/>
      <c r="Z30" s="710"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17"/>
      <c r="Q31" s="1350" t="str">
        <f t="shared" si="11"/>
        <v>建筑结构</v>
      </c>
      <c r="R31" s="704" t="s">
        <v>14</v>
      </c>
      <c r="S31" s="705">
        <f t="shared" si="12"/>
        <v>100</v>
      </c>
      <c r="T31" s="704" t="s">
        <v>14</v>
      </c>
      <c r="U31" s="705">
        <f t="shared" si="13"/>
        <v>100</v>
      </c>
      <c r="V31" s="704" t="s">
        <v>14</v>
      </c>
      <c r="W31" s="705">
        <f t="shared" si="14"/>
        <v>100</v>
      </c>
      <c r="X31" s="1353"/>
      <c r="Y31" s="3717"/>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17"/>
      <c r="Q32" s="1350" t="str">
        <f t="shared" si="11"/>
        <v>公共部分装修</v>
      </c>
      <c r="R32" s="704" t="s">
        <v>14</v>
      </c>
      <c r="S32" s="705">
        <f t="shared" si="12"/>
        <v>100</v>
      </c>
      <c r="T32" s="704" t="s">
        <v>14</v>
      </c>
      <c r="U32" s="705">
        <f t="shared" si="13"/>
        <v>100</v>
      </c>
      <c r="V32" s="704" t="s">
        <v>14</v>
      </c>
      <c r="W32" s="705">
        <f t="shared" si="14"/>
        <v>100</v>
      </c>
      <c r="X32" s="1353"/>
      <c r="Y32" s="3717"/>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17"/>
      <c r="Q33" s="1350" t="str">
        <f t="shared" si="11"/>
        <v>成新度</v>
      </c>
      <c r="R33" s="704" t="s">
        <v>14</v>
      </c>
      <c r="S33" s="705" t="e">
        <f t="shared" si="12"/>
        <v>#N/A</v>
      </c>
      <c r="T33" s="704" t="s">
        <v>14</v>
      </c>
      <c r="U33" s="705" t="e">
        <f t="shared" si="13"/>
        <v>#N/A</v>
      </c>
      <c r="V33" s="704" t="s">
        <v>14</v>
      </c>
      <c r="W33" s="705" t="e">
        <f t="shared" si="14"/>
        <v>#N/A</v>
      </c>
      <c r="X33" s="1353"/>
      <c r="Y33" s="3717"/>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17"/>
      <c r="Q34" s="1341" t="str">
        <f t="shared" si="11"/>
        <v>物业管理</v>
      </c>
      <c r="R34" s="700" t="s">
        <v>14</v>
      </c>
      <c r="S34" s="701">
        <f t="shared" si="12"/>
        <v>100</v>
      </c>
      <c r="T34" s="700" t="s">
        <v>14</v>
      </c>
      <c r="U34" s="701">
        <f t="shared" si="13"/>
        <v>100</v>
      </c>
      <c r="V34" s="700" t="s">
        <v>14</v>
      </c>
      <c r="W34" s="701">
        <f t="shared" si="14"/>
        <v>100</v>
      </c>
      <c r="X34" s="702"/>
      <c r="Y34" s="3717"/>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17" t="s">
        <v>1696</v>
      </c>
      <c r="Q35" s="1350" t="str">
        <f t="shared" si="11"/>
        <v>市政基础设施</v>
      </c>
      <c r="R35" s="704" t="s">
        <v>14</v>
      </c>
      <c r="S35" s="705">
        <f t="shared" si="12"/>
        <v>100</v>
      </c>
      <c r="T35" s="704" t="s">
        <v>14</v>
      </c>
      <c r="U35" s="705">
        <f t="shared" si="13"/>
        <v>100</v>
      </c>
      <c r="V35" s="704" t="s">
        <v>14</v>
      </c>
      <c r="W35" s="705">
        <f t="shared" si="14"/>
        <v>100</v>
      </c>
      <c r="X35" s="1353"/>
      <c r="Y35" s="3717"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17"/>
      <c r="Q36" s="1350" t="str">
        <f t="shared" si="11"/>
        <v>内部装修</v>
      </c>
      <c r="R36" s="704" t="s">
        <v>14</v>
      </c>
      <c r="S36" s="705">
        <f t="shared" si="12"/>
        <v>100</v>
      </c>
      <c r="T36" s="704" t="s">
        <v>14</v>
      </c>
      <c r="U36" s="705">
        <f t="shared" si="13"/>
        <v>100</v>
      </c>
      <c r="V36" s="704" t="s">
        <v>14</v>
      </c>
      <c r="W36" s="705">
        <f t="shared" si="14"/>
        <v>100</v>
      </c>
      <c r="X36" s="1353"/>
      <c r="Y36" s="3717"/>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17"/>
      <c r="Q37" s="1350" t="str">
        <f t="shared" si="11"/>
        <v>内部装修状况</v>
      </c>
      <c r="R37" s="704" t="s">
        <v>14</v>
      </c>
      <c r="S37" s="705">
        <f t="shared" si="12"/>
        <v>100</v>
      </c>
      <c r="T37" s="704" t="s">
        <v>14</v>
      </c>
      <c r="U37" s="705">
        <f t="shared" si="13"/>
        <v>100</v>
      </c>
      <c r="V37" s="704" t="s">
        <v>14</v>
      </c>
      <c r="W37" s="705">
        <f t="shared" si="14"/>
        <v>100</v>
      </c>
      <c r="X37" s="1353"/>
      <c r="Y37" s="3717"/>
      <c r="Z37" s="1354" t="str">
        <f t="shared" si="15"/>
        <v>内部装修状况</v>
      </c>
      <c r="AA37" s="1351">
        <f t="shared" si="3"/>
        <v>1</v>
      </c>
      <c r="AB37" s="1351">
        <f t="shared" si="4"/>
        <v>1</v>
      </c>
      <c r="AC37" s="1351">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17"/>
      <c r="Q38" s="706">
        <f t="shared" si="11"/>
        <v>111</v>
      </c>
      <c r="R38" s="707" t="s">
        <v>14</v>
      </c>
      <c r="S38" s="708">
        <f t="shared" si="12"/>
        <v>100</v>
      </c>
      <c r="T38" s="707" t="s">
        <v>14</v>
      </c>
      <c r="U38" s="708">
        <f t="shared" si="13"/>
        <v>100</v>
      </c>
      <c r="V38" s="707" t="s">
        <v>14</v>
      </c>
      <c r="W38" s="708">
        <f t="shared" si="14"/>
        <v>100</v>
      </c>
      <c r="X38" s="709"/>
      <c r="Y38" s="3717"/>
      <c r="Z38" s="710">
        <f t="shared" si="15"/>
        <v>111</v>
      </c>
      <c r="AA38" s="1351">
        <f t="shared" si="3"/>
        <v>1</v>
      </c>
      <c r="AB38" s="1351">
        <f t="shared" si="4"/>
        <v>1</v>
      </c>
      <c r="AC38" s="1351">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17"/>
      <c r="Q39" s="1350">
        <f t="shared" si="11"/>
        <v>111</v>
      </c>
      <c r="R39" s="704" t="s">
        <v>14</v>
      </c>
      <c r="S39" s="705">
        <f t="shared" si="12"/>
        <v>100</v>
      </c>
      <c r="T39" s="704" t="s">
        <v>14</v>
      </c>
      <c r="U39" s="705">
        <f t="shared" si="13"/>
        <v>100</v>
      </c>
      <c r="V39" s="704" t="s">
        <v>14</v>
      </c>
      <c r="W39" s="705">
        <f t="shared" si="14"/>
        <v>100</v>
      </c>
      <c r="X39" s="1353"/>
      <c r="Y39" s="3717"/>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53"/>
      <c r="Q40" s="1350">
        <f t="shared" si="11"/>
        <v>111</v>
      </c>
      <c r="R40" s="704" t="s">
        <v>14</v>
      </c>
      <c r="S40" s="705">
        <f t="shared" si="12"/>
        <v>100</v>
      </c>
      <c r="T40" s="704" t="s">
        <v>14</v>
      </c>
      <c r="U40" s="705">
        <f t="shared" si="13"/>
        <v>100</v>
      </c>
      <c r="V40" s="704" t="s">
        <v>14</v>
      </c>
      <c r="W40" s="705">
        <f t="shared" si="14"/>
        <v>100</v>
      </c>
      <c r="X40" s="1353"/>
      <c r="Y40" s="3753"/>
      <c r="Z40" s="1354">
        <f t="shared" si="15"/>
        <v>111</v>
      </c>
      <c r="AA40" s="1351">
        <f t="shared" si="3"/>
        <v>1</v>
      </c>
      <c r="AB40" s="1351">
        <f t="shared" si="4"/>
        <v>1</v>
      </c>
      <c r="AC40" s="1351">
        <f t="shared" si="5"/>
        <v>1</v>
      </c>
    </row>
    <row r="41" spans="1:29" ht="15">
      <c r="A41" s="430" t="s">
        <v>1708</v>
      </c>
      <c r="B41" s="431"/>
      <c r="C41" s="1153" t="s">
        <v>0</v>
      </c>
      <c r="D41" s="1154"/>
      <c r="E41" s="1155"/>
      <c r="F41" s="1156"/>
      <c r="G41" s="1157"/>
      <c r="H41" s="1158"/>
      <c r="I41" s="1155"/>
      <c r="J41" s="1158"/>
      <c r="K41" s="713"/>
      <c r="L41" s="925"/>
      <c r="M41" s="926"/>
      <c r="N41" s="913"/>
      <c r="O41" s="926"/>
      <c r="P41" s="3713" t="str">
        <f>A41</f>
        <v>成交单价（元/平方米）</v>
      </c>
      <c r="Q41" s="3713"/>
      <c r="R41" s="3749">
        <f>E41</f>
        <v>0</v>
      </c>
      <c r="S41" s="3749"/>
      <c r="T41" s="3749">
        <f>G41</f>
        <v>0</v>
      </c>
      <c r="U41" s="3749"/>
      <c r="V41" s="3749">
        <f>I41</f>
        <v>0</v>
      </c>
      <c r="W41" s="3749"/>
      <c r="X41" s="689"/>
      <c r="Y41" s="711"/>
      <c r="Z41" s="689"/>
      <c r="AA41" s="689"/>
      <c r="AB41" s="689"/>
      <c r="AC41" s="689"/>
    </row>
    <row r="42" spans="1:29" ht="15.75" thickBot="1">
      <c r="A42" s="437" t="s">
        <v>1793</v>
      </c>
      <c r="B42" s="438"/>
      <c r="C42" s="1159" t="e">
        <f>R43</f>
        <v>#DIV/0!</v>
      </c>
      <c r="D42" s="2315" t="s">
        <v>2137</v>
      </c>
      <c r="E42" s="1160" t="e">
        <f>R42</f>
        <v>#DIV/0!</v>
      </c>
      <c r="F42" s="2316"/>
      <c r="G42" s="1159" t="e">
        <f>T42</f>
        <v>#DIV/0!</v>
      </c>
      <c r="H42" s="2316"/>
      <c r="I42" s="1160" t="e">
        <f>V42</f>
        <v>#DIV/0!</v>
      </c>
      <c r="J42" s="2316"/>
      <c r="K42" s="2318">
        <f>F42+H42+J42</f>
        <v>0</v>
      </c>
      <c r="L42" s="925"/>
      <c r="M42" s="926"/>
      <c r="N42" s="913"/>
      <c r="O42" s="926"/>
      <c r="P42" s="3713" t="str">
        <f>A42</f>
        <v>比较价值（元/平方米）</v>
      </c>
      <c r="Q42" s="3713"/>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707" t="str">
        <f>A43</f>
        <v>估价对象XX用房的比较价值（楼面单价，元/平方米）</v>
      </c>
      <c r="Q43" s="3708"/>
      <c r="R43" s="3748" t="e">
        <f>IF(F1="售价",ROUND(IF(D42="简单平均",AVERAGE(R42:V42),R42*F42+T42*H42+V42*J42),0),ROUND(IF(D42="简单平均",AVERAGE(R42:V42),R42*F42+T42*H42+V42*J42),1))</f>
        <v>#DIV/0!</v>
      </c>
      <c r="S43" s="3748"/>
      <c r="T43" s="3748"/>
      <c r="U43" s="3748"/>
      <c r="V43" s="3748"/>
      <c r="W43" s="3748"/>
      <c r="X43" s="689"/>
      <c r="Y43" s="689"/>
      <c r="Z43" s="689"/>
      <c r="AA43" s="689"/>
      <c r="AB43" s="689"/>
      <c r="AC43" s="689"/>
    </row>
    <row r="44" spans="1:29">
      <c r="A44" s="2723"/>
      <c r="B44" s="2723"/>
      <c r="C44" s="2723"/>
      <c r="D44" s="2723"/>
      <c r="E44" s="2723"/>
      <c r="F44" s="2723"/>
      <c r="G44" s="2727"/>
      <c r="H44" s="2723"/>
      <c r="I44" s="2723"/>
      <c r="J44" s="2723"/>
      <c r="K44" s="2728"/>
      <c r="L44" s="888"/>
      <c r="M44" s="926"/>
      <c r="N44" s="926"/>
      <c r="O44" s="926"/>
    </row>
    <row r="45" spans="1:29">
      <c r="A45" s="2723"/>
      <c r="B45" s="2723"/>
      <c r="C45" s="2723"/>
      <c r="D45" s="2723"/>
      <c r="E45" s="2723"/>
      <c r="F45" s="2723"/>
      <c r="G45" s="2723"/>
      <c r="H45" s="2723"/>
      <c r="I45" s="2723"/>
      <c r="J45" s="2723"/>
      <c r="K45" s="2728"/>
      <c r="L45" s="888"/>
      <c r="M45" s="926"/>
      <c r="N45" s="926"/>
      <c r="O45" s="926"/>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8"/>
      <c r="M46" s="926"/>
      <c r="N46" s="926"/>
      <c r="O46" s="926"/>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8"/>
      <c r="M47" s="926"/>
      <c r="N47" s="926"/>
      <c r="O47" s="926"/>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9"/>
      <c r="M48" s="927"/>
      <c r="N48" s="927"/>
      <c r="O48" s="927"/>
    </row>
    <row r="49" spans="1:17" s="451" customFormat="1">
      <c r="A49" s="2726"/>
      <c r="B49" s="2729"/>
      <c r="C49" s="2730"/>
      <c r="D49" s="2726"/>
      <c r="E49" s="2726"/>
      <c r="F49" s="2726"/>
      <c r="G49" s="2726"/>
      <c r="H49" s="2726"/>
      <c r="I49" s="2726"/>
      <c r="J49" s="2726"/>
      <c r="K49" s="2731"/>
      <c r="L49" s="929"/>
      <c r="M49" s="927"/>
      <c r="N49" s="927"/>
      <c r="O49" s="927"/>
    </row>
    <row r="50" spans="1:17">
      <c r="A50" s="2723"/>
      <c r="B50" s="2729"/>
      <c r="C50" s="2730"/>
      <c r="D50" s="2723"/>
      <c r="E50" s="2723"/>
      <c r="F50" s="2723"/>
      <c r="G50" s="2723"/>
      <c r="H50" s="2723"/>
      <c r="I50" s="2723"/>
      <c r="J50" s="2723"/>
      <c r="K50" s="2728"/>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2" t="str">
        <f>YEAR(C7)&amp;"-"&amp;MONTH(C7)</f>
        <v>2024-10</v>
      </c>
      <c r="D52" s="1183">
        <f>EDATE(C52,-1)</f>
        <v>45536</v>
      </c>
      <c r="E52" s="1183">
        <f t="shared" ref="E52:O52" si="16">EDATE(D52,-1)</f>
        <v>45505</v>
      </c>
      <c r="F52" s="1183">
        <f t="shared" si="16"/>
        <v>45474</v>
      </c>
      <c r="G52" s="1183">
        <f t="shared" si="16"/>
        <v>45444</v>
      </c>
      <c r="H52" s="1183">
        <f t="shared" si="16"/>
        <v>45413</v>
      </c>
      <c r="I52" s="1183">
        <f t="shared" si="16"/>
        <v>45383</v>
      </c>
      <c r="J52" s="1183">
        <f t="shared" si="16"/>
        <v>45352</v>
      </c>
      <c r="K52" s="1183">
        <f t="shared" si="16"/>
        <v>45323</v>
      </c>
      <c r="L52" s="1183">
        <f t="shared" si="16"/>
        <v>45292</v>
      </c>
      <c r="M52" s="1183">
        <f t="shared" si="16"/>
        <v>45261</v>
      </c>
      <c r="N52" s="1183">
        <f t="shared" si="16"/>
        <v>45231</v>
      </c>
      <c r="O52" s="1183">
        <f t="shared" si="16"/>
        <v>45200</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6"/>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6"/>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3333</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2"/>
      <c r="M2" s="2733"/>
      <c r="N2" s="2733"/>
      <c r="O2" s="2733"/>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2"/>
      <c r="M3" s="2733" t="e">
        <f ca="1">IF(C2="——",IF(B37="元/平方米",ROUND(C39*D3/10000,0),ROUND(F3*C39/10000,0)),IF(B37="元/平方米",ROUND(C39*D3/10000,0),ROUND(F3*C39/10000,0))-D2)</f>
        <v>#DIV/0!</v>
      </c>
      <c r="N3" s="2733"/>
      <c r="O3" s="2733"/>
      <c r="P3" s="1164"/>
      <c r="Q3" s="698"/>
      <c r="R3" s="698"/>
      <c r="S3" s="698"/>
      <c r="T3" s="698"/>
      <c r="U3" s="698"/>
      <c r="V3" s="698"/>
      <c r="W3" s="698"/>
      <c r="X3" s="698"/>
      <c r="Y3" s="698"/>
      <c r="Z3" s="698"/>
      <c r="AA3" s="698"/>
      <c r="AB3" s="715"/>
      <c r="AC3" s="712"/>
    </row>
    <row r="4" spans="1:29" ht="15">
      <c r="A4" s="355" t="s">
        <v>1769</v>
      </c>
      <c r="B4" s="356"/>
      <c r="C4" s="3710" t="s">
        <v>1770</v>
      </c>
      <c r="D4" s="3722"/>
      <c r="E4" s="3723" t="s">
        <v>1771</v>
      </c>
      <c r="F4" s="3724"/>
      <c r="G4" s="3710" t="s">
        <v>1772</v>
      </c>
      <c r="H4" s="3722"/>
      <c r="I4" s="3710" t="s">
        <v>1773</v>
      </c>
      <c r="J4" s="3722"/>
      <c r="K4" s="559" t="s">
        <v>1774</v>
      </c>
      <c r="L4" s="2713"/>
      <c r="M4" s="2714"/>
      <c r="N4" s="2714"/>
      <c r="O4" s="2714"/>
      <c r="P4" s="3725" t="s">
        <v>1775</v>
      </c>
      <c r="Q4" s="3726"/>
      <c r="R4" s="3731" t="s">
        <v>1771</v>
      </c>
      <c r="S4" s="3732"/>
      <c r="T4" s="3731" t="s">
        <v>1772</v>
      </c>
      <c r="U4" s="3732"/>
      <c r="V4" s="3718" t="s">
        <v>1773</v>
      </c>
      <c r="W4" s="3718"/>
      <c r="X4" s="1353"/>
      <c r="Y4" s="3731" t="s">
        <v>1775</v>
      </c>
      <c r="Z4" s="3732"/>
      <c r="AA4" s="3719" t="s">
        <v>1771</v>
      </c>
      <c r="AB4" s="3720" t="s">
        <v>1772</v>
      </c>
      <c r="AC4" s="3719" t="s">
        <v>1773</v>
      </c>
    </row>
    <row r="5" spans="1:29" ht="15">
      <c r="A5" s="358"/>
      <c r="B5" s="359"/>
      <c r="C5" s="3739" t="s">
        <v>1673</v>
      </c>
      <c r="D5" s="3740"/>
      <c r="E5" s="3746" t="s">
        <v>1674</v>
      </c>
      <c r="F5" s="3747"/>
      <c r="G5" s="3739" t="s">
        <v>1675</v>
      </c>
      <c r="H5" s="3740"/>
      <c r="I5" s="3739" t="s">
        <v>1676</v>
      </c>
      <c r="J5" s="3740"/>
      <c r="K5" s="559"/>
      <c r="L5" s="2713"/>
      <c r="M5" s="2714"/>
      <c r="N5" s="2714"/>
      <c r="O5" s="2714"/>
      <c r="P5" s="3727"/>
      <c r="Q5" s="3728"/>
      <c r="R5" s="3733"/>
      <c r="S5" s="3734"/>
      <c r="T5" s="3733"/>
      <c r="U5" s="3734"/>
      <c r="V5" s="3718"/>
      <c r="W5" s="3718"/>
      <c r="X5" s="1353"/>
      <c r="Y5" s="3733"/>
      <c r="Z5" s="3734"/>
      <c r="AA5" s="3720"/>
      <c r="AB5" s="3720"/>
      <c r="AC5" s="3720"/>
    </row>
    <row r="6" spans="1:29" ht="15.75" thickBot="1">
      <c r="A6" s="360"/>
      <c r="B6" s="361"/>
      <c r="C6" s="3737" t="s">
        <v>1677</v>
      </c>
      <c r="D6" s="3738"/>
      <c r="E6" s="3744" t="s">
        <v>1677</v>
      </c>
      <c r="F6" s="3745"/>
      <c r="G6" s="3737" t="s">
        <v>1677</v>
      </c>
      <c r="H6" s="3738"/>
      <c r="I6" s="3737" t="s">
        <v>1677</v>
      </c>
      <c r="J6" s="3738"/>
      <c r="K6" s="559" t="s">
        <v>1678</v>
      </c>
      <c r="L6" s="2713"/>
      <c r="M6" s="2714"/>
      <c r="N6" s="2714"/>
      <c r="O6" s="2714"/>
      <c r="P6" s="3729"/>
      <c r="Q6" s="3730"/>
      <c r="R6" s="3733"/>
      <c r="S6" s="3734"/>
      <c r="T6" s="3735"/>
      <c r="U6" s="3736"/>
      <c r="V6" s="3718"/>
      <c r="W6" s="3718"/>
      <c r="X6" s="1353"/>
      <c r="Y6" s="3735"/>
      <c r="Z6" s="3736"/>
      <c r="AA6" s="3721"/>
      <c r="AB6" s="3721"/>
      <c r="AC6" s="3721"/>
    </row>
    <row r="7" spans="1:29" s="108" customFormat="1" ht="15.75" thickBot="1">
      <c r="A7" s="362" t="s">
        <v>1679</v>
      </c>
      <c r="B7" s="363"/>
      <c r="C7" s="364">
        <f>'数据-取费表'!B2</f>
        <v>45581</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41" t="s">
        <v>1680</v>
      </c>
      <c r="Q7" s="3743"/>
      <c r="R7" s="700" t="s">
        <v>14</v>
      </c>
      <c r="S7" s="701">
        <f t="shared" ref="S7:S14" si="0">F7</f>
        <v>0</v>
      </c>
      <c r="T7" s="700" t="s">
        <v>14</v>
      </c>
      <c r="U7" s="701">
        <f t="shared" ref="U7:U14" si="1">H7</f>
        <v>0</v>
      </c>
      <c r="V7" s="700" t="s">
        <v>14</v>
      </c>
      <c r="W7" s="701">
        <f t="shared" ref="W7:W14" si="2">J7</f>
        <v>0</v>
      </c>
      <c r="X7" s="702"/>
      <c r="Y7" s="3741" t="s">
        <v>1680</v>
      </c>
      <c r="Z7" s="3742"/>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41" t="s">
        <v>1683</v>
      </c>
      <c r="Q8" s="3742"/>
      <c r="R8" s="700" t="s">
        <v>14</v>
      </c>
      <c r="S8" s="701">
        <f t="shared" si="0"/>
        <v>100</v>
      </c>
      <c r="T8" s="700" t="s">
        <v>14</v>
      </c>
      <c r="U8" s="701">
        <f t="shared" si="1"/>
        <v>100</v>
      </c>
      <c r="V8" s="700" t="s">
        <v>14</v>
      </c>
      <c r="W8" s="701">
        <f t="shared" si="2"/>
        <v>100</v>
      </c>
      <c r="X8" s="702"/>
      <c r="Y8" s="3741" t="s">
        <v>1683</v>
      </c>
      <c r="Z8" s="3742"/>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13" t="s">
        <v>1686</v>
      </c>
      <c r="Q9" s="1341" t="str">
        <f t="shared" ref="Q9:Q14" si="6">B9</f>
        <v>用途</v>
      </c>
      <c r="R9" s="700" t="s">
        <v>14</v>
      </c>
      <c r="S9" s="701">
        <f t="shared" si="0"/>
        <v>100</v>
      </c>
      <c r="T9" s="700" t="s">
        <v>14</v>
      </c>
      <c r="U9" s="701">
        <f t="shared" si="1"/>
        <v>100</v>
      </c>
      <c r="V9" s="700" t="s">
        <v>14</v>
      </c>
      <c r="W9" s="701">
        <f t="shared" si="2"/>
        <v>100</v>
      </c>
      <c r="X9" s="702"/>
      <c r="Y9" s="3565" t="s">
        <v>1687</v>
      </c>
      <c r="Z9" s="52" t="str">
        <f t="shared" ref="Z9:Z14" si="7">Q9</f>
        <v>用途</v>
      </c>
      <c r="AA9" s="703">
        <f t="shared" si="3"/>
        <v>1</v>
      </c>
      <c r="AB9" s="703">
        <f t="shared" si="4"/>
        <v>1</v>
      </c>
      <c r="AC9" s="703">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13"/>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13"/>
      <c r="Q11" s="1341">
        <f t="shared" si="6"/>
        <v>111</v>
      </c>
      <c r="R11" s="700" t="s">
        <v>14</v>
      </c>
      <c r="S11" s="701">
        <f t="shared" si="0"/>
        <v>100</v>
      </c>
      <c r="T11" s="700" t="s">
        <v>14</v>
      </c>
      <c r="U11" s="701">
        <f t="shared" si="1"/>
        <v>100</v>
      </c>
      <c r="V11" s="700" t="s">
        <v>14</v>
      </c>
      <c r="W11" s="701">
        <f t="shared" si="2"/>
        <v>100</v>
      </c>
      <c r="X11" s="702"/>
      <c r="Y11" s="3565"/>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13"/>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13"/>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703">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14" t="s">
        <v>1691</v>
      </c>
      <c r="Q14" s="1350" t="str">
        <f t="shared" si="6"/>
        <v>交通便捷度</v>
      </c>
      <c r="R14" s="704" t="s">
        <v>14</v>
      </c>
      <c r="S14" s="705">
        <f t="shared" si="0"/>
        <v>100</v>
      </c>
      <c r="T14" s="704" t="s">
        <v>14</v>
      </c>
      <c r="U14" s="705">
        <f t="shared" si="1"/>
        <v>100</v>
      </c>
      <c r="V14" s="704" t="s">
        <v>14</v>
      </c>
      <c r="W14" s="705">
        <f t="shared" si="2"/>
        <v>100</v>
      </c>
      <c r="X14" s="1353"/>
      <c r="Y14" s="3714"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715"/>
      <c r="Q15" s="1350"/>
      <c r="R15" s="704"/>
      <c r="S15" s="705"/>
      <c r="T15" s="704"/>
      <c r="U15" s="705"/>
      <c r="V15" s="704"/>
      <c r="W15" s="705"/>
      <c r="X15" s="1353"/>
      <c r="Y15" s="3715"/>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15"/>
      <c r="Q16" s="1350" t="str">
        <f>B16</f>
        <v>公共配套设施</v>
      </c>
      <c r="R16" s="704" t="s">
        <v>14</v>
      </c>
      <c r="S16" s="705">
        <f>F16</f>
        <v>100</v>
      </c>
      <c r="T16" s="704" t="s">
        <v>14</v>
      </c>
      <c r="U16" s="705">
        <f>H16</f>
        <v>100</v>
      </c>
      <c r="V16" s="704" t="s">
        <v>14</v>
      </c>
      <c r="W16" s="705">
        <f>J16</f>
        <v>100</v>
      </c>
      <c r="X16" s="1353"/>
      <c r="Y16" s="3715"/>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715"/>
      <c r="Q17" s="1350"/>
      <c r="R17" s="704"/>
      <c r="S17" s="705"/>
      <c r="T17" s="704"/>
      <c r="U17" s="705"/>
      <c r="V17" s="704"/>
      <c r="W17" s="705"/>
      <c r="X17" s="1353"/>
      <c r="Y17" s="3715"/>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15"/>
      <c r="Q18" s="1350" t="str">
        <f>B18</f>
        <v>基础设施水平</v>
      </c>
      <c r="R18" s="704" t="s">
        <v>14</v>
      </c>
      <c r="S18" s="705">
        <f>F18</f>
        <v>100</v>
      </c>
      <c r="T18" s="704" t="s">
        <v>14</v>
      </c>
      <c r="U18" s="705">
        <f>H18</f>
        <v>100</v>
      </c>
      <c r="V18" s="704" t="s">
        <v>14</v>
      </c>
      <c r="W18" s="705">
        <f>J18</f>
        <v>100</v>
      </c>
      <c r="X18" s="1353"/>
      <c r="Y18" s="3715"/>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9"/>
      <c r="L19" s="2720"/>
      <c r="M19" s="2714"/>
      <c r="N19" s="2714"/>
      <c r="O19" s="2714"/>
      <c r="P19" s="3715"/>
      <c r="Q19" s="1350"/>
      <c r="R19" s="704"/>
      <c r="S19" s="705"/>
      <c r="T19" s="704"/>
      <c r="U19" s="705"/>
      <c r="V19" s="704"/>
      <c r="W19" s="705"/>
      <c r="X19" s="1353"/>
      <c r="Y19" s="3715"/>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15"/>
      <c r="Q20" s="1350" t="str">
        <f>B20</f>
        <v>自然及人文环境</v>
      </c>
      <c r="R20" s="704" t="s">
        <v>14</v>
      </c>
      <c r="S20" s="705">
        <f>F20</f>
        <v>100</v>
      </c>
      <c r="T20" s="704" t="s">
        <v>14</v>
      </c>
      <c r="U20" s="705">
        <f>H20</f>
        <v>100</v>
      </c>
      <c r="V20" s="704" t="s">
        <v>14</v>
      </c>
      <c r="W20" s="705">
        <f>J20</f>
        <v>100</v>
      </c>
      <c r="X20" s="1353"/>
      <c r="Y20" s="3715"/>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715"/>
      <c r="Q21" s="1350"/>
      <c r="R21" s="704"/>
      <c r="S21" s="705"/>
      <c r="T21" s="704"/>
      <c r="U21" s="705"/>
      <c r="V21" s="704"/>
      <c r="W21" s="705"/>
      <c r="X21" s="1353"/>
      <c r="Y21" s="3715"/>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15"/>
      <c r="Q22" s="1350" t="str">
        <f>B22</f>
        <v>楼层</v>
      </c>
      <c r="R22" s="704" t="s">
        <v>14</v>
      </c>
      <c r="S22" s="705">
        <f>F22</f>
        <v>100</v>
      </c>
      <c r="T22" s="704" t="s">
        <v>14</v>
      </c>
      <c r="U22" s="705">
        <f>H22</f>
        <v>100</v>
      </c>
      <c r="V22" s="704" t="s">
        <v>14</v>
      </c>
      <c r="W22" s="705">
        <f>J22</f>
        <v>100</v>
      </c>
      <c r="X22" s="1353"/>
      <c r="Y22" s="3715"/>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15"/>
      <c r="Q23" s="1350">
        <f>B23</f>
        <v>111</v>
      </c>
      <c r="R23" s="704" t="s">
        <v>14</v>
      </c>
      <c r="S23" s="705">
        <f>F23</f>
        <v>100</v>
      </c>
      <c r="T23" s="704" t="s">
        <v>14</v>
      </c>
      <c r="U23" s="705">
        <f>H23</f>
        <v>100</v>
      </c>
      <c r="V23" s="704" t="s">
        <v>14</v>
      </c>
      <c r="W23" s="705">
        <f>J23</f>
        <v>100</v>
      </c>
      <c r="X23" s="1353"/>
      <c r="Y23" s="3715"/>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15"/>
      <c r="Q24" s="1350">
        <f t="shared" ref="Q24:Q36" si="11">B24</f>
        <v>111</v>
      </c>
      <c r="R24" s="704" t="s">
        <v>14</v>
      </c>
      <c r="S24" s="705">
        <f>F24</f>
        <v>100</v>
      </c>
      <c r="T24" s="704" t="s">
        <v>14</v>
      </c>
      <c r="U24" s="705">
        <f>H24</f>
        <v>100</v>
      </c>
      <c r="V24" s="704" t="s">
        <v>14</v>
      </c>
      <c r="W24" s="705">
        <f>J24</f>
        <v>100</v>
      </c>
      <c r="X24" s="1353"/>
      <c r="Y24" s="3715"/>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15"/>
      <c r="Q25" s="1341">
        <f t="shared" si="11"/>
        <v>111</v>
      </c>
      <c r="R25" s="700" t="s">
        <v>14</v>
      </c>
      <c r="S25" s="701">
        <f>F25</f>
        <v>100</v>
      </c>
      <c r="T25" s="700" t="s">
        <v>14</v>
      </c>
      <c r="U25" s="701">
        <f>H25</f>
        <v>100</v>
      </c>
      <c r="V25" s="700" t="s">
        <v>14</v>
      </c>
      <c r="W25" s="701">
        <f>J25</f>
        <v>100</v>
      </c>
      <c r="X25" s="702"/>
      <c r="Y25" s="3715"/>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16" t="s">
        <v>1696</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717"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7"/>
      <c r="Q27" s="706" t="str">
        <f t="shared" si="11"/>
        <v>项目停车位配比</v>
      </c>
      <c r="R27" s="707" t="s">
        <v>14</v>
      </c>
      <c r="S27" s="708">
        <f t="shared" si="12"/>
        <v>100</v>
      </c>
      <c r="T27" s="707" t="s">
        <v>14</v>
      </c>
      <c r="U27" s="708">
        <f t="shared" si="13"/>
        <v>100</v>
      </c>
      <c r="V27" s="707" t="s">
        <v>14</v>
      </c>
      <c r="W27" s="708">
        <f t="shared" si="14"/>
        <v>100</v>
      </c>
      <c r="X27" s="709"/>
      <c r="Y27" s="3717"/>
      <c r="Z27" s="710"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7"/>
      <c r="Q28" s="1350" t="str">
        <f t="shared" si="11"/>
        <v>公共部分装修</v>
      </c>
      <c r="R28" s="704" t="s">
        <v>14</v>
      </c>
      <c r="S28" s="705">
        <f t="shared" si="12"/>
        <v>100</v>
      </c>
      <c r="T28" s="704" t="s">
        <v>14</v>
      </c>
      <c r="U28" s="705">
        <f t="shared" si="13"/>
        <v>100</v>
      </c>
      <c r="V28" s="704" t="s">
        <v>14</v>
      </c>
      <c r="W28" s="705">
        <f t="shared" si="14"/>
        <v>100</v>
      </c>
      <c r="X28" s="1353"/>
      <c r="Y28" s="3717"/>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7"/>
      <c r="Q29" s="1350" t="str">
        <f t="shared" si="11"/>
        <v>成新率</v>
      </c>
      <c r="R29" s="704" t="s">
        <v>14</v>
      </c>
      <c r="S29" s="705" t="e">
        <f t="shared" si="12"/>
        <v>#N/A</v>
      </c>
      <c r="T29" s="704" t="s">
        <v>14</v>
      </c>
      <c r="U29" s="705" t="e">
        <f t="shared" si="13"/>
        <v>#N/A</v>
      </c>
      <c r="V29" s="704" t="s">
        <v>14</v>
      </c>
      <c r="W29" s="705" t="e">
        <f t="shared" si="14"/>
        <v>#N/A</v>
      </c>
      <c r="X29" s="1353"/>
      <c r="Y29" s="3717"/>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7"/>
      <c r="Q30" s="1350" t="str">
        <f t="shared" si="11"/>
        <v>物业等级</v>
      </c>
      <c r="R30" s="704" t="s">
        <v>14</v>
      </c>
      <c r="S30" s="705">
        <f t="shared" si="12"/>
        <v>100</v>
      </c>
      <c r="T30" s="704" t="s">
        <v>14</v>
      </c>
      <c r="U30" s="705">
        <f t="shared" si="13"/>
        <v>100</v>
      </c>
      <c r="V30" s="704" t="s">
        <v>14</v>
      </c>
      <c r="W30" s="705">
        <f t="shared" si="14"/>
        <v>100</v>
      </c>
      <c r="X30" s="1353"/>
      <c r="Y30" s="3717"/>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7"/>
      <c r="Q31" s="1341" t="str">
        <f t="shared" si="11"/>
        <v>停车位面积</v>
      </c>
      <c r="R31" s="700" t="s">
        <v>14</v>
      </c>
      <c r="S31" s="701" t="e">
        <f t="shared" si="12"/>
        <v>#N/A</v>
      </c>
      <c r="T31" s="700" t="s">
        <v>14</v>
      </c>
      <c r="U31" s="701" t="e">
        <f t="shared" si="13"/>
        <v>#N/A</v>
      </c>
      <c r="V31" s="700" t="s">
        <v>14</v>
      </c>
      <c r="W31" s="701" t="e">
        <f t="shared" si="14"/>
        <v>#N/A</v>
      </c>
      <c r="X31" s="702"/>
      <c r="Y31" s="3717"/>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7" t="s">
        <v>1696</v>
      </c>
      <c r="Q32" s="1350" t="str">
        <f t="shared" si="11"/>
        <v>车位类型</v>
      </c>
      <c r="R32" s="704" t="s">
        <v>14</v>
      </c>
      <c r="S32" s="705">
        <f t="shared" si="12"/>
        <v>100</v>
      </c>
      <c r="T32" s="704" t="s">
        <v>14</v>
      </c>
      <c r="U32" s="705">
        <f t="shared" si="13"/>
        <v>100</v>
      </c>
      <c r="V32" s="704" t="s">
        <v>14</v>
      </c>
      <c r="W32" s="705">
        <f t="shared" si="14"/>
        <v>100</v>
      </c>
      <c r="X32" s="1353"/>
      <c r="Y32" s="3717"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7"/>
      <c r="Q33" s="1350" t="str">
        <f t="shared" si="11"/>
        <v>是否直接入户</v>
      </c>
      <c r="R33" s="704" t="s">
        <v>14</v>
      </c>
      <c r="S33" s="705">
        <f t="shared" si="12"/>
        <v>100</v>
      </c>
      <c r="T33" s="704" t="s">
        <v>14</v>
      </c>
      <c r="U33" s="705">
        <f t="shared" si="13"/>
        <v>100</v>
      </c>
      <c r="V33" s="704" t="s">
        <v>14</v>
      </c>
      <c r="W33" s="705">
        <f t="shared" si="14"/>
        <v>100</v>
      </c>
      <c r="X33" s="1353"/>
      <c r="Y33" s="3717"/>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7"/>
      <c r="Q34" s="1350">
        <f t="shared" si="11"/>
        <v>111</v>
      </c>
      <c r="R34" s="704" t="s">
        <v>14</v>
      </c>
      <c r="S34" s="705">
        <f t="shared" si="12"/>
        <v>100</v>
      </c>
      <c r="T34" s="704" t="s">
        <v>14</v>
      </c>
      <c r="U34" s="705">
        <f t="shared" si="13"/>
        <v>100</v>
      </c>
      <c r="V34" s="704" t="s">
        <v>14</v>
      </c>
      <c r="W34" s="705">
        <f t="shared" si="14"/>
        <v>100</v>
      </c>
      <c r="X34" s="1353"/>
      <c r="Y34" s="3717"/>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7"/>
      <c r="Q35" s="706">
        <f t="shared" si="11"/>
        <v>111</v>
      </c>
      <c r="R35" s="707" t="s">
        <v>14</v>
      </c>
      <c r="S35" s="708">
        <f t="shared" si="12"/>
        <v>100</v>
      </c>
      <c r="T35" s="707" t="s">
        <v>14</v>
      </c>
      <c r="U35" s="708">
        <f t="shared" si="13"/>
        <v>100</v>
      </c>
      <c r="V35" s="707" t="s">
        <v>14</v>
      </c>
      <c r="W35" s="708">
        <f t="shared" si="14"/>
        <v>100</v>
      </c>
      <c r="X35" s="709"/>
      <c r="Y35" s="3717"/>
      <c r="Z35" s="710">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7"/>
      <c r="Q36" s="1350">
        <f t="shared" si="11"/>
        <v>111</v>
      </c>
      <c r="R36" s="704" t="s">
        <v>14</v>
      </c>
      <c r="S36" s="705">
        <f t="shared" si="12"/>
        <v>100</v>
      </c>
      <c r="T36" s="704" t="s">
        <v>14</v>
      </c>
      <c r="U36" s="705">
        <f t="shared" si="13"/>
        <v>100</v>
      </c>
      <c r="V36" s="704" t="s">
        <v>14</v>
      </c>
      <c r="W36" s="705">
        <f t="shared" si="14"/>
        <v>100</v>
      </c>
      <c r="X36" s="1353"/>
      <c r="Y36" s="3717"/>
      <c r="Z36" s="1354">
        <f t="shared" si="15"/>
        <v>111</v>
      </c>
      <c r="AA36" s="1351">
        <f t="shared" si="3"/>
        <v>1</v>
      </c>
      <c r="AB36" s="1351">
        <f t="shared" si="4"/>
        <v>1</v>
      </c>
      <c r="AC36" s="1351">
        <f t="shared" si="5"/>
        <v>1</v>
      </c>
    </row>
    <row r="37" spans="1:29" ht="15">
      <c r="A37" s="430" t="s">
        <v>1844</v>
      </c>
      <c r="B37" s="1971" t="s">
        <v>3354</v>
      </c>
      <c r="C37" s="1153" t="s">
        <v>0</v>
      </c>
      <c r="D37" s="1154"/>
      <c r="E37" s="1155"/>
      <c r="F37" s="1156"/>
      <c r="G37" s="1157"/>
      <c r="H37" s="1158"/>
      <c r="I37" s="1155"/>
      <c r="J37" s="1158"/>
      <c r="K37" s="568"/>
      <c r="L37" s="2722"/>
      <c r="M37" s="2723"/>
      <c r="N37" s="2714"/>
      <c r="O37" s="2723"/>
      <c r="P37" s="3713" t="str">
        <f>A37</f>
        <v>成交单价</v>
      </c>
      <c r="Q37" s="3713"/>
      <c r="R37" s="3749">
        <f>E37</f>
        <v>0</v>
      </c>
      <c r="S37" s="3749"/>
      <c r="T37" s="3749">
        <f>G37</f>
        <v>0</v>
      </c>
      <c r="U37" s="3749"/>
      <c r="V37" s="3749">
        <f>I37</f>
        <v>0</v>
      </c>
      <c r="W37" s="3749"/>
      <c r="X37" s="689"/>
      <c r="Y37" s="711"/>
      <c r="Z37" s="689"/>
      <c r="AA37" s="689"/>
      <c r="AB37" s="689"/>
      <c r="AC37" s="689"/>
    </row>
    <row r="38" spans="1:29" ht="15.75" thickBot="1">
      <c r="A38" s="437" t="s">
        <v>1845</v>
      </c>
      <c r="B38" s="438" t="str">
        <f>B37</f>
        <v>元/平方米</v>
      </c>
      <c r="C38" s="1159" t="e">
        <f>R39</f>
        <v>#DIV/0!</v>
      </c>
      <c r="D38" s="2315" t="s">
        <v>2137</v>
      </c>
      <c r="E38" s="1160" t="e">
        <f>R38</f>
        <v>#DIV/0!</v>
      </c>
      <c r="F38" s="2316"/>
      <c r="G38" s="1159" t="e">
        <f>T38</f>
        <v>#DIV/0!</v>
      </c>
      <c r="H38" s="2316"/>
      <c r="I38" s="1160" t="e">
        <f>V38</f>
        <v>#DIV/0!</v>
      </c>
      <c r="J38" s="2316"/>
      <c r="K38" s="2318">
        <f>F38+H38+J38</f>
        <v>0</v>
      </c>
      <c r="L38" s="2722"/>
      <c r="M38" s="2723"/>
      <c r="N38" s="2723"/>
      <c r="O38" s="2723"/>
      <c r="P38" s="3713" t="str">
        <f>A38</f>
        <v>比较价值（元/平方米）</v>
      </c>
      <c r="Q38" s="3713"/>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9"/>
      <c r="L39" s="2722"/>
      <c r="M39" s="2723"/>
      <c r="N39" s="2723"/>
      <c r="O39" s="2723"/>
      <c r="P39" s="3707" t="str">
        <f>A39</f>
        <v>估价对象XX用房的比较价值（楼面单价，元/平方米）</v>
      </c>
      <c r="Q39" s="3708"/>
      <c r="R39" s="3775" t="e">
        <f>IF(F1="售价",ROUND(IF(D38="简单平均",AVERAGE(R38:W38),R38*F38+T38*H38+V38*J38),0),ROUND(IF(D38="简单平均",AVERAGE(R38:V38),R38*F38+T38*H38+V38*J38),1))</f>
        <v>#DIV/0!</v>
      </c>
      <c r="S39" s="3775"/>
      <c r="T39" s="3775"/>
      <c r="U39" s="3775"/>
      <c r="V39" s="3775"/>
      <c r="W39" s="3775"/>
      <c r="X39" s="689"/>
      <c r="Y39" s="689"/>
      <c r="Z39" s="689"/>
      <c r="AA39" s="689"/>
      <c r="AB39" s="689"/>
      <c r="AC39" s="689"/>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6"/>
      <c r="C47" s="939"/>
      <c r="D47" s="939"/>
      <c r="E47" s="939"/>
      <c r="F47" s="1166"/>
      <c r="G47" s="1166"/>
      <c r="H47" s="939"/>
      <c r="I47" s="939"/>
      <c r="J47" s="939"/>
      <c r="K47" s="940"/>
      <c r="L47" s="941"/>
      <c r="M47" s="939"/>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2024-10</v>
      </c>
      <c r="D48" s="1183">
        <f>EDATE(C48,-1)</f>
        <v>45536</v>
      </c>
      <c r="E48" s="1183">
        <f t="shared" ref="E48:O48" si="16">EDATE(D48,-1)</f>
        <v>45505</v>
      </c>
      <c r="F48" s="1183">
        <f t="shared" si="16"/>
        <v>45474</v>
      </c>
      <c r="G48" s="1183">
        <f t="shared" si="16"/>
        <v>45444</v>
      </c>
      <c r="H48" s="1183">
        <f t="shared" si="16"/>
        <v>45413</v>
      </c>
      <c r="I48" s="1183">
        <f t="shared" si="16"/>
        <v>45383</v>
      </c>
      <c r="J48" s="1183">
        <f t="shared" si="16"/>
        <v>45352</v>
      </c>
      <c r="K48" s="1183">
        <f t="shared" si="16"/>
        <v>45323</v>
      </c>
      <c r="L48" s="1183">
        <f t="shared" si="16"/>
        <v>45292</v>
      </c>
      <c r="M48" s="1183">
        <f t="shared" si="16"/>
        <v>45261</v>
      </c>
      <c r="N48" s="1183">
        <f t="shared" si="16"/>
        <v>45231</v>
      </c>
      <c r="O48" s="1183">
        <f t="shared" si="16"/>
        <v>45200</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3334</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3"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710" t="s">
        <v>1770</v>
      </c>
      <c r="D4" s="3722"/>
      <c r="E4" s="3723" t="s">
        <v>1771</v>
      </c>
      <c r="F4" s="3724"/>
      <c r="G4" s="3710" t="s">
        <v>1772</v>
      </c>
      <c r="H4" s="3722"/>
      <c r="I4" s="3710" t="s">
        <v>1773</v>
      </c>
      <c r="J4" s="3722"/>
      <c r="K4" s="559" t="s">
        <v>1774</v>
      </c>
      <c r="L4" s="2713"/>
      <c r="M4" s="2714"/>
      <c r="N4" s="2714"/>
      <c r="O4" s="2714"/>
      <c r="P4" s="3725" t="s">
        <v>1775</v>
      </c>
      <c r="Q4" s="3726"/>
      <c r="R4" s="3731" t="s">
        <v>1771</v>
      </c>
      <c r="S4" s="3732"/>
      <c r="T4" s="3731" t="s">
        <v>1772</v>
      </c>
      <c r="U4" s="3732"/>
      <c r="V4" s="3718" t="s">
        <v>1773</v>
      </c>
      <c r="W4" s="3718"/>
      <c r="X4" s="1353"/>
      <c r="Y4" s="3731" t="s">
        <v>1775</v>
      </c>
      <c r="Z4" s="3732"/>
      <c r="AA4" s="3719" t="s">
        <v>1771</v>
      </c>
      <c r="AB4" s="3720" t="s">
        <v>1772</v>
      </c>
      <c r="AC4" s="3719" t="s">
        <v>1773</v>
      </c>
    </row>
    <row r="5" spans="1:29" ht="15">
      <c r="A5" s="358"/>
      <c r="B5" s="359"/>
      <c r="C5" s="3739" t="s">
        <v>1673</v>
      </c>
      <c r="D5" s="3740"/>
      <c r="E5" s="3746" t="s">
        <v>1674</v>
      </c>
      <c r="F5" s="3747"/>
      <c r="G5" s="3739" t="s">
        <v>1675</v>
      </c>
      <c r="H5" s="3740"/>
      <c r="I5" s="3739" t="s">
        <v>1676</v>
      </c>
      <c r="J5" s="3740"/>
      <c r="K5" s="559"/>
      <c r="L5" s="2713"/>
      <c r="M5" s="2714"/>
      <c r="N5" s="2714"/>
      <c r="O5" s="2714"/>
      <c r="P5" s="3727"/>
      <c r="Q5" s="3728"/>
      <c r="R5" s="3733"/>
      <c r="S5" s="3734"/>
      <c r="T5" s="3733"/>
      <c r="U5" s="3734"/>
      <c r="V5" s="3718"/>
      <c r="W5" s="3718"/>
      <c r="X5" s="1353"/>
      <c r="Y5" s="3733"/>
      <c r="Z5" s="3734"/>
      <c r="AA5" s="3720"/>
      <c r="AB5" s="3720"/>
      <c r="AC5" s="3720"/>
    </row>
    <row r="6" spans="1:29" ht="15.75" thickBot="1">
      <c r="A6" s="360"/>
      <c r="B6" s="361"/>
      <c r="C6" s="3737" t="s">
        <v>1677</v>
      </c>
      <c r="D6" s="3738"/>
      <c r="E6" s="3744" t="s">
        <v>1677</v>
      </c>
      <c r="F6" s="3745"/>
      <c r="G6" s="3737" t="s">
        <v>1677</v>
      </c>
      <c r="H6" s="3738"/>
      <c r="I6" s="3737" t="s">
        <v>1677</v>
      </c>
      <c r="J6" s="3738"/>
      <c r="K6" s="559" t="s">
        <v>1678</v>
      </c>
      <c r="L6" s="2713"/>
      <c r="M6" s="2714"/>
      <c r="N6" s="2714"/>
      <c r="O6" s="2714"/>
      <c r="P6" s="3729"/>
      <c r="Q6" s="3730"/>
      <c r="R6" s="3733"/>
      <c r="S6" s="3734"/>
      <c r="T6" s="3735"/>
      <c r="U6" s="3736"/>
      <c r="V6" s="3718"/>
      <c r="W6" s="3718"/>
      <c r="X6" s="1353"/>
      <c r="Y6" s="3735"/>
      <c r="Z6" s="3736"/>
      <c r="AA6" s="3721"/>
      <c r="AB6" s="3721"/>
      <c r="AC6" s="3721"/>
    </row>
    <row r="7" spans="1:29" s="108" customFormat="1" ht="15.75" thickBot="1">
      <c r="A7" s="362" t="s">
        <v>1679</v>
      </c>
      <c r="B7" s="363"/>
      <c r="C7" s="364">
        <f>'数据-取费表'!B2</f>
        <v>45581</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741" t="s">
        <v>1680</v>
      </c>
      <c r="Q7" s="3743"/>
      <c r="R7" s="700" t="s">
        <v>14</v>
      </c>
      <c r="S7" s="701">
        <f t="shared" ref="S7:S14" si="0">F7</f>
        <v>0</v>
      </c>
      <c r="T7" s="700" t="s">
        <v>14</v>
      </c>
      <c r="U7" s="701">
        <f t="shared" ref="U7:U14" si="1">H7</f>
        <v>0</v>
      </c>
      <c r="V7" s="700" t="s">
        <v>14</v>
      </c>
      <c r="W7" s="701">
        <f t="shared" ref="W7:W14" si="2">J7</f>
        <v>0</v>
      </c>
      <c r="X7" s="702"/>
      <c r="Y7" s="3741" t="s">
        <v>1680</v>
      </c>
      <c r="Z7" s="3742"/>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41" t="s">
        <v>1683</v>
      </c>
      <c r="Q8" s="3742"/>
      <c r="R8" s="700" t="s">
        <v>14</v>
      </c>
      <c r="S8" s="701">
        <f t="shared" si="0"/>
        <v>100</v>
      </c>
      <c r="T8" s="700" t="s">
        <v>14</v>
      </c>
      <c r="U8" s="701">
        <f t="shared" si="1"/>
        <v>100</v>
      </c>
      <c r="V8" s="700" t="s">
        <v>14</v>
      </c>
      <c r="W8" s="701">
        <f t="shared" si="2"/>
        <v>100</v>
      </c>
      <c r="X8" s="702"/>
      <c r="Y8" s="3741" t="s">
        <v>1683</v>
      </c>
      <c r="Z8" s="3742"/>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13" t="s">
        <v>1686</v>
      </c>
      <c r="Q9" s="1341" t="str">
        <f t="shared" ref="Q9:Q14" si="6">B9</f>
        <v>用途</v>
      </c>
      <c r="R9" s="700" t="s">
        <v>14</v>
      </c>
      <c r="S9" s="701">
        <f t="shared" si="0"/>
        <v>100</v>
      </c>
      <c r="T9" s="700" t="s">
        <v>14</v>
      </c>
      <c r="U9" s="701">
        <f t="shared" si="1"/>
        <v>100</v>
      </c>
      <c r="V9" s="700" t="s">
        <v>14</v>
      </c>
      <c r="W9" s="701">
        <f t="shared" si="2"/>
        <v>100</v>
      </c>
      <c r="X9" s="702"/>
      <c r="Y9" s="3565" t="s">
        <v>1687</v>
      </c>
      <c r="Z9" s="52" t="str">
        <f t="shared" ref="Z9:Z14" si="7">Q9</f>
        <v>用途</v>
      </c>
      <c r="AA9" s="703">
        <f t="shared" si="3"/>
        <v>1</v>
      </c>
      <c r="AB9" s="703">
        <f t="shared" si="4"/>
        <v>1</v>
      </c>
      <c r="AC9" s="703">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13"/>
      <c r="Q10" s="1341" t="str">
        <f t="shared" si="6"/>
        <v>土地使用年限（年）</v>
      </c>
      <c r="R10" s="700" t="s">
        <v>14</v>
      </c>
      <c r="S10" s="701">
        <f t="shared" si="0"/>
        <v>100</v>
      </c>
      <c r="T10" s="700" t="s">
        <v>14</v>
      </c>
      <c r="U10" s="701">
        <f t="shared" si="1"/>
        <v>100</v>
      </c>
      <c r="V10" s="700" t="s">
        <v>14</v>
      </c>
      <c r="W10" s="701">
        <f t="shared" si="2"/>
        <v>100</v>
      </c>
      <c r="X10" s="702"/>
      <c r="Y10" s="3565"/>
      <c r="Z10" s="52" t="str">
        <f t="shared" si="7"/>
        <v>土地使用年限（年）</v>
      </c>
      <c r="AA10" s="703">
        <f t="shared" si="3"/>
        <v>1</v>
      </c>
      <c r="AB10" s="703">
        <f t="shared" si="4"/>
        <v>1</v>
      </c>
      <c r="AC10" s="703">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13"/>
      <c r="Q11" s="1341">
        <f t="shared" si="6"/>
        <v>111</v>
      </c>
      <c r="R11" s="700" t="s">
        <v>14</v>
      </c>
      <c r="S11" s="701">
        <f t="shared" si="0"/>
        <v>100</v>
      </c>
      <c r="T11" s="700" t="s">
        <v>14</v>
      </c>
      <c r="U11" s="701">
        <f t="shared" si="1"/>
        <v>100</v>
      </c>
      <c r="V11" s="700" t="s">
        <v>14</v>
      </c>
      <c r="W11" s="701">
        <f t="shared" si="2"/>
        <v>100</v>
      </c>
      <c r="X11" s="702"/>
      <c r="Y11" s="3565"/>
      <c r="Z11" s="52">
        <f t="shared" si="7"/>
        <v>111</v>
      </c>
      <c r="AA11" s="703">
        <f t="shared" si="3"/>
        <v>1</v>
      </c>
      <c r="AB11" s="703">
        <f t="shared" si="4"/>
        <v>1</v>
      </c>
      <c r="AC11" s="703">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13"/>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703">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713"/>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703">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14" t="s">
        <v>1691</v>
      </c>
      <c r="Q14" s="1350" t="str">
        <f t="shared" si="6"/>
        <v>交通便捷度</v>
      </c>
      <c r="R14" s="704" t="s">
        <v>14</v>
      </c>
      <c r="S14" s="705">
        <f t="shared" si="0"/>
        <v>100</v>
      </c>
      <c r="T14" s="704" t="s">
        <v>14</v>
      </c>
      <c r="U14" s="705">
        <f t="shared" si="1"/>
        <v>100</v>
      </c>
      <c r="V14" s="704" t="s">
        <v>14</v>
      </c>
      <c r="W14" s="705">
        <f t="shared" si="2"/>
        <v>100</v>
      </c>
      <c r="X14" s="1353"/>
      <c r="Y14" s="3714"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715"/>
      <c r="Q15" s="1350"/>
      <c r="R15" s="704"/>
      <c r="S15" s="705"/>
      <c r="T15" s="704"/>
      <c r="U15" s="705"/>
      <c r="V15" s="704"/>
      <c r="W15" s="705"/>
      <c r="X15" s="1353"/>
      <c r="Y15" s="3715"/>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15"/>
      <c r="Q16" s="1350" t="str">
        <f>B16</f>
        <v>公共配套设施</v>
      </c>
      <c r="R16" s="704" t="s">
        <v>14</v>
      </c>
      <c r="S16" s="705">
        <f>F16</f>
        <v>100</v>
      </c>
      <c r="T16" s="704" t="s">
        <v>14</v>
      </c>
      <c r="U16" s="705">
        <f>H16</f>
        <v>100</v>
      </c>
      <c r="V16" s="704" t="s">
        <v>14</v>
      </c>
      <c r="W16" s="705">
        <f>J16</f>
        <v>100</v>
      </c>
      <c r="X16" s="1353"/>
      <c r="Y16" s="3715"/>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715"/>
      <c r="Q17" s="1350"/>
      <c r="R17" s="704"/>
      <c r="S17" s="705"/>
      <c r="T17" s="704"/>
      <c r="U17" s="705"/>
      <c r="V17" s="704"/>
      <c r="W17" s="705"/>
      <c r="X17" s="1353"/>
      <c r="Y17" s="3715"/>
      <c r="Z17" s="1354"/>
      <c r="AA17" s="1351">
        <v>1</v>
      </c>
      <c r="AB17" s="1351">
        <v>1</v>
      </c>
      <c r="AC17" s="1351">
        <v>1</v>
      </c>
    </row>
    <row r="18" spans="1:29" ht="28.5">
      <c r="A18" s="379"/>
      <c r="B18" s="1130"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15"/>
      <c r="Q18" s="1350" t="str">
        <f>B18</f>
        <v>基础设施水平</v>
      </c>
      <c r="R18" s="704" t="s">
        <v>14</v>
      </c>
      <c r="S18" s="705">
        <f>F18</f>
        <v>100</v>
      </c>
      <c r="T18" s="704" t="s">
        <v>14</v>
      </c>
      <c r="U18" s="705">
        <f>H18</f>
        <v>100</v>
      </c>
      <c r="V18" s="704" t="s">
        <v>14</v>
      </c>
      <c r="W18" s="705">
        <f>J18</f>
        <v>100</v>
      </c>
      <c r="X18" s="1353"/>
      <c r="Y18" s="3715"/>
      <c r="Z18" s="1354" t="str">
        <f>Q18</f>
        <v>基础设施水平</v>
      </c>
      <c r="AA18" s="1351">
        <f t="shared" ref="AA18" si="8">D18/F18</f>
        <v>1</v>
      </c>
      <c r="AB18" s="1351">
        <f t="shared" ref="AB18" si="9">D18/H18</f>
        <v>1</v>
      </c>
      <c r="AC18" s="1351">
        <f t="shared" ref="AC18" si="10">D18/J18</f>
        <v>1</v>
      </c>
    </row>
    <row r="19" spans="1:29" ht="15">
      <c r="A19" s="379"/>
      <c r="B19" s="1130"/>
      <c r="C19" s="1899"/>
      <c r="D19" s="401"/>
      <c r="E19" s="1899"/>
      <c r="F19" s="404"/>
      <c r="G19" s="1899"/>
      <c r="H19" s="399"/>
      <c r="I19" s="398"/>
      <c r="J19" s="399"/>
      <c r="K19" s="1129"/>
      <c r="L19" s="2720"/>
      <c r="M19" s="2714"/>
      <c r="N19" s="2714"/>
      <c r="O19" s="2772"/>
      <c r="P19" s="3715"/>
      <c r="Q19" s="1350"/>
      <c r="R19" s="704"/>
      <c r="S19" s="705"/>
      <c r="T19" s="704"/>
      <c r="U19" s="705"/>
      <c r="V19" s="704"/>
      <c r="W19" s="705"/>
      <c r="X19" s="1353"/>
      <c r="Y19" s="3715"/>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15"/>
      <c r="Q20" s="1350" t="str">
        <f>B20</f>
        <v>自然及人文环境</v>
      </c>
      <c r="R20" s="704" t="s">
        <v>14</v>
      </c>
      <c r="S20" s="705">
        <f>F20</f>
        <v>100</v>
      </c>
      <c r="T20" s="704" t="s">
        <v>14</v>
      </c>
      <c r="U20" s="705">
        <f>H20</f>
        <v>100</v>
      </c>
      <c r="V20" s="704" t="s">
        <v>14</v>
      </c>
      <c r="W20" s="705">
        <f>J20</f>
        <v>100</v>
      </c>
      <c r="X20" s="1353"/>
      <c r="Y20" s="3715"/>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715"/>
      <c r="Q21" s="1350"/>
      <c r="R21" s="704"/>
      <c r="S21" s="705"/>
      <c r="T21" s="704"/>
      <c r="U21" s="705"/>
      <c r="V21" s="704"/>
      <c r="W21" s="705"/>
      <c r="X21" s="1353"/>
      <c r="Y21" s="3715"/>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15"/>
      <c r="Q22" s="1350" t="str">
        <f>B22</f>
        <v>楼层</v>
      </c>
      <c r="R22" s="704" t="s">
        <v>14</v>
      </c>
      <c r="S22" s="705">
        <f>F22</f>
        <v>100</v>
      </c>
      <c r="T22" s="704" t="s">
        <v>14</v>
      </c>
      <c r="U22" s="705">
        <f>H22</f>
        <v>100</v>
      </c>
      <c r="V22" s="704" t="s">
        <v>14</v>
      </c>
      <c r="W22" s="705">
        <f>J22</f>
        <v>100</v>
      </c>
      <c r="X22" s="1353"/>
      <c r="Y22" s="3715"/>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15"/>
      <c r="Q23" s="1350">
        <f>B23</f>
        <v>111</v>
      </c>
      <c r="R23" s="704" t="s">
        <v>14</v>
      </c>
      <c r="S23" s="705">
        <f>F23</f>
        <v>100</v>
      </c>
      <c r="T23" s="704" t="s">
        <v>14</v>
      </c>
      <c r="U23" s="705">
        <f>H23</f>
        <v>100</v>
      </c>
      <c r="V23" s="704" t="s">
        <v>14</v>
      </c>
      <c r="W23" s="705">
        <f>J23</f>
        <v>100</v>
      </c>
      <c r="X23" s="1353"/>
      <c r="Y23" s="3715"/>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15"/>
      <c r="Q24" s="1350">
        <f t="shared" ref="Q24:Q34" si="11">B24</f>
        <v>111</v>
      </c>
      <c r="R24" s="704" t="s">
        <v>14</v>
      </c>
      <c r="S24" s="705">
        <f>F24</f>
        <v>100</v>
      </c>
      <c r="T24" s="704" t="s">
        <v>14</v>
      </c>
      <c r="U24" s="705">
        <f>H24</f>
        <v>100</v>
      </c>
      <c r="V24" s="704" t="s">
        <v>14</v>
      </c>
      <c r="W24" s="705">
        <f>J24</f>
        <v>100</v>
      </c>
      <c r="X24" s="1353"/>
      <c r="Y24" s="3715"/>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15"/>
      <c r="Q25" s="1341">
        <f t="shared" si="11"/>
        <v>111</v>
      </c>
      <c r="R25" s="700" t="s">
        <v>14</v>
      </c>
      <c r="S25" s="701">
        <f>F25</f>
        <v>100</v>
      </c>
      <c r="T25" s="700" t="s">
        <v>14</v>
      </c>
      <c r="U25" s="701">
        <f>H25</f>
        <v>100</v>
      </c>
      <c r="V25" s="700" t="s">
        <v>14</v>
      </c>
      <c r="W25" s="701">
        <f>J25</f>
        <v>100</v>
      </c>
      <c r="X25" s="702"/>
      <c r="Y25" s="3715"/>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16" t="s">
        <v>1696</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717"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7"/>
      <c r="Q27" s="706" t="str">
        <f t="shared" si="11"/>
        <v>成新率</v>
      </c>
      <c r="R27" s="707" t="s">
        <v>14</v>
      </c>
      <c r="S27" s="708" t="e">
        <f t="shared" si="12"/>
        <v>#N/A</v>
      </c>
      <c r="T27" s="707" t="s">
        <v>14</v>
      </c>
      <c r="U27" s="708" t="e">
        <f t="shared" si="13"/>
        <v>#N/A</v>
      </c>
      <c r="V27" s="707" t="s">
        <v>14</v>
      </c>
      <c r="W27" s="708" t="e">
        <f t="shared" si="14"/>
        <v>#N/A</v>
      </c>
      <c r="X27" s="709"/>
      <c r="Y27" s="3717"/>
      <c r="Z27" s="710"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7"/>
      <c r="Q28" s="1350" t="str">
        <f t="shared" si="11"/>
        <v>物业等级</v>
      </c>
      <c r="R28" s="704" t="s">
        <v>14</v>
      </c>
      <c r="S28" s="705">
        <f t="shared" si="12"/>
        <v>100</v>
      </c>
      <c r="T28" s="704" t="s">
        <v>14</v>
      </c>
      <c r="U28" s="705">
        <f t="shared" si="13"/>
        <v>100</v>
      </c>
      <c r="V28" s="704" t="s">
        <v>14</v>
      </c>
      <c r="W28" s="705">
        <f t="shared" si="14"/>
        <v>100</v>
      </c>
      <c r="X28" s="1353"/>
      <c r="Y28" s="3717"/>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7"/>
      <c r="Q29" s="1350" t="str">
        <f t="shared" si="11"/>
        <v>有无电梯</v>
      </c>
      <c r="R29" s="704" t="s">
        <v>14</v>
      </c>
      <c r="S29" s="705">
        <f t="shared" si="12"/>
        <v>100</v>
      </c>
      <c r="T29" s="704" t="s">
        <v>14</v>
      </c>
      <c r="U29" s="705">
        <f t="shared" si="13"/>
        <v>100</v>
      </c>
      <c r="V29" s="704" t="s">
        <v>14</v>
      </c>
      <c r="W29" s="705">
        <f t="shared" si="14"/>
        <v>100</v>
      </c>
      <c r="X29" s="1353"/>
      <c r="Y29" s="3717"/>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7"/>
      <c r="Q30" s="1350" t="str">
        <f t="shared" si="11"/>
        <v>建筑面积</v>
      </c>
      <c r="R30" s="704" t="s">
        <v>14</v>
      </c>
      <c r="S30" s="705" t="e">
        <f t="shared" si="12"/>
        <v>#N/A</v>
      </c>
      <c r="T30" s="704" t="s">
        <v>14</v>
      </c>
      <c r="U30" s="705" t="e">
        <f t="shared" si="13"/>
        <v>#N/A</v>
      </c>
      <c r="V30" s="704" t="s">
        <v>14</v>
      </c>
      <c r="W30" s="705" t="e">
        <f t="shared" si="14"/>
        <v>#N/A</v>
      </c>
      <c r="X30" s="1353"/>
      <c r="Y30" s="3717"/>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7"/>
      <c r="Q31" s="1341" t="str">
        <f t="shared" si="11"/>
        <v>是否封闭</v>
      </c>
      <c r="R31" s="700" t="s">
        <v>14</v>
      </c>
      <c r="S31" s="701">
        <f t="shared" si="12"/>
        <v>100</v>
      </c>
      <c r="T31" s="700" t="s">
        <v>14</v>
      </c>
      <c r="U31" s="701">
        <f t="shared" si="13"/>
        <v>100</v>
      </c>
      <c r="V31" s="700" t="s">
        <v>14</v>
      </c>
      <c r="W31" s="701">
        <f t="shared" si="14"/>
        <v>100</v>
      </c>
      <c r="X31" s="702"/>
      <c r="Y31" s="3717"/>
      <c r="Z31" s="52" t="str">
        <f t="shared" si="15"/>
        <v>是否封闭</v>
      </c>
      <c r="AA31" s="703">
        <f t="shared" si="3"/>
        <v>1</v>
      </c>
      <c r="AB31" s="703">
        <f t="shared" si="4"/>
        <v>1</v>
      </c>
      <c r="AC31" s="703">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7" t="s">
        <v>1696</v>
      </c>
      <c r="Q32" s="1350">
        <f t="shared" si="11"/>
        <v>111</v>
      </c>
      <c r="R32" s="704" t="s">
        <v>14</v>
      </c>
      <c r="S32" s="705">
        <f t="shared" si="12"/>
        <v>100</v>
      </c>
      <c r="T32" s="704" t="s">
        <v>14</v>
      </c>
      <c r="U32" s="705">
        <f t="shared" si="13"/>
        <v>100</v>
      </c>
      <c r="V32" s="704" t="s">
        <v>14</v>
      </c>
      <c r="W32" s="705">
        <f t="shared" si="14"/>
        <v>100</v>
      </c>
      <c r="X32" s="1353"/>
      <c r="Y32" s="3717"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7"/>
      <c r="Q33" s="1350">
        <f t="shared" si="11"/>
        <v>111</v>
      </c>
      <c r="R33" s="704" t="s">
        <v>14</v>
      </c>
      <c r="S33" s="705">
        <f t="shared" si="12"/>
        <v>100</v>
      </c>
      <c r="T33" s="704" t="s">
        <v>14</v>
      </c>
      <c r="U33" s="705">
        <f t="shared" si="13"/>
        <v>100</v>
      </c>
      <c r="V33" s="704" t="s">
        <v>14</v>
      </c>
      <c r="W33" s="705">
        <f t="shared" si="14"/>
        <v>100</v>
      </c>
      <c r="X33" s="1353"/>
      <c r="Y33" s="3717"/>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17"/>
      <c r="Q34" s="1350">
        <f t="shared" si="11"/>
        <v>111</v>
      </c>
      <c r="R34" s="704" t="s">
        <v>14</v>
      </c>
      <c r="S34" s="705">
        <f t="shared" si="12"/>
        <v>100</v>
      </c>
      <c r="T34" s="704" t="s">
        <v>14</v>
      </c>
      <c r="U34" s="705">
        <f t="shared" si="13"/>
        <v>100</v>
      </c>
      <c r="V34" s="704" t="s">
        <v>14</v>
      </c>
      <c r="W34" s="705">
        <f t="shared" si="14"/>
        <v>100</v>
      </c>
      <c r="X34" s="1353"/>
      <c r="Y34" s="3717"/>
      <c r="Z34" s="1354">
        <f t="shared" si="15"/>
        <v>111</v>
      </c>
      <c r="AA34" s="1351">
        <f t="shared" si="3"/>
        <v>1</v>
      </c>
      <c r="AB34" s="1351">
        <f t="shared" si="4"/>
        <v>1</v>
      </c>
      <c r="AC34" s="1351">
        <f t="shared" si="5"/>
        <v>1</v>
      </c>
    </row>
    <row r="35" spans="1:30" ht="15">
      <c r="A35" s="430" t="s">
        <v>1708</v>
      </c>
      <c r="B35" s="431"/>
      <c r="C35" s="1153" t="s">
        <v>0</v>
      </c>
      <c r="D35" s="1154"/>
      <c r="E35" s="1155"/>
      <c r="F35" s="1156"/>
      <c r="G35" s="1157"/>
      <c r="H35" s="1158"/>
      <c r="I35" s="1155"/>
      <c r="J35" s="1158"/>
      <c r="K35" s="713"/>
      <c r="L35" s="2722"/>
      <c r="M35" s="2723"/>
      <c r="N35" s="2714"/>
      <c r="O35" s="2723"/>
      <c r="P35" s="3713" t="str">
        <f>A35</f>
        <v>成交单价（元/平方米）</v>
      </c>
      <c r="Q35" s="3713"/>
      <c r="R35" s="3749">
        <f>E35</f>
        <v>0</v>
      </c>
      <c r="S35" s="3749"/>
      <c r="T35" s="3749">
        <f>G35</f>
        <v>0</v>
      </c>
      <c r="U35" s="3749"/>
      <c r="V35" s="3749">
        <f>I35</f>
        <v>0</v>
      </c>
      <c r="W35" s="3749"/>
      <c r="X35" s="689"/>
      <c r="Y35" s="711"/>
      <c r="Z35" s="689"/>
      <c r="AA35" s="689"/>
      <c r="AB35" s="689"/>
      <c r="AC35" s="689"/>
    </row>
    <row r="36" spans="1:30" ht="15.75" thickBot="1">
      <c r="A36" s="437" t="s">
        <v>1793</v>
      </c>
      <c r="B36" s="438"/>
      <c r="C36" s="1159" t="e">
        <f>R37</f>
        <v>#DIV/0!</v>
      </c>
      <c r="D36" s="2315" t="s">
        <v>2137</v>
      </c>
      <c r="E36" s="1160" t="e">
        <f>R36</f>
        <v>#DIV/0!</v>
      </c>
      <c r="F36" s="2316"/>
      <c r="G36" s="1159" t="e">
        <f>T36</f>
        <v>#DIV/0!</v>
      </c>
      <c r="H36" s="2316"/>
      <c r="I36" s="1160" t="e">
        <f>V36</f>
        <v>#DIV/0!</v>
      </c>
      <c r="J36" s="2316"/>
      <c r="K36" s="2318">
        <f>F36+H36+J36</f>
        <v>0</v>
      </c>
      <c r="L36" s="2722"/>
      <c r="M36" s="2723"/>
      <c r="N36" s="2714"/>
      <c r="O36" s="2723"/>
      <c r="P36" s="3713" t="str">
        <f>A36</f>
        <v>比较价值（元/平方米）</v>
      </c>
      <c r="Q36" s="3713"/>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2"/>
      <c r="M37" s="2723"/>
      <c r="N37" s="2723"/>
      <c r="O37" s="2723"/>
      <c r="P37" s="3707" t="str">
        <f>A37</f>
        <v>估价对象XX用房的比较价值（楼面单价，元/平方米）</v>
      </c>
      <c r="Q37" s="3708"/>
      <c r="R37" s="3775" t="e">
        <f>IF(F1="售价",ROUND(IF(D36="简单平均",AVERAGE(R36:W36),R36*F36+T36*H36+V36*J36),0),ROUND(IF(D36="简单平均",AVERAGE(R36:V36),R36*F36+T36*H36+V36*J36),1))</f>
        <v>#DIV/0!</v>
      </c>
      <c r="S37" s="3775"/>
      <c r="T37" s="3775"/>
      <c r="U37" s="3775"/>
      <c r="V37" s="3775"/>
      <c r="W37" s="3775"/>
      <c r="X37" s="689"/>
      <c r="Y37" s="689"/>
      <c r="Z37" s="689"/>
      <c r="AA37" s="689"/>
      <c r="AB37" s="689"/>
      <c r="AC37" s="689"/>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3" t="s">
        <v>1798</v>
      </c>
      <c r="B45" s="689"/>
      <c r="C45" s="694"/>
      <c r="D45" s="694"/>
      <c r="E45" s="694"/>
      <c r="F45" s="695"/>
      <c r="G45" s="695"/>
      <c r="H45" s="694"/>
      <c r="I45" s="694"/>
      <c r="J45" s="694"/>
      <c r="K45" s="696"/>
      <c r="L45" s="697"/>
      <c r="M45" s="694"/>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2024-10</v>
      </c>
      <c r="D46" s="1183">
        <f>EDATE(C46,-1)</f>
        <v>45536</v>
      </c>
      <c r="E46" s="1183">
        <f t="shared" ref="E46:O46" si="16">EDATE(D46,-1)</f>
        <v>45505</v>
      </c>
      <c r="F46" s="1183">
        <f t="shared" si="16"/>
        <v>45474</v>
      </c>
      <c r="G46" s="1183">
        <f t="shared" si="16"/>
        <v>45444</v>
      </c>
      <c r="H46" s="1183">
        <f t="shared" si="16"/>
        <v>45413</v>
      </c>
      <c r="I46" s="1183">
        <f t="shared" si="16"/>
        <v>45383</v>
      </c>
      <c r="J46" s="1183">
        <f t="shared" si="16"/>
        <v>45352</v>
      </c>
      <c r="K46" s="1183">
        <f t="shared" si="16"/>
        <v>45323</v>
      </c>
      <c r="L46" s="1183">
        <f t="shared" si="16"/>
        <v>45292</v>
      </c>
      <c r="M46" s="1183">
        <f t="shared" si="16"/>
        <v>45261</v>
      </c>
      <c r="N46" s="1183">
        <f t="shared" si="16"/>
        <v>45231</v>
      </c>
      <c r="O46" s="1183">
        <f t="shared" si="16"/>
        <v>45200</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5"/>
      <c r="B98" s="935"/>
      <c r="C98" s="935"/>
      <c r="D98" s="935"/>
      <c r="E98" s="935"/>
      <c r="F98" s="935"/>
      <c r="G98" s="935"/>
      <c r="H98" s="935"/>
      <c r="I98" s="935"/>
      <c r="J98" s="935"/>
      <c r="K98" s="936"/>
      <c r="L98" s="937"/>
      <c r="M98" s="935"/>
      <c r="N98" s="2723"/>
      <c r="O98" s="2723"/>
      <c r="P98" s="2723"/>
      <c r="Q98" s="2723"/>
      <c r="R98" s="2723"/>
      <c r="S98" s="2723"/>
      <c r="T98" s="2723"/>
      <c r="U98" s="2723"/>
      <c r="V98" s="2723"/>
      <c r="W98" s="2723"/>
      <c r="X98" s="2723"/>
      <c r="Y98" s="2723"/>
      <c r="Z98" s="2723"/>
      <c r="AA98" s="2723"/>
      <c r="AB98" s="2723"/>
      <c r="AC98" s="2723"/>
      <c r="AD98" s="2723"/>
    </row>
    <row r="99" spans="1:30">
      <c r="A99" s="935"/>
      <c r="B99" s="935"/>
      <c r="C99" s="935"/>
      <c r="D99" s="935"/>
      <c r="E99" s="935"/>
      <c r="F99" s="935"/>
      <c r="G99" s="935"/>
      <c r="H99" s="935"/>
      <c r="I99" s="935"/>
      <c r="J99" s="935"/>
      <c r="K99" s="936"/>
      <c r="L99" s="937"/>
      <c r="M99" s="935"/>
      <c r="N99" s="2723"/>
      <c r="O99" s="2723"/>
      <c r="P99" s="2723"/>
      <c r="Q99" s="2723"/>
      <c r="R99" s="2723"/>
      <c r="S99" s="2723"/>
      <c r="T99" s="2723"/>
      <c r="U99" s="2723"/>
      <c r="V99" s="2723"/>
      <c r="W99" s="2723"/>
      <c r="X99" s="2723"/>
      <c r="Y99" s="2723"/>
      <c r="Z99" s="2723"/>
      <c r="AA99" s="2723"/>
      <c r="AB99" s="2723"/>
      <c r="AC99" s="2723"/>
      <c r="AD99" s="2723"/>
    </row>
    <row r="100" spans="1:30">
      <c r="A100" s="935"/>
      <c r="B100" s="935"/>
      <c r="C100" s="935"/>
      <c r="D100" s="935"/>
      <c r="E100" s="935"/>
      <c r="F100" s="935"/>
      <c r="G100" s="935"/>
      <c r="H100" s="935"/>
      <c r="I100" s="935"/>
      <c r="J100" s="935"/>
      <c r="K100" s="936"/>
      <c r="L100" s="937"/>
      <c r="M100" s="935"/>
      <c r="N100" s="2723"/>
      <c r="O100" s="2723"/>
      <c r="P100" s="2723"/>
      <c r="Q100" s="2723"/>
      <c r="R100" s="2723"/>
      <c r="S100" s="2723"/>
      <c r="T100" s="2723"/>
      <c r="U100" s="2723"/>
      <c r="V100" s="2723"/>
      <c r="W100" s="2723"/>
      <c r="X100" s="2723"/>
      <c r="Y100" s="2723"/>
      <c r="Z100" s="2723"/>
      <c r="AA100" s="2723"/>
      <c r="AB100" s="2723"/>
      <c r="AC100" s="2723"/>
      <c r="AD100" s="2723"/>
    </row>
    <row r="101" spans="1:30">
      <c r="A101" s="935"/>
      <c r="B101" s="935"/>
      <c r="C101" s="935"/>
      <c r="D101" s="935"/>
      <c r="E101" s="935"/>
      <c r="F101" s="935"/>
      <c r="G101" s="935"/>
      <c r="H101" s="935"/>
      <c r="I101" s="935"/>
      <c r="J101" s="935"/>
      <c r="K101" s="936"/>
      <c r="L101" s="937"/>
      <c r="M101" s="935"/>
      <c r="N101" s="2723"/>
      <c r="O101" s="2723"/>
      <c r="P101" s="2723"/>
      <c r="Q101" s="2723"/>
      <c r="R101" s="2723"/>
      <c r="S101" s="2723"/>
      <c r="T101" s="2723"/>
      <c r="U101" s="2723"/>
      <c r="V101" s="2723"/>
      <c r="W101" s="2723"/>
      <c r="X101" s="2723"/>
      <c r="Y101" s="2723"/>
      <c r="Z101" s="2723"/>
      <c r="AA101" s="2723"/>
      <c r="AB101" s="2723"/>
      <c r="AC101" s="2723"/>
      <c r="AD101" s="2723"/>
    </row>
    <row r="102" spans="1:30">
      <c r="A102" s="935"/>
      <c r="B102" s="935"/>
      <c r="C102" s="935"/>
      <c r="D102" s="935"/>
      <c r="E102" s="935"/>
      <c r="F102" s="935"/>
      <c r="G102" s="935"/>
      <c r="H102" s="935"/>
      <c r="I102" s="935"/>
      <c r="J102" s="935"/>
      <c r="K102" s="936"/>
      <c r="L102" s="937"/>
      <c r="M102" s="935"/>
      <c r="N102" s="2723"/>
      <c r="O102" s="2723"/>
      <c r="P102" s="2723"/>
      <c r="Q102" s="2723"/>
      <c r="R102" s="2723"/>
      <c r="S102" s="2723"/>
      <c r="T102" s="2723"/>
      <c r="U102" s="2723"/>
      <c r="V102" s="2723"/>
      <c r="W102" s="2723"/>
      <c r="X102" s="2723"/>
      <c r="Y102" s="2723"/>
      <c r="Z102" s="2723"/>
      <c r="AA102" s="2723"/>
      <c r="AB102" s="2723"/>
      <c r="AC102" s="2723"/>
      <c r="AD102" s="2723"/>
    </row>
    <row r="103" spans="1:30">
      <c r="A103" s="935"/>
      <c r="B103" s="935"/>
      <c r="C103" s="935"/>
      <c r="D103" s="935"/>
      <c r="E103" s="935"/>
      <c r="F103" s="935"/>
      <c r="G103" s="935"/>
      <c r="H103" s="935"/>
      <c r="I103" s="935"/>
      <c r="J103" s="935"/>
      <c r="K103" s="936"/>
      <c r="L103" s="937"/>
      <c r="M103" s="935"/>
      <c r="N103" s="935"/>
      <c r="O103" s="935"/>
      <c r="P103" s="2723"/>
      <c r="Q103" s="2723"/>
      <c r="R103" s="2723"/>
      <c r="S103" s="2723"/>
      <c r="T103" s="2723"/>
      <c r="U103" s="2723"/>
      <c r="V103" s="2723"/>
      <c r="W103" s="2723"/>
      <c r="X103" s="2723"/>
      <c r="Y103" s="2723"/>
      <c r="Z103" s="2723"/>
      <c r="AA103" s="2723"/>
      <c r="AB103" s="2723"/>
      <c r="AC103" s="2723"/>
      <c r="AD103" s="2723"/>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1"/>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710" t="s">
        <v>1770</v>
      </c>
      <c r="D4" s="3722"/>
      <c r="E4" s="3723" t="s">
        <v>1771</v>
      </c>
      <c r="F4" s="3724"/>
      <c r="G4" s="3710" t="s">
        <v>1772</v>
      </c>
      <c r="H4" s="3722"/>
      <c r="I4" s="3710" t="s">
        <v>1773</v>
      </c>
      <c r="J4" s="3722"/>
      <c r="K4" s="559" t="s">
        <v>1774</v>
      </c>
      <c r="L4" s="2713"/>
      <c r="M4" s="2714"/>
      <c r="N4" s="2714"/>
      <c r="O4" s="2714"/>
      <c r="P4" s="3725" t="s">
        <v>1775</v>
      </c>
      <c r="Q4" s="3726"/>
      <c r="R4" s="3731" t="s">
        <v>1771</v>
      </c>
      <c r="S4" s="3732"/>
      <c r="T4" s="3731" t="s">
        <v>1772</v>
      </c>
      <c r="U4" s="3732"/>
      <c r="V4" s="3718" t="s">
        <v>1773</v>
      </c>
      <c r="W4" s="3718"/>
      <c r="X4" s="1353"/>
      <c r="Y4" s="3731" t="s">
        <v>1775</v>
      </c>
      <c r="Z4" s="3732"/>
      <c r="AA4" s="3719" t="s">
        <v>1771</v>
      </c>
      <c r="AB4" s="3720" t="s">
        <v>1772</v>
      </c>
      <c r="AC4" s="3719" t="s">
        <v>1773</v>
      </c>
    </row>
    <row r="5" spans="1:29" ht="15">
      <c r="A5" s="358"/>
      <c r="B5" s="359"/>
      <c r="C5" s="3739" t="s">
        <v>1673</v>
      </c>
      <c r="D5" s="3740"/>
      <c r="E5" s="3746" t="s">
        <v>1674</v>
      </c>
      <c r="F5" s="3747"/>
      <c r="G5" s="3739" t="s">
        <v>1675</v>
      </c>
      <c r="H5" s="3740"/>
      <c r="I5" s="3739" t="s">
        <v>1676</v>
      </c>
      <c r="J5" s="3740"/>
      <c r="K5" s="559"/>
      <c r="L5" s="2713"/>
      <c r="M5" s="2714"/>
      <c r="N5" s="2714"/>
      <c r="O5" s="2714"/>
      <c r="P5" s="3727"/>
      <c r="Q5" s="3728"/>
      <c r="R5" s="3733"/>
      <c r="S5" s="3734"/>
      <c r="T5" s="3733"/>
      <c r="U5" s="3734"/>
      <c r="V5" s="3718"/>
      <c r="W5" s="3718"/>
      <c r="X5" s="1353"/>
      <c r="Y5" s="3733"/>
      <c r="Z5" s="3734"/>
      <c r="AA5" s="3720"/>
      <c r="AB5" s="3720"/>
      <c r="AC5" s="3720"/>
    </row>
    <row r="6" spans="1:29" ht="15.75" thickBot="1">
      <c r="A6" s="360"/>
      <c r="B6" s="361"/>
      <c r="C6" s="3776" t="s">
        <v>1919</v>
      </c>
      <c r="D6" s="3777"/>
      <c r="E6" s="3778" t="s">
        <v>1919</v>
      </c>
      <c r="F6" s="3779"/>
      <c r="G6" s="3776" t="s">
        <v>1919</v>
      </c>
      <c r="H6" s="3777"/>
      <c r="I6" s="3776" t="s">
        <v>1919</v>
      </c>
      <c r="J6" s="3777"/>
      <c r="K6" s="559" t="s">
        <v>1678</v>
      </c>
      <c r="L6" s="2713"/>
      <c r="M6" s="2714"/>
      <c r="N6" s="2714"/>
      <c r="O6" s="2714"/>
      <c r="P6" s="3729"/>
      <c r="Q6" s="3730"/>
      <c r="R6" s="3733"/>
      <c r="S6" s="3734"/>
      <c r="T6" s="3735"/>
      <c r="U6" s="3736"/>
      <c r="V6" s="3718"/>
      <c r="W6" s="3718"/>
      <c r="X6" s="1353"/>
      <c r="Y6" s="3735"/>
      <c r="Z6" s="3736"/>
      <c r="AA6" s="3721"/>
      <c r="AB6" s="3721"/>
      <c r="AC6" s="3721"/>
    </row>
    <row r="7" spans="1:29" s="108" customFormat="1" ht="15.75" thickBot="1">
      <c r="A7" s="362" t="s">
        <v>1679</v>
      </c>
      <c r="B7" s="363"/>
      <c r="C7" s="364">
        <f>'数据-取费表'!B2</f>
        <v>45581</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741" t="s">
        <v>1680</v>
      </c>
      <c r="Q7" s="3743"/>
      <c r="R7" s="700" t="s">
        <v>14</v>
      </c>
      <c r="S7" s="701">
        <f t="shared" ref="S7:S15" si="0">F7</f>
        <v>0</v>
      </c>
      <c r="T7" s="700" t="s">
        <v>14</v>
      </c>
      <c r="U7" s="701">
        <f t="shared" ref="U7:U15" si="1">H7</f>
        <v>0</v>
      </c>
      <c r="V7" s="700" t="s">
        <v>14</v>
      </c>
      <c r="W7" s="701">
        <f t="shared" ref="W7:W15" si="2">J7</f>
        <v>0</v>
      </c>
      <c r="X7" s="702"/>
      <c r="Y7" s="3741" t="s">
        <v>1680</v>
      </c>
      <c r="Z7" s="3742"/>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41" t="s">
        <v>1683</v>
      </c>
      <c r="Q8" s="3742"/>
      <c r="R8" s="700" t="s">
        <v>14</v>
      </c>
      <c r="S8" s="701">
        <f t="shared" si="0"/>
        <v>0</v>
      </c>
      <c r="T8" s="700" t="s">
        <v>14</v>
      </c>
      <c r="U8" s="701">
        <f t="shared" si="1"/>
        <v>0</v>
      </c>
      <c r="V8" s="700" t="s">
        <v>14</v>
      </c>
      <c r="W8" s="701">
        <f t="shared" si="2"/>
        <v>0</v>
      </c>
      <c r="X8" s="702"/>
      <c r="Y8" s="3741" t="s">
        <v>1683</v>
      </c>
      <c r="Z8" s="3742"/>
      <c r="AA8" s="703" t="e">
        <f t="shared" ref="AA8:AA40" si="3">D8/F8</f>
        <v>#DIV/0!</v>
      </c>
      <c r="AB8" s="703" t="e">
        <f t="shared" ref="AB8:AB40" si="4">D8/H8</f>
        <v>#DIV/0!</v>
      </c>
      <c r="AC8" s="703"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713" t="s">
        <v>1686</v>
      </c>
      <c r="Q9" s="1341" t="str">
        <f t="shared" ref="Q9:Q15" si="6">B9</f>
        <v>用途</v>
      </c>
      <c r="R9" s="700" t="s">
        <v>14</v>
      </c>
      <c r="S9" s="701">
        <f t="shared" si="0"/>
        <v>100</v>
      </c>
      <c r="T9" s="700" t="s">
        <v>14</v>
      </c>
      <c r="U9" s="701">
        <f t="shared" si="1"/>
        <v>100</v>
      </c>
      <c r="V9" s="700" t="s">
        <v>14</v>
      </c>
      <c r="W9" s="701">
        <f t="shared" si="2"/>
        <v>100</v>
      </c>
      <c r="X9" s="702"/>
      <c r="Y9" s="3565"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102</v>
      </c>
      <c r="G10" s="383"/>
      <c r="H10" s="127">
        <f>ROUND(100/'数据-取费表'!G16,0)</f>
        <v>102</v>
      </c>
      <c r="I10" s="383"/>
      <c r="J10" s="127">
        <f>ROUND(100/'数据-取费表'!G16,0)</f>
        <v>102</v>
      </c>
      <c r="K10" s="620"/>
      <c r="L10" s="2717"/>
      <c r="M10" s="2718"/>
      <c r="N10" s="2718"/>
      <c r="O10" s="2771"/>
      <c r="P10" s="3713"/>
      <c r="Q10" s="1341" t="str">
        <f t="shared" si="6"/>
        <v>土地使用年限（年）</v>
      </c>
      <c r="R10" s="700" t="s">
        <v>14</v>
      </c>
      <c r="S10" s="701">
        <f t="shared" si="0"/>
        <v>102</v>
      </c>
      <c r="T10" s="700" t="s">
        <v>14</v>
      </c>
      <c r="U10" s="701">
        <f t="shared" si="1"/>
        <v>102</v>
      </c>
      <c r="V10" s="700" t="s">
        <v>14</v>
      </c>
      <c r="W10" s="701">
        <f t="shared" si="2"/>
        <v>102</v>
      </c>
      <c r="X10" s="702"/>
      <c r="Y10" s="3565"/>
      <c r="Z10" s="52" t="str">
        <f t="shared" si="7"/>
        <v>土地使用年限（年）</v>
      </c>
      <c r="AA10" s="703">
        <f t="shared" si="3"/>
        <v>0.98039215686274506</v>
      </c>
      <c r="AB10" s="703">
        <f t="shared" si="4"/>
        <v>0.98039215686274506</v>
      </c>
      <c r="AC10" s="703">
        <f t="shared" si="5"/>
        <v>0.98039215686274506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13"/>
      <c r="Q11" s="1341" t="str">
        <f t="shared" si="6"/>
        <v>容积率</v>
      </c>
      <c r="R11" s="700" t="s">
        <v>14</v>
      </c>
      <c r="S11" s="701" t="e">
        <f t="shared" si="0"/>
        <v>#N/A</v>
      </c>
      <c r="T11" s="700" t="s">
        <v>14</v>
      </c>
      <c r="U11" s="701" t="e">
        <f t="shared" si="1"/>
        <v>#N/A</v>
      </c>
      <c r="V11" s="700" t="s">
        <v>14</v>
      </c>
      <c r="W11" s="701" t="e">
        <f t="shared" si="2"/>
        <v>#N/A</v>
      </c>
      <c r="X11" s="702"/>
      <c r="Y11" s="3565"/>
      <c r="Z11" s="52" t="str">
        <f t="shared" si="7"/>
        <v>容积率</v>
      </c>
      <c r="AA11" s="703" t="e">
        <f t="shared" si="3"/>
        <v>#N/A</v>
      </c>
      <c r="AB11" s="703" t="e">
        <f t="shared" si="4"/>
        <v>#N/A</v>
      </c>
      <c r="AC11" s="703"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13"/>
      <c r="Q12" s="1341">
        <f t="shared" si="6"/>
        <v>111</v>
      </c>
      <c r="R12" s="700" t="s">
        <v>14</v>
      </c>
      <c r="S12" s="701">
        <f t="shared" si="0"/>
        <v>100</v>
      </c>
      <c r="T12" s="700" t="s">
        <v>14</v>
      </c>
      <c r="U12" s="701">
        <f t="shared" si="1"/>
        <v>100</v>
      </c>
      <c r="V12" s="700" t="s">
        <v>14</v>
      </c>
      <c r="W12" s="701">
        <f t="shared" si="2"/>
        <v>100</v>
      </c>
      <c r="X12" s="702"/>
      <c r="Y12" s="3565"/>
      <c r="Z12" s="52">
        <f t="shared" si="7"/>
        <v>111</v>
      </c>
      <c r="AA12" s="703">
        <f>D12/F12</f>
        <v>1</v>
      </c>
      <c r="AB12" s="703">
        <f>D12/H12</f>
        <v>1</v>
      </c>
      <c r="AC12" s="703">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13"/>
      <c r="Q13" s="1341">
        <f t="shared" si="6"/>
        <v>111</v>
      </c>
      <c r="R13" s="700" t="s">
        <v>14</v>
      </c>
      <c r="S13" s="701">
        <f t="shared" si="0"/>
        <v>100</v>
      </c>
      <c r="T13" s="700" t="s">
        <v>14</v>
      </c>
      <c r="U13" s="701">
        <f t="shared" si="1"/>
        <v>100</v>
      </c>
      <c r="V13" s="700" t="s">
        <v>14</v>
      </c>
      <c r="W13" s="701">
        <f t="shared" si="2"/>
        <v>100</v>
      </c>
      <c r="X13" s="702"/>
      <c r="Y13" s="3565"/>
      <c r="Z13" s="52">
        <f t="shared" si="7"/>
        <v>111</v>
      </c>
      <c r="AA13" s="703">
        <f t="shared" si="3"/>
        <v>1</v>
      </c>
      <c r="AB13" s="703">
        <f t="shared" si="4"/>
        <v>1</v>
      </c>
      <c r="AC13" s="703">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13"/>
      <c r="Q14" s="1341">
        <f t="shared" si="6"/>
        <v>111</v>
      </c>
      <c r="R14" s="700" t="s">
        <v>14</v>
      </c>
      <c r="S14" s="701">
        <f t="shared" si="0"/>
        <v>100</v>
      </c>
      <c r="T14" s="700" t="s">
        <v>14</v>
      </c>
      <c r="U14" s="701">
        <f t="shared" si="1"/>
        <v>100</v>
      </c>
      <c r="V14" s="700" t="s">
        <v>14</v>
      </c>
      <c r="W14" s="701">
        <f t="shared" si="2"/>
        <v>100</v>
      </c>
      <c r="X14" s="702"/>
      <c r="Y14" s="3565"/>
      <c r="Z14" s="52">
        <f t="shared" si="7"/>
        <v>111</v>
      </c>
      <c r="AA14" s="703">
        <f t="shared" si="3"/>
        <v>1</v>
      </c>
      <c r="AB14" s="703">
        <f t="shared" si="4"/>
        <v>1</v>
      </c>
      <c r="AC14" s="703">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14" t="s">
        <v>1691</v>
      </c>
      <c r="Q15" s="1350" t="str">
        <f t="shared" si="6"/>
        <v>产业集聚程度</v>
      </c>
      <c r="R15" s="704" t="s">
        <v>14</v>
      </c>
      <c r="S15" s="705">
        <f t="shared" si="0"/>
        <v>100</v>
      </c>
      <c r="T15" s="704" t="s">
        <v>14</v>
      </c>
      <c r="U15" s="705">
        <f t="shared" si="1"/>
        <v>100</v>
      </c>
      <c r="V15" s="704" t="s">
        <v>14</v>
      </c>
      <c r="W15" s="705">
        <f t="shared" si="2"/>
        <v>100</v>
      </c>
      <c r="X15" s="1353"/>
      <c r="Y15" s="3714"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715"/>
      <c r="Q16" s="1350"/>
      <c r="R16" s="704"/>
      <c r="S16" s="705"/>
      <c r="T16" s="704"/>
      <c r="U16" s="705"/>
      <c r="V16" s="704"/>
      <c r="W16" s="705"/>
      <c r="X16" s="1353"/>
      <c r="Y16" s="3715"/>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15"/>
      <c r="Q17" s="1350" t="str">
        <f>B17</f>
        <v>交通便捷度</v>
      </c>
      <c r="R17" s="704" t="s">
        <v>14</v>
      </c>
      <c r="S17" s="705">
        <f>F17</f>
        <v>100</v>
      </c>
      <c r="T17" s="704" t="s">
        <v>14</v>
      </c>
      <c r="U17" s="705">
        <f>H17</f>
        <v>100</v>
      </c>
      <c r="V17" s="704" t="s">
        <v>14</v>
      </c>
      <c r="W17" s="705">
        <f>J17</f>
        <v>100</v>
      </c>
      <c r="X17" s="1353"/>
      <c r="Y17" s="3715"/>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715"/>
      <c r="Q18" s="1350"/>
      <c r="R18" s="704"/>
      <c r="S18" s="705"/>
      <c r="T18" s="704"/>
      <c r="U18" s="705"/>
      <c r="V18" s="704"/>
      <c r="W18" s="705"/>
      <c r="X18" s="1353"/>
      <c r="Y18" s="3715"/>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15"/>
      <c r="Q19" s="1350" t="str">
        <f t="shared" ref="Q19:Q33" si="8">B19</f>
        <v>区域土地利用方向</v>
      </c>
      <c r="R19" s="704" t="s">
        <v>14</v>
      </c>
      <c r="S19" s="705">
        <f>F19</f>
        <v>100</v>
      </c>
      <c r="T19" s="704" t="s">
        <v>14</v>
      </c>
      <c r="U19" s="705">
        <f>H19</f>
        <v>100</v>
      </c>
      <c r="V19" s="704" t="s">
        <v>14</v>
      </c>
      <c r="W19" s="705">
        <f>J19</f>
        <v>100</v>
      </c>
      <c r="X19" s="1353"/>
      <c r="Y19" s="3715"/>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9"/>
      <c r="L20" s="2720"/>
      <c r="M20" s="2714"/>
      <c r="N20" s="2714"/>
      <c r="O20" s="2772"/>
      <c r="P20" s="3715"/>
      <c r="Q20" s="1350"/>
      <c r="R20" s="704"/>
      <c r="S20" s="705"/>
      <c r="T20" s="704"/>
      <c r="U20" s="705"/>
      <c r="V20" s="704"/>
      <c r="W20" s="705"/>
      <c r="X20" s="1353"/>
      <c r="Y20" s="3715"/>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15"/>
      <c r="Q21" s="1350" t="str">
        <f t="shared" si="8"/>
        <v>环境状况</v>
      </c>
      <c r="R21" s="704" t="s">
        <v>14</v>
      </c>
      <c r="S21" s="705">
        <f>F21</f>
        <v>100</v>
      </c>
      <c r="T21" s="704" t="s">
        <v>14</v>
      </c>
      <c r="U21" s="705">
        <f>H21</f>
        <v>100</v>
      </c>
      <c r="V21" s="704" t="s">
        <v>14</v>
      </c>
      <c r="W21" s="705">
        <f>J21</f>
        <v>100</v>
      </c>
      <c r="X21" s="1353"/>
      <c r="Y21" s="3715"/>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715"/>
      <c r="Q22" s="1350"/>
      <c r="R22" s="704"/>
      <c r="S22" s="705"/>
      <c r="T22" s="704"/>
      <c r="U22" s="705"/>
      <c r="V22" s="704"/>
      <c r="W22" s="705"/>
      <c r="X22" s="1353"/>
      <c r="Y22" s="3715"/>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15"/>
      <c r="Q23" s="1341" t="str">
        <f t="shared" si="8"/>
        <v>公共配套设施</v>
      </c>
      <c r="R23" s="700" t="s">
        <v>14</v>
      </c>
      <c r="S23" s="701">
        <f>F23</f>
        <v>100</v>
      </c>
      <c r="T23" s="700" t="s">
        <v>14</v>
      </c>
      <c r="U23" s="701">
        <f>H23</f>
        <v>100</v>
      </c>
      <c r="V23" s="700" t="s">
        <v>14</v>
      </c>
      <c r="W23" s="701">
        <f>J23</f>
        <v>100</v>
      </c>
      <c r="X23" s="702"/>
      <c r="Y23" s="3715"/>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715"/>
      <c r="Q24" s="1341"/>
      <c r="R24" s="700"/>
      <c r="S24" s="701"/>
      <c r="T24" s="700"/>
      <c r="U24" s="701"/>
      <c r="V24" s="700"/>
      <c r="W24" s="701"/>
      <c r="X24" s="702"/>
      <c r="Y24" s="3715"/>
      <c r="Z24" s="52"/>
      <c r="AA24" s="703">
        <v>1</v>
      </c>
      <c r="AB24" s="703">
        <v>1</v>
      </c>
      <c r="AC24" s="703">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15"/>
      <c r="Q25" s="1341" t="str">
        <f t="shared" ref="Q25" si="9">B25</f>
        <v>基础设施水平</v>
      </c>
      <c r="R25" s="700" t="s">
        <v>14</v>
      </c>
      <c r="S25" s="701">
        <f>F25</f>
        <v>100</v>
      </c>
      <c r="T25" s="700" t="s">
        <v>14</v>
      </c>
      <c r="U25" s="701">
        <f>H25</f>
        <v>100</v>
      </c>
      <c r="V25" s="700" t="s">
        <v>14</v>
      </c>
      <c r="W25" s="701">
        <f>J25</f>
        <v>100</v>
      </c>
      <c r="X25" s="702"/>
      <c r="Y25" s="3715"/>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715"/>
      <c r="Q26" s="1341"/>
      <c r="R26" s="700"/>
      <c r="S26" s="701"/>
      <c r="T26" s="700"/>
      <c r="U26" s="701"/>
      <c r="V26" s="700"/>
      <c r="W26" s="701"/>
      <c r="X26" s="702"/>
      <c r="Y26" s="3715"/>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15"/>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715"/>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15"/>
      <c r="Q28" s="1350" t="str">
        <f t="shared" si="8"/>
        <v>毗邻道路的类型与等级</v>
      </c>
      <c r="R28" s="704" t="s">
        <v>14</v>
      </c>
      <c r="S28" s="705">
        <f t="shared" si="10"/>
        <v>100</v>
      </c>
      <c r="T28" s="704" t="s">
        <v>14</v>
      </c>
      <c r="U28" s="705">
        <f t="shared" si="11"/>
        <v>100</v>
      </c>
      <c r="V28" s="704" t="s">
        <v>14</v>
      </c>
      <c r="W28" s="705">
        <f t="shared" si="12"/>
        <v>100</v>
      </c>
      <c r="X28" s="1353"/>
      <c r="Y28" s="3715"/>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715"/>
      <c r="Q29" s="1350"/>
      <c r="R29" s="704"/>
      <c r="S29" s="705"/>
      <c r="T29" s="704"/>
      <c r="U29" s="705"/>
      <c r="V29" s="704"/>
      <c r="W29" s="705"/>
      <c r="X29" s="1353"/>
      <c r="Y29" s="3715"/>
      <c r="Z29" s="1354"/>
      <c r="AA29" s="1351">
        <v>1</v>
      </c>
      <c r="AB29" s="1351">
        <v>1</v>
      </c>
      <c r="AC29" s="1351">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15"/>
      <c r="Q30" s="1350" t="str">
        <f t="shared" si="8"/>
        <v>土地级别</v>
      </c>
      <c r="R30" s="704" t="s">
        <v>14</v>
      </c>
      <c r="S30" s="705">
        <f t="shared" si="10"/>
        <v>100</v>
      </c>
      <c r="T30" s="704" t="s">
        <v>14</v>
      </c>
      <c r="U30" s="705">
        <f t="shared" si="11"/>
        <v>100</v>
      </c>
      <c r="V30" s="704" t="s">
        <v>14</v>
      </c>
      <c r="W30" s="705">
        <f t="shared" si="12"/>
        <v>100</v>
      </c>
      <c r="X30" s="1353"/>
      <c r="Y30" s="3715"/>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15"/>
      <c r="Q31" s="1350">
        <f t="shared" si="8"/>
        <v>111</v>
      </c>
      <c r="R31" s="704" t="s">
        <v>14</v>
      </c>
      <c r="S31" s="705">
        <f t="shared" si="10"/>
        <v>100</v>
      </c>
      <c r="T31" s="704" t="s">
        <v>14</v>
      </c>
      <c r="U31" s="705">
        <f t="shared" si="11"/>
        <v>100</v>
      </c>
      <c r="V31" s="704" t="s">
        <v>14</v>
      </c>
      <c r="W31" s="705">
        <f t="shared" si="12"/>
        <v>100</v>
      </c>
      <c r="X31" s="1353"/>
      <c r="Y31" s="3715"/>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16" t="s">
        <v>1696</v>
      </c>
      <c r="Q32" s="1350">
        <f t="shared" si="8"/>
        <v>111</v>
      </c>
      <c r="R32" s="704" t="s">
        <v>14</v>
      </c>
      <c r="S32" s="705">
        <f t="shared" si="10"/>
        <v>100</v>
      </c>
      <c r="T32" s="704" t="s">
        <v>14</v>
      </c>
      <c r="U32" s="705">
        <f t="shared" si="11"/>
        <v>100</v>
      </c>
      <c r="V32" s="704" t="s">
        <v>14</v>
      </c>
      <c r="W32" s="705">
        <f t="shared" si="12"/>
        <v>100</v>
      </c>
      <c r="X32" s="1353"/>
      <c r="Y32" s="3717"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7"/>
      <c r="Q33" s="1350">
        <f t="shared" si="8"/>
        <v>111</v>
      </c>
      <c r="R33" s="707" t="s">
        <v>14</v>
      </c>
      <c r="S33" s="708">
        <f t="shared" si="10"/>
        <v>100</v>
      </c>
      <c r="T33" s="707" t="s">
        <v>14</v>
      </c>
      <c r="U33" s="708">
        <f t="shared" si="11"/>
        <v>100</v>
      </c>
      <c r="V33" s="707" t="s">
        <v>14</v>
      </c>
      <c r="W33" s="708">
        <f t="shared" si="12"/>
        <v>100</v>
      </c>
      <c r="X33" s="709"/>
      <c r="Y33" s="3717"/>
      <c r="Z33" s="710">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7"/>
      <c r="Q34" s="1350" t="str">
        <f>B34</f>
        <v>宗地面积</v>
      </c>
      <c r="R34" s="704" t="s">
        <v>14</v>
      </c>
      <c r="S34" s="705" t="e">
        <f t="shared" si="10"/>
        <v>#N/A</v>
      </c>
      <c r="T34" s="704" t="s">
        <v>14</v>
      </c>
      <c r="U34" s="705" t="e">
        <f t="shared" si="11"/>
        <v>#N/A</v>
      </c>
      <c r="V34" s="704" t="s">
        <v>14</v>
      </c>
      <c r="W34" s="705" t="e">
        <f t="shared" si="12"/>
        <v>#N/A</v>
      </c>
      <c r="X34" s="1353"/>
      <c r="Y34" s="3717"/>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17"/>
      <c r="Q35" s="1350" t="str">
        <f t="shared" ref="Q35:Q40" si="14">B35</f>
        <v>宗地形状</v>
      </c>
      <c r="R35" s="704" t="s">
        <v>14</v>
      </c>
      <c r="S35" s="705">
        <f t="shared" si="10"/>
        <v>100</v>
      </c>
      <c r="T35" s="704" t="s">
        <v>14</v>
      </c>
      <c r="U35" s="705">
        <f t="shared" si="11"/>
        <v>100</v>
      </c>
      <c r="V35" s="704" t="s">
        <v>14</v>
      </c>
      <c r="W35" s="705">
        <f t="shared" si="12"/>
        <v>100</v>
      </c>
      <c r="X35" s="1353"/>
      <c r="Y35" s="3717"/>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17"/>
      <c r="Q36" s="1350" t="str">
        <f t="shared" si="14"/>
        <v>宗地开发程度</v>
      </c>
      <c r="R36" s="700" t="s">
        <v>14</v>
      </c>
      <c r="S36" s="701">
        <f t="shared" si="10"/>
        <v>100</v>
      </c>
      <c r="T36" s="700" t="s">
        <v>14</v>
      </c>
      <c r="U36" s="701">
        <f t="shared" si="11"/>
        <v>100</v>
      </c>
      <c r="V36" s="700" t="s">
        <v>14</v>
      </c>
      <c r="W36" s="701">
        <f t="shared" si="12"/>
        <v>100</v>
      </c>
      <c r="X36" s="702"/>
      <c r="Y36" s="3717"/>
      <c r="Z36" s="52" t="str">
        <f t="shared" si="13"/>
        <v>宗地开发程度</v>
      </c>
      <c r="AA36" s="703">
        <f t="shared" si="3"/>
        <v>1</v>
      </c>
      <c r="AB36" s="703">
        <f t="shared" si="4"/>
        <v>1</v>
      </c>
      <c r="AC36" s="703">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17" t="s">
        <v>1696</v>
      </c>
      <c r="Q37" s="1350" t="str">
        <f t="shared" si="14"/>
        <v>工程地质条件</v>
      </c>
      <c r="R37" s="704" t="s">
        <v>14</v>
      </c>
      <c r="S37" s="705">
        <f t="shared" si="10"/>
        <v>100</v>
      </c>
      <c r="T37" s="704" t="s">
        <v>14</v>
      </c>
      <c r="U37" s="705">
        <f t="shared" si="11"/>
        <v>100</v>
      </c>
      <c r="V37" s="704" t="s">
        <v>14</v>
      </c>
      <c r="W37" s="705">
        <f t="shared" si="12"/>
        <v>100</v>
      </c>
      <c r="X37" s="1353"/>
      <c r="Y37" s="3717" t="s">
        <v>1696</v>
      </c>
      <c r="Z37" s="1354" t="str">
        <f t="shared" si="13"/>
        <v>工程地质条件</v>
      </c>
      <c r="AA37" s="1351">
        <f t="shared" si="3"/>
        <v>1</v>
      </c>
      <c r="AB37" s="1351">
        <f t="shared" si="4"/>
        <v>1</v>
      </c>
      <c r="AC37" s="1351">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7"/>
      <c r="Q38" s="1350">
        <f t="shared" si="14"/>
        <v>111</v>
      </c>
      <c r="R38" s="704" t="s">
        <v>14</v>
      </c>
      <c r="S38" s="705">
        <f t="shared" si="10"/>
        <v>100</v>
      </c>
      <c r="T38" s="704" t="s">
        <v>14</v>
      </c>
      <c r="U38" s="705">
        <f t="shared" si="11"/>
        <v>100</v>
      </c>
      <c r="V38" s="704" t="s">
        <v>14</v>
      </c>
      <c r="W38" s="705">
        <f t="shared" si="12"/>
        <v>100</v>
      </c>
      <c r="X38" s="1353"/>
      <c r="Y38" s="3717"/>
      <c r="Z38" s="1354">
        <f t="shared" si="13"/>
        <v>111</v>
      </c>
      <c r="AA38" s="1351">
        <f t="shared" si="3"/>
        <v>1</v>
      </c>
      <c r="AB38" s="1351">
        <f t="shared" si="4"/>
        <v>1</v>
      </c>
      <c r="AC38" s="1351">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7"/>
      <c r="Q39" s="1350">
        <f t="shared" si="14"/>
        <v>111</v>
      </c>
      <c r="R39" s="704" t="s">
        <v>14</v>
      </c>
      <c r="S39" s="705">
        <f t="shared" si="10"/>
        <v>100</v>
      </c>
      <c r="T39" s="704" t="s">
        <v>14</v>
      </c>
      <c r="U39" s="705">
        <f t="shared" si="11"/>
        <v>100</v>
      </c>
      <c r="V39" s="704" t="s">
        <v>14</v>
      </c>
      <c r="W39" s="705">
        <f t="shared" si="12"/>
        <v>100</v>
      </c>
      <c r="X39" s="1353"/>
      <c r="Y39" s="3717"/>
      <c r="Z39" s="1354">
        <f t="shared" si="13"/>
        <v>111</v>
      </c>
      <c r="AA39" s="1351">
        <f t="shared" si="3"/>
        <v>1</v>
      </c>
      <c r="AB39" s="1351">
        <f t="shared" si="4"/>
        <v>1</v>
      </c>
      <c r="AC39" s="1351">
        <f t="shared" si="5"/>
        <v>1</v>
      </c>
    </row>
    <row r="40" spans="1:31" s="422" customFormat="1" ht="15.75" thickBot="1">
      <c r="A40" s="419"/>
      <c r="B40" s="1133">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7"/>
      <c r="Q40" s="1350">
        <f t="shared" si="14"/>
        <v>111</v>
      </c>
      <c r="R40" s="707" t="s">
        <v>14</v>
      </c>
      <c r="S40" s="708">
        <f t="shared" si="10"/>
        <v>100</v>
      </c>
      <c r="T40" s="707" t="s">
        <v>14</v>
      </c>
      <c r="U40" s="708">
        <f t="shared" si="11"/>
        <v>100</v>
      </c>
      <c r="V40" s="707" t="s">
        <v>14</v>
      </c>
      <c r="W40" s="708">
        <f t="shared" si="12"/>
        <v>100</v>
      </c>
      <c r="X40" s="709"/>
      <c r="Y40" s="3717"/>
      <c r="Z40" s="710">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3"/>
      <c r="L41" s="2722"/>
      <c r="M41" s="2714"/>
      <c r="N41" s="2714"/>
      <c r="O41" s="2723"/>
      <c r="P41" s="3713" t="str">
        <f>A41</f>
        <v>成交单价</v>
      </c>
      <c r="Q41" s="3713"/>
      <c r="R41" s="3718">
        <f>E41</f>
        <v>0</v>
      </c>
      <c r="S41" s="3718"/>
      <c r="T41" s="3718">
        <f>G41</f>
        <v>0</v>
      </c>
      <c r="U41" s="3718"/>
      <c r="V41" s="3718">
        <f>I41</f>
        <v>0</v>
      </c>
      <c r="W41" s="3718"/>
      <c r="X41" s="689"/>
      <c r="Y41" s="711"/>
      <c r="Z41" s="689"/>
      <c r="AA41" s="689"/>
      <c r="AB41" s="689"/>
      <c r="AC41" s="689"/>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713" t="str">
        <f>A42</f>
        <v>比较价值（元/平方米）</v>
      </c>
      <c r="Q42" s="3713"/>
      <c r="R42" s="3706" t="e">
        <f>ROUND(PRODUCT(R41,AA7:AA40),0)</f>
        <v>#DIV/0!</v>
      </c>
      <c r="S42" s="3706"/>
      <c r="T42" s="3706" t="e">
        <f>ROUND(PRODUCT(T41,AB7:AB40),0)</f>
        <v>#DIV/0!</v>
      </c>
      <c r="U42" s="3706"/>
      <c r="V42" s="3706" t="e">
        <f>ROUND(PRODUCT(V41,AC7:AC40),0)</f>
        <v>#DIV/0!</v>
      </c>
      <c r="W42" s="3706"/>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2"/>
      <c r="M43" s="2714"/>
      <c r="N43" s="2714"/>
      <c r="O43" s="2723"/>
      <c r="P43" s="3707" t="str">
        <f>A43</f>
        <v>估价对象XX用房的比较价值（楼面单价，元/平方米）</v>
      </c>
      <c r="Q43" s="3708"/>
      <c r="R43" s="3709" t="e">
        <f>ROUND(IF(D42="简单平均",AVERAGE(R42:W42),R42*F42+T42*H42+V42*J42),0)</f>
        <v>#DIV/0!</v>
      </c>
      <c r="S43" s="3709"/>
      <c r="T43" s="3709"/>
      <c r="U43" s="3709"/>
      <c r="V43" s="3709"/>
      <c r="W43" s="3709"/>
      <c r="X43" s="689"/>
      <c r="Y43" s="689"/>
      <c r="Z43" s="689"/>
      <c r="AA43" s="689"/>
      <c r="AB43" s="689"/>
      <c r="AC43" s="689"/>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2"/>
      <c r="D49" s="690"/>
      <c r="E49" s="690"/>
      <c r="F49" s="690"/>
      <c r="G49" s="690"/>
      <c r="H49" s="690"/>
      <c r="I49" s="690"/>
      <c r="J49" s="690"/>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710" t="s">
        <v>1887</v>
      </c>
      <c r="H50" s="3711"/>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3">
        <v>1</v>
      </c>
      <c r="E51" s="638">
        <f>'数据-汇总表'!E8+'数据-汇总表'!E9</f>
        <v>3643.6099999999992</v>
      </c>
      <c r="F51" s="639" t="e">
        <f t="shared" ref="F51:F60" si="15">ROUND(B51*E51/10000,0)</f>
        <v>#DIV/0!</v>
      </c>
      <c r="G51" s="3712"/>
      <c r="H51" s="3713"/>
      <c r="I51" s="772">
        <v>1</v>
      </c>
      <c r="J51" s="772">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4">
        <v>0.25</v>
      </c>
      <c r="E52" s="642"/>
      <c r="F52" s="639" t="e">
        <f t="shared" si="15"/>
        <v>#DIV/0!</v>
      </c>
      <c r="G52" s="3004" t="s">
        <v>1892</v>
      </c>
      <c r="H52" s="886">
        <f>项目基本情况!B37</f>
        <v>0</v>
      </c>
      <c r="I52" s="772">
        <f>SUMIF(修正!A57:A68,H52,修正!B57:B68)</f>
        <v>0</v>
      </c>
      <c r="J52" s="773"/>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4">
        <v>0.25</v>
      </c>
      <c r="E53" s="642"/>
      <c r="F53" s="639" t="e">
        <f t="shared" si="15"/>
        <v>#DIV/0!</v>
      </c>
      <c r="G53" s="3005"/>
      <c r="H53" s="886">
        <f>项目基本情况!B37</f>
        <v>0</v>
      </c>
      <c r="I53" s="772">
        <f>SUMIF(修正!A57:A68,H53,修正!C57:C68)</f>
        <v>0</v>
      </c>
      <c r="J53" s="773"/>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4">
        <v>0.25</v>
      </c>
      <c r="E54" s="642"/>
      <c r="F54" s="639" t="e">
        <f t="shared" si="15"/>
        <v>#DIV/0!</v>
      </c>
      <c r="G54" s="3005"/>
      <c r="H54" s="886">
        <f>项目基本情况!B37</f>
        <v>0</v>
      </c>
      <c r="I54" s="772">
        <f>SUMIF(修正!A57:A68,H54,修正!D57:D68)</f>
        <v>0</v>
      </c>
      <c r="J54" s="773"/>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4"/>
      <c r="E55" s="642"/>
      <c r="F55" s="639"/>
      <c r="G55" s="3006"/>
      <c r="H55" s="886"/>
      <c r="I55" s="772"/>
      <c r="J55" s="773"/>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4">
        <v>0.25</v>
      </c>
      <c r="E56" s="217">
        <f>'数据-汇总表'!E11</f>
        <v>0</v>
      </c>
      <c r="F56" s="639" t="e">
        <f t="shared" si="15"/>
        <v>#DIV/0!</v>
      </c>
      <c r="G56" s="1985" t="s">
        <v>1896</v>
      </c>
      <c r="H56" s="886">
        <f>项目基本情况!C37</f>
        <v>0</v>
      </c>
      <c r="I56" s="772">
        <f>SUMIF(修正!A57:A68,H56,修正!E57:E68)</f>
        <v>0</v>
      </c>
      <c r="J56" s="773"/>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4">
        <v>0.25</v>
      </c>
      <c r="E57" s="217">
        <f>'数据-汇总表'!E12</f>
        <v>0</v>
      </c>
      <c r="F57" s="639" t="e">
        <f t="shared" si="15"/>
        <v>#DIV/0!</v>
      </c>
      <c r="G57" s="891" t="s">
        <v>1898</v>
      </c>
      <c r="H57" s="886">
        <f>IF(G57="商业",项目基本情况!B37,IF(G57="办公",项目基本情况!C37,IF(G57="住宅",项目基本情况!D37,项目基本情况!E37)))</f>
        <v>0</v>
      </c>
      <c r="I57" s="772">
        <f>SUMIF(修正!A57:A68,H57,修正!F57:F68)</f>
        <v>0</v>
      </c>
      <c r="J57" s="773"/>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0.1</v>
      </c>
      <c r="D58" s="944">
        <v>0.25</v>
      </c>
      <c r="E58" s="217">
        <f>'数据-汇总表'!E13</f>
        <v>0</v>
      </c>
      <c r="F58" s="639" t="e">
        <f t="shared" si="15"/>
        <v>#DIV/0!</v>
      </c>
      <c r="G58" s="891" t="s">
        <v>1900</v>
      </c>
      <c r="H58" s="886" t="str">
        <f>IF(G58="商业",项目基本情况!B37,IF(G58="办公",项目基本情况!C37,IF(G58="住宅",项目基本情况!D37,项目基本情况!E37)))</f>
        <v>九级</v>
      </c>
      <c r="I58" s="772">
        <f>SUMIF(修正!A57:A68,H58,修正!G57:G68)</f>
        <v>0.1</v>
      </c>
      <c r="J58" s="773"/>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4">
        <v>0.25</v>
      </c>
      <c r="E59" s="217">
        <f>'数据-汇总表'!E14</f>
        <v>0</v>
      </c>
      <c r="F59" s="639" t="e">
        <f t="shared" si="15"/>
        <v>#DIV/0!</v>
      </c>
      <c r="G59" s="1985" t="s">
        <v>1892</v>
      </c>
      <c r="H59" s="886">
        <f>项目基本情况!B37</f>
        <v>0</v>
      </c>
      <c r="I59" s="772">
        <f>SUMIF(修正!A57:A68,H59,修正!G57:G68)</f>
        <v>0</v>
      </c>
      <c r="J59" s="773"/>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4">
        <v>0.25</v>
      </c>
      <c r="E60" s="217">
        <f>'数据-汇总表'!E15</f>
        <v>0</v>
      </c>
      <c r="F60" s="639" t="e">
        <f t="shared" si="15"/>
        <v>#DIV/0!</v>
      </c>
      <c r="G60" s="1986" t="s">
        <v>1896</v>
      </c>
      <c r="H60" s="896">
        <f>项目基本情况!C37</f>
        <v>0</v>
      </c>
      <c r="I60" s="772">
        <f>SUMIF(修正!A57:A68,H60,修正!G57:G68)</f>
        <v>0</v>
      </c>
      <c r="J60" s="773"/>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8"/>
      <c r="H61" s="938"/>
      <c r="I61" s="938"/>
      <c r="J61" s="938"/>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6"/>
      <c r="B62" s="928"/>
      <c r="C62" s="930"/>
      <c r="D62" s="926"/>
      <c r="E62" s="926"/>
      <c r="F62" s="926"/>
      <c r="G62" s="926"/>
      <c r="H62" s="926"/>
      <c r="I62" s="926"/>
      <c r="J62" s="926"/>
      <c r="K62" s="887"/>
      <c r="L62" s="888"/>
      <c r="M62" s="926"/>
      <c r="N62" s="926"/>
      <c r="O62" s="926"/>
      <c r="P62" s="2723"/>
      <c r="Q62" s="2723"/>
      <c r="R62" s="2723"/>
      <c r="S62" s="2723"/>
      <c r="T62" s="2723"/>
      <c r="U62" s="2723"/>
      <c r="V62" s="2723"/>
      <c r="W62" s="2723"/>
      <c r="X62" s="2723"/>
      <c r="Y62" s="2723"/>
      <c r="Z62" s="2723"/>
      <c r="AA62" s="2723"/>
      <c r="AB62" s="2723"/>
      <c r="AC62" s="2723"/>
      <c r="AD62" s="2723"/>
      <c r="AE62" s="2723"/>
    </row>
    <row r="63" spans="1:31">
      <c r="A63" s="926"/>
      <c r="B63" s="928"/>
      <c r="C63" s="691" t="str">
        <f>YEAR(C7)&amp;"-"&amp;MONTH(C7)&amp;"-1"</f>
        <v>2024-10-1</v>
      </c>
      <c r="D63" s="691">
        <f>EDATE(C63,-3)</f>
        <v>45474</v>
      </c>
      <c r="E63" s="691">
        <f>EDATE(D63,-3)</f>
        <v>45383</v>
      </c>
      <c r="F63" s="691">
        <f t="shared" ref="F63:O63" si="18">EDATE(E63,-3)</f>
        <v>45292</v>
      </c>
      <c r="G63" s="691">
        <f t="shared" si="18"/>
        <v>45200</v>
      </c>
      <c r="H63" s="691">
        <f t="shared" si="18"/>
        <v>45108</v>
      </c>
      <c r="I63" s="691">
        <f t="shared" si="18"/>
        <v>45017</v>
      </c>
      <c r="J63" s="691">
        <f t="shared" si="18"/>
        <v>44927</v>
      </c>
      <c r="K63" s="691">
        <f t="shared" si="18"/>
        <v>44835</v>
      </c>
      <c r="L63" s="691">
        <f t="shared" si="18"/>
        <v>44743</v>
      </c>
      <c r="M63" s="691">
        <f t="shared" si="18"/>
        <v>44652</v>
      </c>
      <c r="N63" s="691">
        <f t="shared" si="18"/>
        <v>44562</v>
      </c>
      <c r="O63" s="691">
        <f t="shared" si="18"/>
        <v>44470</v>
      </c>
      <c r="P63" s="2723"/>
      <c r="Q63" s="2723"/>
      <c r="R63" s="2723"/>
      <c r="S63" s="2723"/>
      <c r="T63" s="2723"/>
      <c r="U63" s="2723"/>
      <c r="V63" s="2723"/>
      <c r="W63" s="2723"/>
      <c r="X63" s="2723"/>
      <c r="Y63" s="2723"/>
      <c r="Z63" s="2723"/>
      <c r="AA63" s="2723"/>
      <c r="AB63" s="2723"/>
      <c r="AC63" s="2723"/>
      <c r="AD63" s="2723"/>
      <c r="AE63" s="2723"/>
    </row>
    <row r="64" spans="1:31" ht="21.75" thickBot="1">
      <c r="A64" s="693" t="s">
        <v>1798</v>
      </c>
      <c r="B64" s="689"/>
      <c r="C64" s="694"/>
      <c r="D64" s="694"/>
      <c r="E64" s="694"/>
      <c r="F64" s="695"/>
      <c r="G64" s="695"/>
      <c r="H64" s="694"/>
      <c r="I64" s="694"/>
      <c r="J64" s="694"/>
      <c r="K64" s="696"/>
      <c r="L64" s="697"/>
      <c r="M64" s="694"/>
      <c r="N64" s="694"/>
      <c r="O64" s="939"/>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8"/>
      <c r="C65" s="1180" t="str">
        <f>YEAR(C63)&amp;"-"&amp;ROUNDUP(MONTH(C63)/3,0)</f>
        <v>2024-4</v>
      </c>
      <c r="D65" s="1180" t="str">
        <f t="shared" ref="D65:O65" si="19">YEAR(D63)&amp;"-"&amp;ROUNDUP(MONTH(D63)/3,0)</f>
        <v>2024-3</v>
      </c>
      <c r="E65" s="1180" t="str">
        <f t="shared" si="19"/>
        <v>2024-2</v>
      </c>
      <c r="F65" s="1180" t="str">
        <f t="shared" si="19"/>
        <v>2024-1</v>
      </c>
      <c r="G65" s="1180" t="str">
        <f t="shared" si="19"/>
        <v>2023-4</v>
      </c>
      <c r="H65" s="1180" t="str">
        <f t="shared" si="19"/>
        <v>2023-3</v>
      </c>
      <c r="I65" s="1180" t="str">
        <f t="shared" si="19"/>
        <v>2023-2</v>
      </c>
      <c r="J65" s="1180" t="str">
        <f t="shared" si="19"/>
        <v>2023-1</v>
      </c>
      <c r="K65" s="1180" t="str">
        <f t="shared" si="19"/>
        <v>2022-4</v>
      </c>
      <c r="L65" s="1180" t="str">
        <f t="shared" si="19"/>
        <v>2022-3</v>
      </c>
      <c r="M65" s="1180" t="str">
        <f t="shared" si="19"/>
        <v>2022-2</v>
      </c>
      <c r="N65" s="1180" t="str">
        <f t="shared" si="19"/>
        <v>2022-1</v>
      </c>
      <c r="O65" s="1180" t="str">
        <f t="shared" si="19"/>
        <v>2021-4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J42" sqref="J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2"/>
      <c r="C1" s="1377" t="s">
        <v>3435</v>
      </c>
      <c r="D1" s="1360" t="s">
        <v>43</v>
      </c>
      <c r="E1" s="1361" t="s">
        <v>678</v>
      </c>
      <c r="F1" s="1061">
        <f ca="1">J53</f>
        <v>63.02</v>
      </c>
      <c r="G1" s="1376">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804</v>
      </c>
      <c r="B2" s="1384">
        <f ca="1">C40+J29+L46</f>
        <v>23</v>
      </c>
      <c r="C2" s="1385" t="s">
        <v>805</v>
      </c>
      <c r="D2" s="1385"/>
      <c r="E2" s="1386"/>
      <c r="F2" s="1387"/>
      <c r="G2" s="2704"/>
      <c r="H2" s="2693"/>
      <c r="I2" s="2693"/>
      <c r="J2" s="2693"/>
      <c r="K2" s="2694"/>
      <c r="L2" s="2693"/>
      <c r="M2" s="2693"/>
    </row>
    <row r="3" spans="1:37" ht="18" customHeight="1" thickBot="1">
      <c r="A3" s="1388" t="s">
        <v>806</v>
      </c>
      <c r="B3" s="1389">
        <f ca="1">IF(ISERROR(B2*10000/F43),0,ROUND(B2*10000/F43,0))</f>
        <v>2566</v>
      </c>
      <c r="C3" s="1385" t="s">
        <v>807</v>
      </c>
      <c r="D3" s="1385"/>
      <c r="E3" s="1386"/>
      <c r="F3" s="1387"/>
      <c r="G3" s="2704"/>
      <c r="H3" s="682"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9">
        <f ca="1">C6+C10+C12</f>
        <v>2</v>
      </c>
      <c r="D5" s="1362" t="s">
        <v>693</v>
      </c>
      <c r="E5" s="1070"/>
      <c r="F5" s="1071"/>
      <c r="G5" s="1382"/>
      <c r="H5" s="299">
        <v>1</v>
      </c>
      <c r="I5" s="300" t="s">
        <v>692</v>
      </c>
      <c r="J5" s="1069">
        <f ca="1">J6+J10+J12</f>
        <v>0</v>
      </c>
      <c r="K5" s="1362" t="s">
        <v>693</v>
      </c>
      <c r="L5" s="1070"/>
      <c r="M5" s="1071"/>
    </row>
    <row r="6" spans="1:37" ht="18" customHeight="1">
      <c r="A6" s="1068" t="s">
        <v>398</v>
      </c>
      <c r="B6" s="3661" t="s">
        <v>694</v>
      </c>
      <c r="C6" s="1073">
        <f ca="1">ROUND(F6*F8*F7*(1-F9)/10000,0)</f>
        <v>2</v>
      </c>
      <c r="D6" s="155" t="s">
        <v>2108</v>
      </c>
      <c r="E6" s="302" t="s">
        <v>696</v>
      </c>
      <c r="F6" s="303">
        <f ca="1">INDIRECT("'数据-取费表'!u"&amp;$G$1)</f>
        <v>2000</v>
      </c>
      <c r="G6" s="1382"/>
      <c r="H6" s="1068" t="s">
        <v>398</v>
      </c>
      <c r="I6" s="3661" t="s">
        <v>694</v>
      </c>
      <c r="J6" s="301">
        <f ca="1">ROUND(M6*M8*M7*(1-M9)/10000,0)</f>
        <v>0</v>
      </c>
      <c r="K6" s="155" t="s">
        <v>2107</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1</v>
      </c>
      <c r="G7" s="1382"/>
      <c r="H7" s="304"/>
      <c r="I7" s="3662"/>
      <c r="J7" s="306"/>
      <c r="K7" s="307"/>
      <c r="L7" s="302" t="s">
        <v>697</v>
      </c>
      <c r="M7" s="303">
        <f ca="1">F7</f>
        <v>1</v>
      </c>
    </row>
    <row r="8" spans="1:37" ht="18" customHeight="1">
      <c r="A8" s="304"/>
      <c r="B8" s="3662"/>
      <c r="C8" s="306"/>
      <c r="D8" s="307"/>
      <c r="E8" s="302" t="s">
        <v>698</v>
      </c>
      <c r="F8" s="303">
        <f ca="1">INDIRECT("'数据-取费表'!ai"&amp;$G$1)</f>
        <v>12</v>
      </c>
      <c r="G8" s="1382"/>
      <c r="H8" s="304"/>
      <c r="I8" s="3662"/>
      <c r="J8" s="306"/>
      <c r="K8" s="307"/>
      <c r="L8" s="302" t="s">
        <v>698</v>
      </c>
      <c r="M8" s="303">
        <f ca="1">INDIRECT("'数据-取费表'!ai"&amp;$G$1)</f>
        <v>12</v>
      </c>
    </row>
    <row r="9" spans="1:37" ht="18" customHeight="1">
      <c r="A9" s="304"/>
      <c r="B9" s="3663"/>
      <c r="C9" s="306"/>
      <c r="D9" s="307"/>
      <c r="E9" s="302" t="s">
        <v>699</v>
      </c>
      <c r="F9" s="312">
        <f ca="1">INDIRECT("'数据-取费表'!w"&amp;$G$1)</f>
        <v>0.1</v>
      </c>
      <c r="G9" s="1382"/>
      <c r="H9" s="304"/>
      <c r="I9" s="3663"/>
      <c r="J9" s="306"/>
      <c r="K9" s="307"/>
      <c r="L9" s="313" t="s">
        <v>699</v>
      </c>
      <c r="M9" s="314">
        <f ca="1">INDIRECT("'数据-取费表'!ab"&amp;$G$1)</f>
        <v>0</v>
      </c>
    </row>
    <row r="10" spans="1:37" ht="18" customHeight="1">
      <c r="A10" s="1068" t="s">
        <v>402</v>
      </c>
      <c r="B10" s="1363" t="s">
        <v>700</v>
      </c>
      <c r="C10" s="316">
        <f ca="1">ROUND(IF(F10="押一",C6/12*F11,IF(F10="押二",C6/12*2*F11,IF(F10="押三",C6/12*3*F11,C11*F11))),0)</f>
        <v>0</v>
      </c>
      <c r="D10" s="1364" t="s">
        <v>2116</v>
      </c>
      <c r="E10" s="313" t="s">
        <v>701</v>
      </c>
      <c r="F10" s="1115" t="s">
        <v>3905</v>
      </c>
      <c r="G10" s="1382"/>
      <c r="H10" s="1068" t="s">
        <v>402</v>
      </c>
      <c r="I10" s="1363" t="s">
        <v>700</v>
      </c>
      <c r="J10" s="301">
        <f ca="1">ROUND(IF(M10="押一",J6/12*M11,IF(M10="押二",J6/12*2*M11,IF(M10="押三",J6/12*3*M11,J11*M11))),0)</f>
        <v>0</v>
      </c>
      <c r="K10" s="1364" t="s">
        <v>2115</v>
      </c>
      <c r="L10" s="313" t="s">
        <v>701</v>
      </c>
      <c r="M10" s="1115"/>
    </row>
    <row r="11" spans="1:37" ht="18" customHeight="1">
      <c r="A11" s="308"/>
      <c r="B11" s="1365" t="s">
        <v>679</v>
      </c>
      <c r="C11" s="958"/>
      <c r="D11" s="1366"/>
      <c r="E11" s="313" t="s">
        <v>702</v>
      </c>
      <c r="F11" s="314">
        <f ca="1">'数据-取费表'!B39</f>
        <v>1.4999999999999999E-2</v>
      </c>
      <c r="G11" s="1382"/>
      <c r="H11" s="1076"/>
      <c r="I11" s="1365" t="s">
        <v>679</v>
      </c>
      <c r="J11" s="958"/>
      <c r="K11" s="683"/>
      <c r="L11" s="313"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10">
        <f ca="1">ROUND(C29*F13,0)</f>
        <v>63</v>
      </c>
      <c r="D13" s="1080" t="s">
        <v>705</v>
      </c>
      <c r="E13" s="1080" t="s">
        <v>706</v>
      </c>
      <c r="F13" s="1081">
        <f ca="1">INDIRECT("'数据-取费表'!y"&amp;$G$1)</f>
        <v>0.95</v>
      </c>
      <c r="G13" s="1382"/>
      <c r="H13" s="1078">
        <v>2</v>
      </c>
      <c r="I13" s="1079" t="s">
        <v>704</v>
      </c>
      <c r="J13" s="1067">
        <f ca="1">ROUND(J14*J15,0)</f>
        <v>0</v>
      </c>
      <c r="K13" s="1086" t="s">
        <v>705</v>
      </c>
      <c r="L13" s="1390"/>
      <c r="M13" s="1391"/>
    </row>
    <row r="14" spans="1:37" ht="18" customHeight="1">
      <c r="A14" s="981" t="s">
        <v>397</v>
      </c>
      <c r="B14" s="302" t="s">
        <v>707</v>
      </c>
      <c r="C14" s="318">
        <f ca="1">INDIRECT("'数据-取费表'!m"&amp;$G$1)+INDIRECT("'数据-取费表'!t"&amp;$G$1)</f>
        <v>40</v>
      </c>
      <c r="D14" s="1343" t="s">
        <v>708</v>
      </c>
      <c r="E14" s="1340"/>
      <c r="F14" s="319"/>
      <c r="G14" s="1382"/>
      <c r="H14" s="981" t="s">
        <v>398</v>
      </c>
      <c r="I14" s="302" t="s">
        <v>709</v>
      </c>
      <c r="J14" s="21">
        <f ca="1">C29</f>
        <v>66</v>
      </c>
      <c r="K14" s="12"/>
      <c r="L14" s="806"/>
      <c r="M14" s="807"/>
    </row>
    <row r="15" spans="1:37" s="1395" customFormat="1" ht="18" customHeight="1" thickBot="1">
      <c r="A15" s="981" t="s">
        <v>399</v>
      </c>
      <c r="B15" s="302" t="s">
        <v>710</v>
      </c>
      <c r="C15" s="21">
        <f ca="1">ROUND(C14*F15,0)</f>
        <v>2</v>
      </c>
      <c r="D15" s="320" t="s">
        <v>711</v>
      </c>
      <c r="E15" s="320" t="s">
        <v>712</v>
      </c>
      <c r="F15" s="321">
        <f>'数据-取费表'!B33</f>
        <v>0.05</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2" t="s">
        <v>713</v>
      </c>
      <c r="C16" s="21">
        <f ca="1">ROUND(INDIRECT("'数据-取费表'!m"&amp;$G$1)*F16,0)</f>
        <v>3</v>
      </c>
      <c r="D16" s="302" t="s">
        <v>711</v>
      </c>
      <c r="E16" s="302" t="s">
        <v>712</v>
      </c>
      <c r="F16" s="322">
        <f ca="1">IF(INDIRECT("'数据-取费表'!c"&amp;$G$1)="住宅",'数据-取费表'!B34,0)</f>
        <v>0.08</v>
      </c>
      <c r="G16" s="1382"/>
      <c r="H16" s="1078" t="s">
        <v>393</v>
      </c>
      <c r="I16" s="1079" t="s">
        <v>714</v>
      </c>
      <c r="J16" s="310">
        <f ca="1">ROUND(J17+J22+J23+J24,0)</f>
        <v>0</v>
      </c>
      <c r="K16" s="1086" t="s">
        <v>715</v>
      </c>
      <c r="L16" s="1087"/>
      <c r="M16" s="1071"/>
    </row>
    <row r="17" spans="1:37" s="1395" customFormat="1" ht="18" customHeight="1">
      <c r="A17" s="981" t="s">
        <v>681</v>
      </c>
      <c r="B17" s="302" t="s">
        <v>716</v>
      </c>
      <c r="C17" s="21">
        <f ca="1">ROUND(F17*(F43+INDIRECT("'数据-取费表'!S"&amp;$G$1))/10000,0)</f>
        <v>2</v>
      </c>
      <c r="D17" s="302" t="s">
        <v>717</v>
      </c>
      <c r="E17" s="302" t="s">
        <v>718</v>
      </c>
      <c r="F17" s="23">
        <f>'数据-取费表'!B35</f>
        <v>200</v>
      </c>
      <c r="G17" s="1394"/>
      <c r="H17" s="981"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2" t="s">
        <v>722</v>
      </c>
      <c r="C18" s="21">
        <f ca="1">ROUND(C14*F18,0)</f>
        <v>1</v>
      </c>
      <c r="D18" s="302" t="s">
        <v>711</v>
      </c>
      <c r="E18" s="302" t="s">
        <v>712</v>
      </c>
      <c r="F18" s="322">
        <f>'数据-取费表'!B36</f>
        <v>0.02</v>
      </c>
      <c r="G18" s="1394"/>
      <c r="H18" s="981"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2" t="s">
        <v>725</v>
      </c>
      <c r="C19" s="21">
        <f ca="1">SUM(C14:C18)</f>
        <v>48</v>
      </c>
      <c r="D19" s="131" t="s">
        <v>726</v>
      </c>
      <c r="E19" s="1358"/>
      <c r="F19" s="23"/>
      <c r="G19" s="1382"/>
      <c r="H19" s="981" t="s">
        <v>399</v>
      </c>
      <c r="I19" s="302" t="s">
        <v>727</v>
      </c>
      <c r="J19" s="21">
        <f ca="1">IF(K19="按租金收入计税",ROUND(J6*M19/(1+'数据-取费表'!C42),2),ROUND(C29*M19*0.7,2))</f>
        <v>0</v>
      </c>
      <c r="K19" s="1368" t="s">
        <v>3336</v>
      </c>
      <c r="L19" s="302" t="s">
        <v>712</v>
      </c>
      <c r="M19" s="322">
        <f>IF(K19="按租金收入计税",'数据-取费表'!B51,'数据-取费表'!B50)</f>
        <v>0.12</v>
      </c>
    </row>
    <row r="20" spans="1:37" s="1395" customFormat="1" ht="18" customHeight="1">
      <c r="A20" s="981" t="s">
        <v>402</v>
      </c>
      <c r="B20" s="302" t="s">
        <v>728</v>
      </c>
      <c r="C20" s="21">
        <f ca="1">ROUND(C19*F20,0)</f>
        <v>1</v>
      </c>
      <c r="D20" s="323" t="s">
        <v>729</v>
      </c>
      <c r="E20" s="302" t="s">
        <v>712</v>
      </c>
      <c r="F20" s="322">
        <f>'数据-取费表'!B37</f>
        <v>0.02</v>
      </c>
      <c r="G20" s="1394"/>
      <c r="H20" s="981" t="s">
        <v>680</v>
      </c>
      <c r="I20" s="155" t="s">
        <v>730</v>
      </c>
      <c r="J20" s="22">
        <f ca="1">ROUND(M20*M21/10000,2)</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8"/>
      <c r="F22" s="23"/>
      <c r="G22" s="1382"/>
      <c r="H22" s="981" t="s">
        <v>402</v>
      </c>
      <c r="I22" s="302" t="s">
        <v>738</v>
      </c>
      <c r="J22" s="21">
        <f ca="1">ROUND(J14*M22,2)</f>
        <v>0.33</v>
      </c>
      <c r="K22" s="1342" t="s">
        <v>739</v>
      </c>
      <c r="L22" s="302" t="s">
        <v>712</v>
      </c>
      <c r="M22" s="328">
        <f ca="1">INDIRECT("'数据-取费表'!Ak"&amp;$G$1)</f>
        <v>5.0000000000000001E-3</v>
      </c>
    </row>
    <row r="23" spans="1:37" s="1395" customFormat="1" ht="18" customHeight="1">
      <c r="A23" s="981" t="s">
        <v>397</v>
      </c>
      <c r="B23" s="302" t="s">
        <v>740</v>
      </c>
      <c r="C23" s="21">
        <f ca="1">IF('数据-取费表'!B22&lt;=1,ROUND(C19*F24*F23/2,0)+ROUND(C20*F24*F23/2,0),ROUND(C19*(POWER((1+F24),F23/2)-1),0)+ROUND(C20*(POWER((1+F24),F23/2)-1),0))</f>
        <v>2</v>
      </c>
      <c r="D23" s="329" t="str">
        <f>IF(F23&lt;=1,"(建造成本+管理费用)×利率×(建设周期÷2)","(建造成本+管理费用)×((1+利率)^(建设周期÷2)-1)")</f>
        <v>(建造成本+管理费用)×((1+利率)^(建设周期÷2)-1)</v>
      </c>
      <c r="E23" s="302" t="s">
        <v>741</v>
      </c>
      <c r="F23" s="325">
        <f>'数据-取费表'!B20</f>
        <v>2</v>
      </c>
      <c r="G23" s="1394"/>
      <c r="H23" s="981" t="s">
        <v>437</v>
      </c>
      <c r="I23" s="302" t="s">
        <v>742</v>
      </c>
      <c r="J23" s="21">
        <f ca="1">ROUND(J13*M23,2)</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4"/>
      <c r="H24" s="1088" t="s">
        <v>684</v>
      </c>
      <c r="I24" s="1089" t="s">
        <v>728</v>
      </c>
      <c r="J24" s="1090">
        <f ca="1">ROUND(J5*M24,2)</f>
        <v>0</v>
      </c>
      <c r="K24" s="1091" t="s">
        <v>748</v>
      </c>
      <c r="L24" s="1089" t="s">
        <v>744</v>
      </c>
      <c r="M24" s="1085">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749</v>
      </c>
      <c r="B25" s="302" t="s">
        <v>750</v>
      </c>
      <c r="C25" s="21"/>
      <c r="D25" s="131" t="s">
        <v>751</v>
      </c>
      <c r="E25" s="1358"/>
      <c r="F25" s="23"/>
      <c r="G25" s="1382"/>
      <c r="H25" s="1078" t="s">
        <v>394</v>
      </c>
      <c r="I25" s="1093" t="s">
        <v>752</v>
      </c>
      <c r="J25" s="310">
        <f ca="1">J5-J16</f>
        <v>0</v>
      </c>
      <c r="K25" s="1094" t="s">
        <v>753</v>
      </c>
      <c r="L25" s="1095"/>
      <c r="M25" s="1096"/>
    </row>
    <row r="26" spans="1:37">
      <c r="A26" s="981" t="s">
        <v>397</v>
      </c>
      <c r="B26" s="302" t="s">
        <v>754</v>
      </c>
      <c r="C26" s="21">
        <f ca="1">ROUND((C19+C20)*F26,0)</f>
        <v>10</v>
      </c>
      <c r="D26" s="323" t="s">
        <v>755</v>
      </c>
      <c r="E26" s="313" t="s">
        <v>756</v>
      </c>
      <c r="F26" s="312">
        <f ca="1">INDIRECT("'数据-取费表'!q"&amp;$G$1)</f>
        <v>0.2</v>
      </c>
      <c r="G26" s="1382"/>
      <c r="H26" s="299" t="s">
        <v>395</v>
      </c>
      <c r="I26" s="300" t="s">
        <v>757</v>
      </c>
      <c r="J26" s="301">
        <f ca="1">IF(J5&lt;&gt;0,ROUND(J25*(1-((1+M28)/(1+M26))^M27)/(M26-M28),0),0)</f>
        <v>0</v>
      </c>
      <c r="K26" s="324" t="s">
        <v>758</v>
      </c>
      <c r="L26" s="302" t="s">
        <v>759</v>
      </c>
      <c r="M26" s="312">
        <f ca="1">INDIRECT("'数据-取费表'!I"&amp;$G$1)</f>
        <v>0.05</v>
      </c>
    </row>
    <row r="27" spans="1:37" ht="18" customHeight="1">
      <c r="A27" s="981" t="s">
        <v>399</v>
      </c>
      <c r="B27" s="302" t="s">
        <v>760</v>
      </c>
      <c r="C27" s="21">
        <f ca="1">ROUND(F21*F26,4)</f>
        <v>4.0000000000000001E-3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1"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66</v>
      </c>
      <c r="D29" s="1091"/>
      <c r="E29" s="1089"/>
      <c r="F29" s="1092"/>
      <c r="G29" s="1394"/>
      <c r="H29" s="334" t="s">
        <v>396</v>
      </c>
      <c r="I29" s="335" t="s">
        <v>768</v>
      </c>
      <c r="J29" s="336">
        <f ca="1">ROUND(J26/(1+F40)^F41,0)</f>
        <v>0</v>
      </c>
      <c r="K29" s="337" t="s">
        <v>769</v>
      </c>
      <c r="L29" s="338"/>
      <c r="M29" s="339">
        <f ca="1">INDIRECT("'数据-取费表'!k"&amp;$G$1)</f>
        <v>89.64</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10">
        <f ca="1">ROUND(C31+C36+C37+C38,0)</f>
        <v>1</v>
      </c>
      <c r="D30" s="1086" t="s">
        <v>715</v>
      </c>
      <c r="E30" s="1087"/>
      <c r="F30" s="1071"/>
      <c r="G30" s="1382"/>
      <c r="H30" s="2695"/>
      <c r="I30" s="1396"/>
      <c r="J30" s="1397"/>
      <c r="K30" s="2473"/>
      <c r="L30" s="2696"/>
      <c r="M30" s="2697"/>
    </row>
    <row r="31" spans="1:37" ht="18" customHeight="1">
      <c r="A31" s="981" t="s">
        <v>398</v>
      </c>
      <c r="B31" s="302" t="s">
        <v>719</v>
      </c>
      <c r="C31" s="2314">
        <f ca="1">ROUND(IF(AND(项目基本情况!B11="自然人",项目基本情况!B10="北京市"),C6*F31/(1+'数据-取费表'!C42),C32+C33+C34),2)</f>
        <v>0.33</v>
      </c>
      <c r="D31" s="1343" t="s">
        <v>720</v>
      </c>
      <c r="E31" s="1342" t="s">
        <v>770</v>
      </c>
      <c r="F31" s="2313" t="str">
        <f>IF(项目基本情况!B11="企业","——",IF(M47="住宅",IF(F6*F7*F8/12/(1+'数据-取费表'!F30)&gt;100000,4%,2.5%),IF(F6*F7*F8/12/(1+'数据-取费表'!F30)&gt;100000,12%,7%)))</f>
        <v>——</v>
      </c>
      <c r="G31" s="1382"/>
      <c r="H31" s="2806" t="s">
        <v>2307</v>
      </c>
      <c r="I31" s="1396"/>
      <c r="J31" s="1397"/>
      <c r="K31" s="2473"/>
      <c r="L31" s="2696"/>
      <c r="M31" s="2697"/>
    </row>
    <row r="32" spans="1:37" ht="18" customHeight="1">
      <c r="A32" s="981" t="s">
        <v>397</v>
      </c>
      <c r="B32" s="302" t="s">
        <v>723</v>
      </c>
      <c r="C32" s="21">
        <f ca="1">IF(项目基本情况!B11="自然人","——",ROUND(C6*F32/(1+'数据-取费表'!C42),2))</f>
        <v>0.1</v>
      </c>
      <c r="D32" s="1342" t="s">
        <v>724</v>
      </c>
      <c r="E32" s="302" t="s">
        <v>712</v>
      </c>
      <c r="F32" s="331">
        <f>'数据-取费表'!B41</f>
        <v>5.5000000000000007E-2</v>
      </c>
      <c r="G32" s="1382"/>
      <c r="H32" s="2695"/>
      <c r="I32" s="1396"/>
      <c r="J32" s="1397"/>
      <c r="K32" s="2473"/>
      <c r="L32" s="2696"/>
      <c r="M32" s="2697"/>
    </row>
    <row r="33" spans="1:18" ht="18" customHeight="1">
      <c r="A33" s="981" t="s">
        <v>399</v>
      </c>
      <c r="B33" s="302" t="s">
        <v>727</v>
      </c>
      <c r="C33" s="21">
        <f ca="1">IF(项目基本情况!B11="自然人","——",IF(D33="按租金收入计税",ROUND(C6*F33/(1+'数据-取费表'!C42),2),IF(D33="按房产原值计税",ROUND(C29*F33*0.7,2),INDIRECT("'数据-取费表'!Aj"&amp;$G$1))))</f>
        <v>0.23</v>
      </c>
      <c r="D33" s="1368" t="s">
        <v>3336</v>
      </c>
      <c r="E33" s="302" t="s">
        <v>712</v>
      </c>
      <c r="F33" s="322">
        <f>IF(D33="按票据","——",IF(D33="按租金收入计税",'数据-取费表'!B51,'数据-取费表'!B50))</f>
        <v>0.12</v>
      </c>
      <c r="G33" s="1382"/>
      <c r="H33" s="2698"/>
      <c r="I33" s="1396"/>
      <c r="J33" s="1397"/>
      <c r="K33" s="2699"/>
      <c r="L33" s="2698"/>
      <c r="M33" s="2698"/>
    </row>
    <row r="34" spans="1:18" ht="18" customHeight="1">
      <c r="A34" s="1068" t="s">
        <v>680</v>
      </c>
      <c r="B34" s="155" t="s">
        <v>730</v>
      </c>
      <c r="C34" s="22">
        <f ca="1">IF(项目基本情况!B11="自然人","——",ROUND(F34*F35/10000,2))</f>
        <v>0</v>
      </c>
      <c r="D34" s="324" t="s">
        <v>731</v>
      </c>
      <c r="E34" s="302" t="s">
        <v>732</v>
      </c>
      <c r="F34" s="325">
        <f>'数据-取费表'!B52</f>
        <v>1.5</v>
      </c>
      <c r="G34" s="1382"/>
      <c r="H34" s="2695"/>
      <c r="I34" s="1396"/>
      <c r="J34" s="1397"/>
      <c r="K34" s="2700"/>
      <c r="L34" s="2701"/>
      <c r="M34" s="2701"/>
    </row>
    <row r="35" spans="1:18" ht="18" customHeight="1">
      <c r="A35" s="1102"/>
      <c r="B35" s="1100"/>
      <c r="C35" s="26"/>
      <c r="D35" s="327"/>
      <c r="E35" s="302" t="s">
        <v>736</v>
      </c>
      <c r="F35" s="303">
        <f ca="1">INDIRECT("'数据-取费表'!r"&amp;$G$1)</f>
        <v>0</v>
      </c>
      <c r="G35" s="1382"/>
      <c r="H35" s="2695"/>
      <c r="I35" s="1396"/>
      <c r="J35" s="1397"/>
      <c r="K35" s="2699"/>
      <c r="L35" s="2698"/>
      <c r="M35" s="2698"/>
    </row>
    <row r="36" spans="1:18" ht="18" customHeight="1">
      <c r="A36" s="1101" t="s">
        <v>402</v>
      </c>
      <c r="B36" s="302" t="s">
        <v>738</v>
      </c>
      <c r="C36" s="21">
        <f ca="1">ROUND(C29*F36,2)</f>
        <v>0.33</v>
      </c>
      <c r="D36" s="1342" t="s">
        <v>771</v>
      </c>
      <c r="E36" s="302" t="s">
        <v>712</v>
      </c>
      <c r="F36" s="328">
        <f ca="1">INDIRECT("'数据-取费表'!Ak"&amp;$G$1)</f>
        <v>5.0000000000000001E-3</v>
      </c>
      <c r="G36" s="1382"/>
      <c r="H36" s="2698"/>
      <c r="I36" s="1396"/>
      <c r="J36" s="1397"/>
      <c r="K36" s="2542"/>
      <c r="L36" s="2698"/>
      <c r="M36" s="2698"/>
    </row>
    <row r="37" spans="1:18" ht="18" customHeight="1">
      <c r="A37" s="981" t="s">
        <v>437</v>
      </c>
      <c r="B37" s="302" t="s">
        <v>742</v>
      </c>
      <c r="C37" s="21">
        <f ca="1">ROUND(C13*F37,2)</f>
        <v>0.06</v>
      </c>
      <c r="D37" s="1342" t="s">
        <v>743</v>
      </c>
      <c r="E37" s="302" t="s">
        <v>744</v>
      </c>
      <c r="F37" s="330">
        <f ca="1">INDIRECT("'数据-取费表'!Al"&amp;$G$1)</f>
        <v>1E-3</v>
      </c>
      <c r="G37" s="1382"/>
      <c r="H37" s="2698"/>
      <c r="I37" s="1396"/>
      <c r="J37" s="1397"/>
      <c r="K37" s="2542"/>
      <c r="L37" s="2698"/>
      <c r="M37" s="2698"/>
    </row>
    <row r="38" spans="1:18" ht="18" customHeight="1" thickBot="1">
      <c r="A38" s="1088" t="s">
        <v>684</v>
      </c>
      <c r="B38" s="1089" t="s">
        <v>728</v>
      </c>
      <c r="C38" s="1090">
        <f ca="1">ROUND(C5*F38,2)</f>
        <v>0.02</v>
      </c>
      <c r="D38" s="1091" t="s">
        <v>748</v>
      </c>
      <c r="E38" s="1089" t="s">
        <v>744</v>
      </c>
      <c r="F38" s="1085">
        <f ca="1">INDIRECT("'数据-取费表'!Am"&amp;$G$1)</f>
        <v>0.01</v>
      </c>
      <c r="G38" s="1382"/>
      <c r="H38" s="2698"/>
      <c r="I38" s="1396"/>
      <c r="J38" s="1397"/>
      <c r="K38" s="2702"/>
      <c r="L38" s="2698"/>
      <c r="M38" s="2698"/>
    </row>
    <row r="39" spans="1:18" ht="24.6" customHeight="1" thickTop="1">
      <c r="A39" s="1078" t="s">
        <v>394</v>
      </c>
      <c r="B39" s="1093" t="s">
        <v>772</v>
      </c>
      <c r="C39" s="310">
        <f ca="1">C5-C30</f>
        <v>1</v>
      </c>
      <c r="D39" s="1094" t="s">
        <v>773</v>
      </c>
      <c r="E39" s="1095"/>
      <c r="F39" s="1096"/>
      <c r="G39" s="1382"/>
      <c r="H39" s="2698"/>
      <c r="I39" s="1396"/>
      <c r="J39" s="1397"/>
      <c r="K39" s="2702"/>
      <c r="L39" s="2698"/>
      <c r="M39" s="2698"/>
    </row>
    <row r="40" spans="1:18" ht="18" customHeight="1">
      <c r="A40" s="299" t="s">
        <v>395</v>
      </c>
      <c r="B40" s="300" t="s">
        <v>774</v>
      </c>
      <c r="C40" s="301">
        <f ca="1">ROUND(C39*(1-((1+F42)/(1+F40))^F41)/(F40-F42),0)</f>
        <v>23</v>
      </c>
      <c r="D40" s="324" t="s">
        <v>758</v>
      </c>
      <c r="E40" s="302" t="s">
        <v>759</v>
      </c>
      <c r="F40" s="312">
        <f ca="1">INDIRECT("'数据-取费表'!I"&amp;$G$1)</f>
        <v>0.05</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63.02</v>
      </c>
      <c r="G41" s="1382"/>
      <c r="H41" s="1189"/>
      <c r="I41" s="1396"/>
      <c r="J41" s="1397"/>
      <c r="K41" s="2542"/>
      <c r="L41" s="1189"/>
      <c r="M41" s="1189"/>
    </row>
    <row r="42" spans="1:18" ht="18" customHeight="1">
      <c r="A42" s="308"/>
      <c r="B42" s="309"/>
      <c r="C42" s="310"/>
      <c r="D42" s="327"/>
      <c r="E42" s="302" t="s">
        <v>766</v>
      </c>
      <c r="F42" s="312">
        <f ca="1">INDIRECT("'数据-取费表'!v"&amp;$G$1)</f>
        <v>0.01</v>
      </c>
      <c r="G42" s="1382"/>
      <c r="H42" s="1189"/>
      <c r="I42" s="1396"/>
      <c r="J42" s="1397"/>
      <c r="K42" s="2542"/>
      <c r="L42" s="1189"/>
      <c r="M42" s="1189"/>
    </row>
    <row r="43" spans="1:18" ht="18" customHeight="1" thickBot="1">
      <c r="A43" s="334" t="s">
        <v>396</v>
      </c>
      <c r="B43" s="335" t="s">
        <v>776</v>
      </c>
      <c r="C43" s="336">
        <f ca="1">ROUND(C40*10000/F43,0)</f>
        <v>2566</v>
      </c>
      <c r="D43" s="337" t="s">
        <v>777</v>
      </c>
      <c r="E43" s="338" t="s">
        <v>778</v>
      </c>
      <c r="F43" s="339">
        <f ca="1">INDIRECT("'数据-取费表'!k"&amp;$G$1)</f>
        <v>89.64</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703" t="s">
        <v>808</v>
      </c>
      <c r="P45" s="1459"/>
      <c r="Q45" s="1459"/>
      <c r="R45" s="1459"/>
    </row>
    <row r="46" spans="1:18" s="1382" customFormat="1" ht="13.5" thickBot="1">
      <c r="A46" s="1402" t="s">
        <v>809</v>
      </c>
      <c r="C46" s="1403">
        <f ca="1">C68-C40</f>
        <v>-23</v>
      </c>
      <c r="D46" s="1404" t="str">
        <f>C2</f>
        <v>万元</v>
      </c>
      <c r="E46" s="1398"/>
      <c r="F46" s="1398"/>
      <c r="I46" s="1405" t="s">
        <v>810</v>
      </c>
      <c r="J46" s="1406"/>
      <c r="K46" s="1407"/>
      <c r="L46" s="1408">
        <f>IF(M47="住宅",0,IF(L48&gt;J51,L60,J60))</f>
        <v>0</v>
      </c>
      <c r="O46" s="1409" t="s">
        <v>811</v>
      </c>
      <c r="P46" s="1410" t="s">
        <v>812</v>
      </c>
      <c r="Q46" s="1411" t="s">
        <v>813</v>
      </c>
      <c r="R46" s="1411" t="s">
        <v>814</v>
      </c>
    </row>
    <row r="47" spans="1:18" s="1382" customFormat="1" ht="13.5" thickBot="1">
      <c r="A47" s="945" t="s">
        <v>687</v>
      </c>
      <c r="B47" s="977" t="s">
        <v>688</v>
      </c>
      <c r="C47" s="1116" t="s">
        <v>689</v>
      </c>
      <c r="D47" s="977" t="s">
        <v>690</v>
      </c>
      <c r="E47" s="1057" t="s">
        <v>691</v>
      </c>
      <c r="F47" s="1058"/>
      <c r="G47" s="721"/>
      <c r="I47" s="1412" t="s">
        <v>815</v>
      </c>
      <c r="J47" s="1413" t="s">
        <v>3906</v>
      </c>
      <c r="K47" s="1414" t="s">
        <v>816</v>
      </c>
      <c r="L47" s="1415">
        <f ca="1">INDIRECT("'数据-取费表'!d"&amp;$G$1)</f>
        <v>70</v>
      </c>
      <c r="M47" s="1378" t="str">
        <f>IF(ISNUMBER(FIND("住宅",C1)),"住宅","非住宅")</f>
        <v>住宅</v>
      </c>
      <c r="O47" s="1416" t="s">
        <v>403</v>
      </c>
      <c r="P47" s="1417" t="s">
        <v>817</v>
      </c>
      <c r="Q47" s="1418">
        <f ca="1">C40+J29</f>
        <v>23</v>
      </c>
      <c r="R47" s="1418" t="s">
        <v>818</v>
      </c>
    </row>
    <row r="48" spans="1:18" s="1382" customFormat="1" ht="28.5" thickBot="1">
      <c r="A48" s="1109" t="s">
        <v>438</v>
      </c>
      <c r="B48" s="300" t="s">
        <v>692</v>
      </c>
      <c r="C48" s="1357">
        <f ca="1">C49+C53+C55</f>
        <v>0</v>
      </c>
      <c r="D48" s="1111"/>
      <c r="E48" s="1112"/>
      <c r="F48" s="961"/>
      <c r="G48" s="721"/>
      <c r="H48" s="722"/>
      <c r="I48" s="1419" t="s">
        <v>819</v>
      </c>
      <c r="J48" s="1420" t="s">
        <v>3907</v>
      </c>
      <c r="K48" s="1421" t="s">
        <v>820</v>
      </c>
      <c r="L48" s="1422">
        <f ca="1">INDIRECT("'数据-取费表'!f"&amp;$G$1)</f>
        <v>63.02</v>
      </c>
      <c r="O48" s="1416" t="s">
        <v>404</v>
      </c>
      <c r="P48" s="1417" t="s">
        <v>821</v>
      </c>
      <c r="Q48" s="1418" t="str">
        <f ca="1">J60</f>
        <v>0</v>
      </c>
      <c r="R48" s="1418" t="s">
        <v>822</v>
      </c>
    </row>
    <row r="49" spans="1:18" s="1382" customFormat="1" ht="13.5" thickBot="1">
      <c r="A49" s="974" t="s">
        <v>439</v>
      </c>
      <c r="B49" s="1369" t="s">
        <v>779</v>
      </c>
      <c r="C49" s="1113">
        <f ca="1">ROUND(F49*F51*F50*(1-F52)/10000,0)</f>
        <v>0</v>
      </c>
      <c r="D49" s="1054" t="s">
        <v>2109</v>
      </c>
      <c r="E49" s="1370" t="s">
        <v>780</v>
      </c>
      <c r="F49" s="1059"/>
      <c r="G49" s="1423"/>
      <c r="H49" s="722"/>
      <c r="I49" s="1419" t="s">
        <v>823</v>
      </c>
      <c r="J49" s="1424">
        <f>'数据-取费表'!N19</f>
        <v>2021</v>
      </c>
      <c r="K49" s="1421" t="s">
        <v>824</v>
      </c>
      <c r="L49" s="1425"/>
      <c r="O49" s="1426" t="s">
        <v>405</v>
      </c>
      <c r="P49" s="1417" t="s">
        <v>825</v>
      </c>
      <c r="Q49" s="1418">
        <f ca="1">C29</f>
        <v>66</v>
      </c>
      <c r="R49" s="1418" t="s">
        <v>818</v>
      </c>
    </row>
    <row r="50" spans="1:18" s="1382" customFormat="1" ht="13.5" thickBot="1">
      <c r="A50" s="975"/>
      <c r="B50" s="978"/>
      <c r="C50" s="1117"/>
      <c r="D50" s="952"/>
      <c r="E50" s="1055" t="s">
        <v>697</v>
      </c>
      <c r="F50" s="1056">
        <f ca="1">F7</f>
        <v>1</v>
      </c>
      <c r="H50" s="722"/>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6"/>
      <c r="B51" s="978"/>
      <c r="C51" s="979"/>
      <c r="D51" s="952"/>
      <c r="E51" s="980" t="s">
        <v>698</v>
      </c>
      <c r="F51" s="303">
        <f ca="1">F8</f>
        <v>12</v>
      </c>
      <c r="I51" s="1430" t="s">
        <v>829</v>
      </c>
      <c r="J51" s="1431">
        <f>IF(J49="",J50,J49+J50-YEAR('数据-取费表'!B2))</f>
        <v>57</v>
      </c>
      <c r="K51" s="1432" t="s">
        <v>830</v>
      </c>
      <c r="L51" s="1433">
        <f ca="1">ROUND(-PV(INDIRECT("'数据-取费表'!h"&amp;$G$1),J51,(C39-C13*C76),0),0)</f>
        <v>-70</v>
      </c>
      <c r="M51" s="1434"/>
      <c r="O51" s="1426" t="s">
        <v>407</v>
      </c>
      <c r="P51" s="1417" t="s">
        <v>831</v>
      </c>
      <c r="Q51" s="1429">
        <f>J52</f>
        <v>7.4999999999999997E-2</v>
      </c>
      <c r="R51" s="1418"/>
    </row>
    <row r="52" spans="1:18" s="1382" customFormat="1" ht="13.5" thickBot="1">
      <c r="A52" s="976"/>
      <c r="B52" s="978"/>
      <c r="C52" s="979"/>
      <c r="D52" s="952"/>
      <c r="E52" s="980" t="s">
        <v>699</v>
      </c>
      <c r="F52" s="1053"/>
      <c r="I52" s="1435" t="s">
        <v>832</v>
      </c>
      <c r="J52" s="1436">
        <v>7.4999999999999997E-2</v>
      </c>
      <c r="K52" s="1435" t="s">
        <v>833</v>
      </c>
      <c r="L52" s="1436"/>
      <c r="O52" s="1426" t="s">
        <v>408</v>
      </c>
      <c r="P52" s="1417" t="s">
        <v>834</v>
      </c>
      <c r="Q52" s="1418">
        <f ca="1">J53</f>
        <v>63.02</v>
      </c>
      <c r="R52" s="1418" t="s">
        <v>835</v>
      </c>
    </row>
    <row r="53" spans="1:18" s="1382" customFormat="1" ht="24.75" thickBot="1">
      <c r="A53" s="1151" t="s">
        <v>440</v>
      </c>
      <c r="B53" s="1371" t="s">
        <v>700</v>
      </c>
      <c r="C53" s="316">
        <f ca="1">ROUND(IF(F53="押一",C49/12*F11,IF(F53="押二",C49/12*2*F11,IF(F53="押三",C49/12*3*F11,C54*F11))),0)</f>
        <v>0</v>
      </c>
      <c r="D53" s="1364" t="s">
        <v>2115</v>
      </c>
      <c r="E53" s="313" t="s">
        <v>701</v>
      </c>
      <c r="F53" s="1115"/>
      <c r="I53" s="1437" t="s">
        <v>836</v>
      </c>
      <c r="J53" s="2166">
        <f ca="1">IF(M47="住宅",IF(D1="——",MAX(J51,L48),MAX(J51,L48-'数据-取费表'!B24)),IF(D1="——",MIN(J51,L48),MIN(J51,L48-'数据-取费表'!B24)))</f>
        <v>63.02</v>
      </c>
      <c r="K53" s="3664" t="s">
        <v>837</v>
      </c>
      <c r="L53" s="3665"/>
      <c r="O53" s="1416" t="s">
        <v>409</v>
      </c>
      <c r="P53" s="1417" t="s">
        <v>838</v>
      </c>
      <c r="Q53" s="1418">
        <f ca="1">Q47+Q48</f>
        <v>23</v>
      </c>
      <c r="R53" s="1418" t="s">
        <v>410</v>
      </c>
    </row>
    <row r="54" spans="1:18" s="1382" customFormat="1" ht="13.5" thickBot="1">
      <c r="A54" s="1152"/>
      <c r="B54" s="1365" t="s">
        <v>679</v>
      </c>
      <c r="C54" s="958"/>
      <c r="D54" s="1364"/>
      <c r="E54" s="1372"/>
      <c r="F54" s="1438"/>
      <c r="I54" s="143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0"/>
      <c r="K54" s="1440"/>
      <c r="L54" s="1440"/>
      <c r="M54" s="1423"/>
      <c r="O54" s="1401" t="s">
        <v>839</v>
      </c>
      <c r="P54" s="1379"/>
      <c r="Q54" s="1379"/>
      <c r="R54" s="1379"/>
    </row>
    <row r="55" spans="1:18" s="1382" customFormat="1" ht="13.5" thickBot="1">
      <c r="A55" s="1082" t="s">
        <v>437</v>
      </c>
      <c r="B55" s="1367" t="s">
        <v>703</v>
      </c>
      <c r="C55" s="1083"/>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25.5" thickTop="1" thickBot="1">
      <c r="A56" s="956">
        <v>2</v>
      </c>
      <c r="B56" s="957" t="s">
        <v>704</v>
      </c>
      <c r="C56" s="232">
        <f ca="1">C13</f>
        <v>63</v>
      </c>
      <c r="D56" s="1445"/>
      <c r="E56" s="1446"/>
      <c r="F56" s="1438"/>
      <c r="I56" s="1447" t="s">
        <v>842</v>
      </c>
      <c r="J56" s="1448" t="s">
        <v>3908</v>
      </c>
      <c r="K56" s="1419" t="s">
        <v>843</v>
      </c>
      <c r="L56" s="1422">
        <f ca="1">IF(L48&lt;J51,"——",L48-J53)</f>
        <v>0</v>
      </c>
      <c r="O56" s="1416" t="s">
        <v>403</v>
      </c>
      <c r="P56" s="1417" t="s">
        <v>817</v>
      </c>
      <c r="Q56" s="1418">
        <f ca="1">C40+J29</f>
        <v>23</v>
      </c>
      <c r="R56" s="1418" t="s">
        <v>818</v>
      </c>
    </row>
    <row r="57" spans="1:18" s="1382" customFormat="1" ht="24.75" thickBot="1">
      <c r="A57" s="1449"/>
      <c r="B57" s="949" t="s">
        <v>767</v>
      </c>
      <c r="C57" s="238">
        <f ca="1">C29</f>
        <v>66</v>
      </c>
      <c r="D57" s="1450"/>
      <c r="E57" s="1451"/>
      <c r="F57" s="1452"/>
      <c r="I57" s="1453" t="s">
        <v>844</v>
      </c>
      <c r="J57" s="1454" t="str">
        <f ca="1">IF(OR(M47="住宅",J51&lt;L48,J56="是"),"——",J51-L48)</f>
        <v>——</v>
      </c>
      <c r="K57" s="1419" t="s">
        <v>845</v>
      </c>
      <c r="L57" s="1422">
        <f ca="1">IF(L48&lt;J51,"——",IF(L55="比较法",L49,IF(L55="基准地价",L50,L51)))</f>
        <v>-70</v>
      </c>
      <c r="O57" s="1416" t="s">
        <v>404</v>
      </c>
      <c r="P57" s="1417" t="s">
        <v>846</v>
      </c>
      <c r="Q57" s="1418">
        <f ca="1">L60</f>
        <v>0</v>
      </c>
      <c r="R57" s="1418" t="s">
        <v>847</v>
      </c>
    </row>
    <row r="58" spans="1:18" s="1382" customFormat="1" ht="24.75" thickBot="1">
      <c r="A58" s="315" t="s">
        <v>393</v>
      </c>
      <c r="B58" s="957" t="s">
        <v>714</v>
      </c>
      <c r="C58" s="316">
        <f ca="1">ROUND(C59+C64+C65+C66,0)</f>
        <v>0</v>
      </c>
      <c r="D58" s="959" t="s">
        <v>715</v>
      </c>
      <c r="E58" s="960"/>
      <c r="F58" s="961"/>
      <c r="I58" s="1453" t="s">
        <v>848</v>
      </c>
      <c r="J58" s="1455" t="e">
        <f ca="1">IF(J55&lt;0.4,0.4,J55)</f>
        <v>#VALUE!</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thickBot="1">
      <c r="A61" s="981" t="s">
        <v>781</v>
      </c>
      <c r="B61" s="949" t="s">
        <v>782</v>
      </c>
      <c r="C61" s="21">
        <f ca="1">IF(项目基本情况!B11="自然人","——",IF(D61="按租金收入计税",ROUND(C49*F61/(1+'数据-取费表'!C42),2),IF(D61="按房产原值计税",ROUND(C57*F61*0.7,2),INDIRECT("'数据-取费表'!Aj"&amp;$G$1))))</f>
        <v>0</v>
      </c>
      <c r="D61" s="1368" t="s">
        <v>3336</v>
      </c>
      <c r="E61" s="949"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1" t="s">
        <v>784</v>
      </c>
      <c r="B62" s="948" t="s">
        <v>785</v>
      </c>
      <c r="C62" s="22">
        <f ca="1">IF(项目基本情况!B11="自然人","——",ROUND(F62*F63/10000,2))</f>
        <v>0</v>
      </c>
      <c r="D62" s="964" t="s">
        <v>786</v>
      </c>
      <c r="E62" s="949" t="s">
        <v>787</v>
      </c>
      <c r="F62" s="325">
        <f t="shared" si="0"/>
        <v>1.5</v>
      </c>
      <c r="I62" s="1460" t="s">
        <v>858</v>
      </c>
      <c r="J62" s="1461" t="s">
        <v>859</v>
      </c>
      <c r="K62" s="1461" t="s">
        <v>860</v>
      </c>
      <c r="L62" s="1461" t="s">
        <v>861</v>
      </c>
      <c r="M62" s="1462" t="s">
        <v>862</v>
      </c>
      <c r="O62" s="1416" t="s">
        <v>409</v>
      </c>
      <c r="P62" s="1417" t="s">
        <v>863</v>
      </c>
      <c r="Q62" s="1418">
        <f ca="1">Q56+Q57</f>
        <v>23</v>
      </c>
      <c r="R62" s="1418" t="s">
        <v>410</v>
      </c>
    </row>
    <row r="63" spans="1:18" s="1382" customFormat="1" ht="13.5" thickBot="1">
      <c r="A63" s="326"/>
      <c r="B63" s="955"/>
      <c r="C63" s="26"/>
      <c r="D63" s="965"/>
      <c r="E63" s="949"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1" t="s">
        <v>789</v>
      </c>
      <c r="B64" s="949" t="s">
        <v>790</v>
      </c>
      <c r="C64" s="21">
        <f ca="1">ROUND(C57*F64,2)</f>
        <v>0.33</v>
      </c>
      <c r="D64" s="963" t="s">
        <v>791</v>
      </c>
      <c r="E64" s="949"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1" t="s">
        <v>792</v>
      </c>
      <c r="B65" s="949" t="s">
        <v>742</v>
      </c>
      <c r="C65" s="21">
        <f ca="1">ROUND(C56*F65,2)</f>
        <v>0.06</v>
      </c>
      <c r="D65" s="963" t="s">
        <v>743</v>
      </c>
      <c r="E65" s="949" t="s">
        <v>744</v>
      </c>
      <c r="F65" s="330">
        <f t="shared" ca="1" si="0"/>
        <v>1E-3</v>
      </c>
      <c r="I65" s="1460" t="s">
        <v>867</v>
      </c>
      <c r="J65" s="1461">
        <v>40</v>
      </c>
      <c r="K65" s="1461">
        <v>30</v>
      </c>
      <c r="L65" s="1461">
        <v>50</v>
      </c>
      <c r="M65" s="1463">
        <v>0.02</v>
      </c>
      <c r="O65" s="1416" t="s">
        <v>403</v>
      </c>
      <c r="P65" s="1417" t="s">
        <v>868</v>
      </c>
      <c r="Q65" s="1418">
        <f ca="1">C40+J29</f>
        <v>23</v>
      </c>
      <c r="R65" s="1418" t="s">
        <v>818</v>
      </c>
    </row>
    <row r="66" spans="1:18" s="1382" customFormat="1" ht="16.5" thickBot="1">
      <c r="A66" s="981" t="s">
        <v>793</v>
      </c>
      <c r="B66" s="949" t="s">
        <v>728</v>
      </c>
      <c r="C66" s="21">
        <f ca="1">ROUND(C48*F66,2)</f>
        <v>0</v>
      </c>
      <c r="D66" s="963" t="s">
        <v>794</v>
      </c>
      <c r="E66" s="949" t="s">
        <v>712</v>
      </c>
      <c r="F66" s="312">
        <f t="shared" ca="1" si="0"/>
        <v>0.01</v>
      </c>
      <c r="O66" s="1416" t="s">
        <v>404</v>
      </c>
      <c r="P66" s="1417" t="s">
        <v>846</v>
      </c>
      <c r="Q66" s="1418">
        <f ca="1">L60</f>
        <v>0</v>
      </c>
      <c r="R66" s="1418" t="s">
        <v>869</v>
      </c>
    </row>
    <row r="67" spans="1:18" s="1382" customFormat="1" ht="16.5" thickBot="1">
      <c r="A67" s="956" t="s">
        <v>394</v>
      </c>
      <c r="B67" s="966" t="s">
        <v>752</v>
      </c>
      <c r="C67" s="316">
        <f ca="1">C48-C58</f>
        <v>0</v>
      </c>
      <c r="D67" s="962" t="s">
        <v>753</v>
      </c>
      <c r="E67" s="967"/>
      <c r="F67" s="968"/>
      <c r="O67" s="1426" t="s">
        <v>405</v>
      </c>
      <c r="P67" s="1417" t="s">
        <v>850</v>
      </c>
      <c r="Q67" s="1464">
        <f ca="1">L51</f>
        <v>-70</v>
      </c>
      <c r="R67" s="1418" t="s">
        <v>870</v>
      </c>
    </row>
    <row r="68" spans="1:18" s="1382" customFormat="1" ht="16.5" thickBot="1">
      <c r="A68" s="946" t="s">
        <v>395</v>
      </c>
      <c r="B68" s="947" t="s">
        <v>774</v>
      </c>
      <c r="C68" s="301">
        <f ca="1">ROUND(C67*(1-((1+F70)/(1+F68))^F69)/(F68-F70),0)</f>
        <v>0</v>
      </c>
      <c r="D68" s="964" t="s">
        <v>758</v>
      </c>
      <c r="E68" s="949" t="s">
        <v>759</v>
      </c>
      <c r="F68" s="312">
        <f ca="1">F40</f>
        <v>0.05</v>
      </c>
      <c r="O68" s="1426" t="s">
        <v>406</v>
      </c>
      <c r="P68" s="1465" t="s">
        <v>871</v>
      </c>
      <c r="Q68" s="1418">
        <f ca="1">ROUND(Q69-Q70*Q71,0)</f>
        <v>-3</v>
      </c>
      <c r="R68" s="1418" t="s">
        <v>414</v>
      </c>
    </row>
    <row r="69" spans="1:18" s="1382" customFormat="1" ht="13.5" thickBot="1">
      <c r="A69" s="950"/>
      <c r="B69" s="951"/>
      <c r="C69" s="306"/>
      <c r="D69" s="969" t="s">
        <v>762</v>
      </c>
      <c r="E69" s="949" t="s">
        <v>763</v>
      </c>
      <c r="F69" s="333">
        <f ca="1">F41</f>
        <v>63.02</v>
      </c>
      <c r="O69" s="1426" t="s">
        <v>411</v>
      </c>
      <c r="P69" s="1465" t="s">
        <v>872</v>
      </c>
      <c r="Q69" s="1418">
        <f ca="1">C39</f>
        <v>1</v>
      </c>
      <c r="R69" s="1418" t="s">
        <v>818</v>
      </c>
    </row>
    <row r="70" spans="1:18" s="1382" customFormat="1" ht="13.5" thickBot="1">
      <c r="A70" s="953"/>
      <c r="B70" s="954"/>
      <c r="C70" s="310"/>
      <c r="D70" s="965"/>
      <c r="E70" s="949" t="s">
        <v>766</v>
      </c>
      <c r="F70" s="1053"/>
      <c r="O70" s="1426" t="s">
        <v>412</v>
      </c>
      <c r="P70" s="1465" t="s">
        <v>873</v>
      </c>
      <c r="Q70" s="1418">
        <f ca="1">C13</f>
        <v>63</v>
      </c>
      <c r="R70" s="1418" t="s">
        <v>818</v>
      </c>
    </row>
    <row r="71" spans="1:18" s="1382" customFormat="1" ht="13.5" thickBot="1">
      <c r="A71" s="970" t="s">
        <v>396</v>
      </c>
      <c r="B71" s="971" t="s">
        <v>776</v>
      </c>
      <c r="C71" s="336">
        <f ca="1">ROUND(C68*10000/F71,0)</f>
        <v>0</v>
      </c>
      <c r="D71" s="972" t="s">
        <v>777</v>
      </c>
      <c r="E71" s="973" t="s">
        <v>778</v>
      </c>
      <c r="F71" s="339">
        <f ca="1">F43</f>
        <v>89.64</v>
      </c>
      <c r="O71" s="1426" t="s">
        <v>413</v>
      </c>
      <c r="P71" s="1465" t="s">
        <v>874</v>
      </c>
      <c r="Q71" s="1429">
        <f ca="1">C76</f>
        <v>7.0000000000000007E-2</v>
      </c>
      <c r="R71" s="1418"/>
    </row>
    <row r="72" spans="1:18" s="1382" customFormat="1" ht="13.5" thickBot="1">
      <c r="B72" s="725"/>
      <c r="C72" s="725"/>
      <c r="O72" s="1426" t="s">
        <v>407</v>
      </c>
      <c r="P72" s="1417" t="s">
        <v>852</v>
      </c>
      <c r="Q72" s="1429">
        <f>L52</f>
        <v>0</v>
      </c>
      <c r="R72" s="1418"/>
    </row>
    <row r="73" spans="1:18" ht="16.5" thickBot="1">
      <c r="A73" s="1382"/>
      <c r="B73" s="725"/>
      <c r="C73" s="725"/>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4</v>
      </c>
      <c r="D75" s="1382"/>
      <c r="E75" s="1382"/>
      <c r="F75" s="1382"/>
      <c r="K75" s="1400"/>
      <c r="L75" s="1382"/>
      <c r="O75" s="1416" t="s">
        <v>409</v>
      </c>
      <c r="P75" s="1417" t="s">
        <v>838</v>
      </c>
      <c r="Q75" s="1418">
        <f ca="1">Q65+Q66</f>
        <v>23</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-3</v>
      </c>
    </row>
    <row r="80" spans="1:18">
      <c r="B80" s="340" t="s">
        <v>800</v>
      </c>
      <c r="C80" s="274">
        <f ca="1">ROUND(C75/C39,3)</f>
        <v>4</v>
      </c>
    </row>
    <row r="81" spans="2:3">
      <c r="B81" s="270" t="s">
        <v>801</v>
      </c>
      <c r="C81" s="238"/>
    </row>
    <row r="82" spans="2:3">
      <c r="B82" s="273" t="s">
        <v>802</v>
      </c>
      <c r="C82" s="275">
        <f ca="1">1-C83</f>
        <v>-1.7389999999999999</v>
      </c>
    </row>
    <row r="83" spans="2:3">
      <c r="B83" s="273" t="s">
        <v>803</v>
      </c>
      <c r="C83" s="274">
        <f ca="1">ROUND(C13/C40,3)</f>
        <v>2.7389999999999999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5" priority="56">
      <formula>$L$48&gt;$J$51</formula>
    </cfRule>
  </conditionalFormatting>
  <conditionalFormatting sqref="I55 I60">
    <cfRule type="expression" dxfId="4" priority="57">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A5" zoomScale="90" zoomScaleNormal="90" workbookViewId="0">
      <selection activeCell="V33" sqref="V33"/>
    </sheetView>
  </sheetViews>
  <sheetFormatPr defaultColWidth="9" defaultRowHeight="12.75"/>
  <cols>
    <col min="1" max="1" width="14.2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2083</v>
      </c>
      <c r="C1" s="3783" t="s">
        <v>2084</v>
      </c>
      <c r="D1" s="3784"/>
      <c r="E1" s="3784"/>
      <c r="F1" s="3784"/>
      <c r="G1" s="3784"/>
      <c r="H1" s="3784"/>
      <c r="I1" s="3784"/>
      <c r="J1" s="3784"/>
      <c r="K1" s="3784"/>
      <c r="L1" s="3784"/>
      <c r="M1" s="3784"/>
      <c r="N1" s="3784"/>
      <c r="O1" s="3784"/>
      <c r="P1" s="3784"/>
      <c r="Q1" s="3784"/>
      <c r="R1" s="3784"/>
      <c r="S1" s="3785"/>
      <c r="T1" s="982" t="s">
        <v>2085</v>
      </c>
    </row>
    <row r="2" spans="1:45" s="655" customFormat="1" ht="38.25">
      <c r="A2" s="983"/>
      <c r="B2" s="651" t="s">
        <v>2086</v>
      </c>
      <c r="C2" s="652" t="str">
        <f t="shared" ref="C2:L2" si="0">C3&amp;"(含)"&amp;"-"&amp;D3</f>
        <v>0(含)-90</v>
      </c>
      <c r="D2" s="653" t="str">
        <f t="shared" si="0"/>
        <v>90(含)-120</v>
      </c>
      <c r="E2" s="653" t="str">
        <f t="shared" si="0"/>
        <v>120(含)-150</v>
      </c>
      <c r="F2" s="653" t="str">
        <f t="shared" si="0"/>
        <v>150(含)-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'比较法-住宅'!C103</f>
        <v>0</v>
      </c>
      <c r="D3" s="657">
        <f>'比较法-住宅'!D103</f>
        <v>90</v>
      </c>
      <c r="E3" s="657">
        <f>'比较法-住宅'!E103</f>
        <v>120</v>
      </c>
      <c r="F3" s="657">
        <f>'比较法-住宅'!F103</f>
        <v>150</v>
      </c>
      <c r="G3" s="657"/>
      <c r="H3" s="1303"/>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'比较法-住宅'!C104</f>
        <v>100</v>
      </c>
      <c r="D4" s="988">
        <f>'比较法-住宅'!D104</f>
        <v>101</v>
      </c>
      <c r="E4" s="988">
        <f>'比较法-住宅'!E104</f>
        <v>102</v>
      </c>
      <c r="F4" s="988">
        <f>'比较法-住宅'!F104</f>
        <v>103</v>
      </c>
      <c r="G4" s="1307"/>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4" t="s">
        <v>2087</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5" t="s">
        <v>2088</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hidden="1">
      <c r="A9" s="993"/>
      <c r="B9" s="1335" t="s">
        <v>2089</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hidden="1"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hidden="1">
      <c r="A11" s="993"/>
      <c r="B11" s="1334"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hidden="1"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hidden="1">
      <c r="A13" s="993"/>
      <c r="B13" s="1334"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hidden="1"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hidden="1">
      <c r="A15" s="993"/>
      <c r="B15" s="1334"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hidden="1"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6" t="s">
        <v>2093</v>
      </c>
      <c r="B17" s="2147" t="s">
        <v>2094</v>
      </c>
      <c r="C17" s="1009" t="str">
        <f>'比较法-住宅'!C90</f>
        <v>1层</v>
      </c>
      <c r="D17" s="1009" t="str">
        <f>'比较法-住宅'!D90</f>
        <v>2层</v>
      </c>
      <c r="E17" s="1009" t="str">
        <f>'比较法-住宅'!E90</f>
        <v>3层</v>
      </c>
      <c r="F17" s="1009" t="str">
        <f>'比较法-住宅'!F90</f>
        <v>4层</v>
      </c>
      <c r="G17" s="1009" t="str">
        <f>'比较法-住宅'!G90</f>
        <v>5层</v>
      </c>
      <c r="H17" s="1009" t="str">
        <f>'比较法-住宅'!H90</f>
        <v>6层</v>
      </c>
      <c r="I17" s="1009" t="str">
        <f>'比较法-住宅'!I90</f>
        <v>7层</v>
      </c>
      <c r="J17" s="1009" t="str">
        <f>'比较法-住宅'!J90</f>
        <v>8层</v>
      </c>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f>'比较法-住宅'!C91</f>
        <v>94</v>
      </c>
      <c r="D18" s="1021">
        <f>'比较法-住宅'!D91</f>
        <v>97</v>
      </c>
      <c r="E18" s="1021">
        <f>'比较法-住宅'!E91</f>
        <v>100</v>
      </c>
      <c r="F18" s="1021">
        <f>'比较法-住宅'!F91</f>
        <v>100</v>
      </c>
      <c r="G18" s="1021">
        <f>'比较法-住宅'!G91</f>
        <v>103</v>
      </c>
      <c r="H18" s="1021">
        <f>'比较法-住宅'!H91</f>
        <v>103</v>
      </c>
      <c r="I18" s="1021">
        <f>'比较法-住宅'!I91</f>
        <v>103</v>
      </c>
      <c r="J18" s="1021">
        <f>'比较法-住宅'!J91</f>
        <v>94</v>
      </c>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8" t="s">
        <v>2095</v>
      </c>
      <c r="E19" s="1338"/>
      <c r="F19" s="1338"/>
      <c r="G19" s="1338"/>
      <c r="H19" s="1058"/>
      <c r="I19" s="159"/>
      <c r="J19" s="159"/>
      <c r="K19" s="159"/>
      <c r="L19" s="159"/>
      <c r="M19" s="159"/>
      <c r="N19" s="159"/>
      <c r="O19" s="159"/>
      <c r="P19" s="159"/>
      <c r="Q19" s="159"/>
      <c r="R19" s="717"/>
      <c r="S19" s="129"/>
    </row>
    <row r="20" spans="1:45" ht="16.5" thickBot="1">
      <c r="A20" s="661" t="s">
        <v>2096</v>
      </c>
      <c r="B20" s="294">
        <f ca="1">IF(D20="——",S22,S22-F20)</f>
        <v>8297</v>
      </c>
      <c r="C20" s="159"/>
      <c r="D20" s="2149" t="s">
        <v>43</v>
      </c>
      <c r="E20" s="1339"/>
      <c r="F20" s="982" t="e">
        <f ca="1">SUMIF(INDIRECT("'"&amp;H20&amp;"'"&amp;"!A:A"),"承租人权益价值",INDIRECT("'"&amp;H20&amp;"'"&amp;"!c:c"))</f>
        <v>#REF!</v>
      </c>
      <c r="G20" s="982" t="s">
        <v>2097</v>
      </c>
      <c r="H20" s="2150"/>
      <c r="I20" s="159"/>
      <c r="J20" s="159"/>
      <c r="K20" s="159"/>
      <c r="L20" s="159"/>
      <c r="M20" s="159"/>
      <c r="N20" s="159"/>
      <c r="O20" s="159"/>
      <c r="P20" s="159"/>
      <c r="Q20" s="159"/>
      <c r="R20" s="717"/>
      <c r="S20" s="129"/>
    </row>
    <row r="21" spans="1:45" ht="15.75">
      <c r="A21" s="661" t="s">
        <v>2098</v>
      </c>
      <c r="B21" s="294">
        <f ca="1">ROUND(B20*10000/B22,0)</f>
        <v>22771</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3643.6099999999992</v>
      </c>
      <c r="C22" s="3780" t="s">
        <v>27</v>
      </c>
      <c r="D22" s="3781"/>
      <c r="E22" s="3781"/>
      <c r="F22" s="3781"/>
      <c r="G22" s="3781"/>
      <c r="H22" s="3781"/>
      <c r="I22" s="3781"/>
      <c r="J22" s="3781"/>
      <c r="K22" s="3781"/>
      <c r="L22" s="3781"/>
      <c r="M22" s="3781"/>
      <c r="N22" s="3781"/>
      <c r="O22" s="3781"/>
      <c r="P22" s="3781"/>
      <c r="Q22" s="3782"/>
      <c r="R22" s="662">
        <f ca="1">ROUND(S22*10000/B22,0)</f>
        <v>22771</v>
      </c>
      <c r="S22" s="21">
        <f ca="1">SUM(S24:S10000)</f>
        <v>8297</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tr">
        <f>清单!C4</f>
        <v>一单元201</v>
      </c>
      <c r="B24" s="664">
        <f>清单!E4</f>
        <v>89.64</v>
      </c>
      <c r="C24" s="2808">
        <v>1</v>
      </c>
      <c r="D24" s="2809"/>
      <c r="E24" s="2808">
        <v>1</v>
      </c>
      <c r="F24" s="2809"/>
      <c r="G24" s="2808">
        <v>1</v>
      </c>
      <c r="H24" s="2809"/>
      <c r="I24" s="2808">
        <v>1</v>
      </c>
      <c r="J24" s="2809"/>
      <c r="K24" s="2808">
        <v>1</v>
      </c>
      <c r="L24" s="2809"/>
      <c r="M24" s="2808">
        <v>1</v>
      </c>
      <c r="N24" s="2809"/>
      <c r="O24" s="2808">
        <v>1</v>
      </c>
      <c r="P24" s="2809" t="s">
        <v>3488</v>
      </c>
      <c r="Q24" s="2808">
        <v>1</v>
      </c>
      <c r="R24" s="667">
        <f ca="1">结果表!G20</f>
        <v>22585</v>
      </c>
      <c r="S24" s="665">
        <f t="shared" ref="S24:S54" ca="1" si="11">ROUND(R24*B24/10000,0)</f>
        <v>202</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t="str">
        <f>清单!C5</f>
        <v>一单元202</v>
      </c>
      <c r="B25" s="664">
        <f>清单!E5</f>
        <v>89.72</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9" t="s">
        <v>3488</v>
      </c>
      <c r="Q25" s="21">
        <f>(SUMIF($17:$17,P25,$18:$18)-SUMIF($17:$17,$P$24,$18:$18)+100)/100</f>
        <v>1</v>
      </c>
      <c r="R25" s="662">
        <f ca="1">IF(B25="",0,ROUND($R$24*C25*E25*G25*I25*K25*M25*O25*Q25,0))</f>
        <v>22585</v>
      </c>
      <c r="S25" s="316">
        <f t="shared" ca="1" si="11"/>
        <v>203</v>
      </c>
    </row>
    <row r="26" spans="1:45">
      <c r="A26" s="664" t="str">
        <f>清单!C6</f>
        <v>二单元201</v>
      </c>
      <c r="B26" s="664">
        <f>清单!E6</f>
        <v>89.36</v>
      </c>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9" t="s">
        <v>3488</v>
      </c>
      <c r="Q26" s="21">
        <f t="shared" ref="Q26:Q89" si="19">(SUMIF($17:$17,P26,$18:$18)-SUMIF($17:$17,$P$24,$18:$18)+100)/100</f>
        <v>1</v>
      </c>
      <c r="R26" s="662">
        <f t="shared" ref="R26:R89" ca="1" si="20">IF(B26="",0,ROUND($R$24*C26*E26*G26*I26*K26*M26*O26*Q26,0))</f>
        <v>22585</v>
      </c>
      <c r="S26" s="316">
        <f t="shared" ca="1" si="11"/>
        <v>202</v>
      </c>
    </row>
    <row r="27" spans="1:45">
      <c r="A27" s="664" t="str">
        <f>清单!C7</f>
        <v>二单元202</v>
      </c>
      <c r="B27" s="664">
        <f>清单!E7</f>
        <v>89.72</v>
      </c>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2809" t="s">
        <v>3488</v>
      </c>
      <c r="Q27" s="21">
        <f t="shared" si="19"/>
        <v>1</v>
      </c>
      <c r="R27" s="662">
        <f t="shared" ca="1" si="20"/>
        <v>22585</v>
      </c>
      <c r="S27" s="316">
        <f t="shared" ca="1" si="11"/>
        <v>203</v>
      </c>
    </row>
    <row r="28" spans="1:45">
      <c r="A28" s="664" t="str">
        <f>清单!C8</f>
        <v>二单元301</v>
      </c>
      <c r="B28" s="664">
        <f>清单!E8</f>
        <v>89.36</v>
      </c>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t="s">
        <v>3489</v>
      </c>
      <c r="Q28" s="21">
        <f t="shared" si="19"/>
        <v>1.03</v>
      </c>
      <c r="R28" s="662">
        <f t="shared" ca="1" si="20"/>
        <v>23263</v>
      </c>
      <c r="S28" s="316">
        <f t="shared" ca="1" si="11"/>
        <v>208</v>
      </c>
    </row>
    <row r="29" spans="1:45">
      <c r="A29" s="664" t="str">
        <f>清单!C9</f>
        <v>二单元302</v>
      </c>
      <c r="B29" s="664">
        <f>清单!E9</f>
        <v>89.72</v>
      </c>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t="s">
        <v>3489</v>
      </c>
      <c r="Q29" s="21">
        <f t="shared" si="19"/>
        <v>1.03</v>
      </c>
      <c r="R29" s="662">
        <f t="shared" ca="1" si="20"/>
        <v>23263</v>
      </c>
      <c r="S29" s="316">
        <f t="shared" ca="1" si="11"/>
        <v>209</v>
      </c>
    </row>
    <row r="30" spans="1:45">
      <c r="A30" s="664" t="str">
        <f>清单!C10</f>
        <v xml:space="preserve">一单元201 </v>
      </c>
      <c r="B30" s="664">
        <f>清单!E10</f>
        <v>87.35</v>
      </c>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2809" t="s">
        <v>3488</v>
      </c>
      <c r="Q30" s="21">
        <f t="shared" si="19"/>
        <v>1</v>
      </c>
      <c r="R30" s="662">
        <f t="shared" ca="1" si="20"/>
        <v>22585</v>
      </c>
      <c r="S30" s="316">
        <f t="shared" ca="1" si="11"/>
        <v>197</v>
      </c>
    </row>
    <row r="31" spans="1:45">
      <c r="A31" s="664" t="str">
        <f>清单!C11</f>
        <v>一单元202</v>
      </c>
      <c r="B31" s="664">
        <f>清单!E11</f>
        <v>89.29</v>
      </c>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2809" t="s">
        <v>3488</v>
      </c>
      <c r="Q31" s="21">
        <f t="shared" si="19"/>
        <v>1</v>
      </c>
      <c r="R31" s="662">
        <f t="shared" ca="1" si="20"/>
        <v>22585</v>
      </c>
      <c r="S31" s="316">
        <f t="shared" ca="1" si="11"/>
        <v>202</v>
      </c>
    </row>
    <row r="32" spans="1:45">
      <c r="A32" s="664" t="str">
        <f>清单!C12</f>
        <v>一单元601</v>
      </c>
      <c r="B32" s="664">
        <f>清单!E12</f>
        <v>87.26</v>
      </c>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t="s">
        <v>3490</v>
      </c>
      <c r="Q32" s="21">
        <f t="shared" si="19"/>
        <v>1.06</v>
      </c>
      <c r="R32" s="662">
        <f t="shared" ca="1" si="20"/>
        <v>23940</v>
      </c>
      <c r="S32" s="316">
        <f t="shared" ca="1" si="11"/>
        <v>209</v>
      </c>
    </row>
    <row r="33" spans="1:19">
      <c r="A33" s="664" t="str">
        <f>清单!C13</f>
        <v xml:space="preserve">一单元602 </v>
      </c>
      <c r="B33" s="664">
        <f>清单!E13</f>
        <v>89.2</v>
      </c>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t="s">
        <v>3490</v>
      </c>
      <c r="Q33" s="21">
        <f t="shared" si="19"/>
        <v>1.06</v>
      </c>
      <c r="R33" s="662">
        <f t="shared" ca="1" si="20"/>
        <v>23940</v>
      </c>
      <c r="S33" s="316">
        <f t="shared" ca="1" si="11"/>
        <v>214</v>
      </c>
    </row>
    <row r="34" spans="1:19">
      <c r="A34" s="664" t="str">
        <f>清单!C14</f>
        <v>三单元201</v>
      </c>
      <c r="B34" s="664">
        <f>清单!E14</f>
        <v>88.94</v>
      </c>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t="s">
        <v>3488</v>
      </c>
      <c r="Q34" s="21">
        <f t="shared" si="19"/>
        <v>1</v>
      </c>
      <c r="R34" s="662">
        <f t="shared" ca="1" si="20"/>
        <v>22585</v>
      </c>
      <c r="S34" s="316">
        <f t="shared" ca="1" si="11"/>
        <v>201</v>
      </c>
    </row>
    <row r="35" spans="1:19">
      <c r="A35" s="664" t="str">
        <f>清单!C15</f>
        <v>四单元201</v>
      </c>
      <c r="B35" s="664">
        <f>清单!E15</f>
        <v>88.94</v>
      </c>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t="s">
        <v>3488</v>
      </c>
      <c r="Q35" s="21">
        <f t="shared" si="19"/>
        <v>1</v>
      </c>
      <c r="R35" s="662">
        <f t="shared" ca="1" si="20"/>
        <v>22585</v>
      </c>
      <c r="S35" s="316">
        <f t="shared" ca="1" si="11"/>
        <v>201</v>
      </c>
    </row>
    <row r="36" spans="1:19">
      <c r="A36" s="664" t="str">
        <f>清单!C16</f>
        <v>四单元202</v>
      </c>
      <c r="B36" s="664">
        <f>清单!E16</f>
        <v>89.59</v>
      </c>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t="s">
        <v>3488</v>
      </c>
      <c r="Q36" s="21">
        <f t="shared" si="19"/>
        <v>1</v>
      </c>
      <c r="R36" s="662">
        <f t="shared" ca="1" si="20"/>
        <v>22585</v>
      </c>
      <c r="S36" s="316">
        <f t="shared" ca="1" si="11"/>
        <v>202</v>
      </c>
    </row>
    <row r="37" spans="1:19">
      <c r="A37" s="664" t="str">
        <f>清单!C17</f>
        <v>一单元101</v>
      </c>
      <c r="B37" s="664">
        <f>清单!E17</f>
        <v>88.83</v>
      </c>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t="s">
        <v>3491</v>
      </c>
      <c r="Q37" s="21">
        <f t="shared" si="19"/>
        <v>0.97</v>
      </c>
      <c r="R37" s="662">
        <f t="shared" ca="1" si="20"/>
        <v>21907</v>
      </c>
      <c r="S37" s="316">
        <f t="shared" ca="1" si="11"/>
        <v>195</v>
      </c>
    </row>
    <row r="38" spans="1:19">
      <c r="A38" s="664" t="str">
        <f>清单!C18</f>
        <v>一单元102</v>
      </c>
      <c r="B38" s="664">
        <f>清单!E18</f>
        <v>88.87</v>
      </c>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t="s">
        <v>3491</v>
      </c>
      <c r="Q38" s="21">
        <f t="shared" si="19"/>
        <v>0.97</v>
      </c>
      <c r="R38" s="662">
        <f t="shared" ca="1" si="20"/>
        <v>21907</v>
      </c>
      <c r="S38" s="316">
        <f t="shared" ca="1" si="11"/>
        <v>195</v>
      </c>
    </row>
    <row r="39" spans="1:19">
      <c r="A39" s="664" t="str">
        <f>清单!C19</f>
        <v>一单元201</v>
      </c>
      <c r="B39" s="664">
        <f>清单!E19</f>
        <v>88.77</v>
      </c>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t="s">
        <v>3488</v>
      </c>
      <c r="Q39" s="21">
        <f t="shared" si="19"/>
        <v>1</v>
      </c>
      <c r="R39" s="662">
        <f t="shared" ca="1" si="20"/>
        <v>22585</v>
      </c>
      <c r="S39" s="316">
        <f t="shared" ca="1" si="11"/>
        <v>200</v>
      </c>
    </row>
    <row r="40" spans="1:19">
      <c r="A40" s="664" t="str">
        <f>清单!C20</f>
        <v>一单元202</v>
      </c>
      <c r="B40" s="664">
        <f>清单!E20</f>
        <v>88.83</v>
      </c>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t="s">
        <v>3488</v>
      </c>
      <c r="Q40" s="21">
        <f t="shared" si="19"/>
        <v>1</v>
      </c>
      <c r="R40" s="662">
        <f t="shared" ca="1" si="20"/>
        <v>22585</v>
      </c>
      <c r="S40" s="316">
        <f t="shared" ca="1" si="11"/>
        <v>201</v>
      </c>
    </row>
    <row r="41" spans="1:19">
      <c r="A41" s="664" t="str">
        <f>清单!C21</f>
        <v xml:space="preserve">一单元301 </v>
      </c>
      <c r="B41" s="664">
        <f>清单!E21</f>
        <v>88.77</v>
      </c>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t="s">
        <v>3489</v>
      </c>
      <c r="Q41" s="21">
        <f t="shared" si="19"/>
        <v>1.03</v>
      </c>
      <c r="R41" s="662">
        <f t="shared" ca="1" si="20"/>
        <v>23263</v>
      </c>
      <c r="S41" s="316">
        <f t="shared" ca="1" si="11"/>
        <v>207</v>
      </c>
    </row>
    <row r="42" spans="1:19">
      <c r="A42" s="664" t="str">
        <f>清单!C22</f>
        <v>一单元302</v>
      </c>
      <c r="B42" s="664">
        <f>清单!E22</f>
        <v>88.83</v>
      </c>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t="s">
        <v>3489</v>
      </c>
      <c r="Q42" s="21">
        <f t="shared" si="19"/>
        <v>1.03</v>
      </c>
      <c r="R42" s="662">
        <f t="shared" ca="1" si="20"/>
        <v>23263</v>
      </c>
      <c r="S42" s="316">
        <f t="shared" ca="1" si="11"/>
        <v>207</v>
      </c>
    </row>
    <row r="43" spans="1:19">
      <c r="A43" s="664" t="str">
        <f>清单!C23</f>
        <v>一单元401</v>
      </c>
      <c r="B43" s="664">
        <f>清单!E23</f>
        <v>88.77</v>
      </c>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t="s">
        <v>3492</v>
      </c>
      <c r="Q43" s="21">
        <f t="shared" si="19"/>
        <v>1.03</v>
      </c>
      <c r="R43" s="662">
        <f t="shared" ca="1" si="20"/>
        <v>23263</v>
      </c>
      <c r="S43" s="316">
        <f t="shared" ca="1" si="11"/>
        <v>207</v>
      </c>
    </row>
    <row r="44" spans="1:19">
      <c r="A44" s="664" t="str">
        <f>清单!C24</f>
        <v>一单元402</v>
      </c>
      <c r="B44" s="664">
        <f>清单!E24</f>
        <v>88.83</v>
      </c>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t="s">
        <v>3492</v>
      </c>
      <c r="Q44" s="21">
        <f t="shared" si="19"/>
        <v>1.03</v>
      </c>
      <c r="R44" s="662">
        <f t="shared" ca="1" si="20"/>
        <v>23263</v>
      </c>
      <c r="S44" s="316">
        <f t="shared" ca="1" si="11"/>
        <v>207</v>
      </c>
    </row>
    <row r="45" spans="1:19">
      <c r="A45" s="664" t="str">
        <f>清单!C25</f>
        <v>一单元501</v>
      </c>
      <c r="B45" s="664">
        <f>清单!E25</f>
        <v>88.77</v>
      </c>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t="s">
        <v>3493</v>
      </c>
      <c r="Q45" s="21">
        <f t="shared" si="19"/>
        <v>1.06</v>
      </c>
      <c r="R45" s="662">
        <f t="shared" ca="1" si="20"/>
        <v>23940</v>
      </c>
      <c r="S45" s="316">
        <f t="shared" ca="1" si="11"/>
        <v>213</v>
      </c>
    </row>
    <row r="46" spans="1:19">
      <c r="A46" s="664" t="str">
        <f>清单!C26</f>
        <v>一单元502</v>
      </c>
      <c r="B46" s="664">
        <f>清单!E26</f>
        <v>88.83</v>
      </c>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t="s">
        <v>3493</v>
      </c>
      <c r="Q46" s="21">
        <f t="shared" si="19"/>
        <v>1.06</v>
      </c>
      <c r="R46" s="662">
        <f t="shared" ca="1" si="20"/>
        <v>23940</v>
      </c>
      <c r="S46" s="316">
        <f t="shared" ca="1" si="11"/>
        <v>213</v>
      </c>
    </row>
    <row r="47" spans="1:19">
      <c r="A47" s="664" t="str">
        <f>清单!C27</f>
        <v>一单元601</v>
      </c>
      <c r="B47" s="664">
        <f>清单!E27</f>
        <v>88.77</v>
      </c>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t="s">
        <v>3490</v>
      </c>
      <c r="Q47" s="21">
        <f t="shared" si="19"/>
        <v>1.06</v>
      </c>
      <c r="R47" s="662">
        <f t="shared" ca="1" si="20"/>
        <v>23940</v>
      </c>
      <c r="S47" s="316">
        <f t="shared" ca="1" si="11"/>
        <v>213</v>
      </c>
    </row>
    <row r="48" spans="1:19">
      <c r="A48" s="664" t="str">
        <f>清单!C28</f>
        <v>一单元602</v>
      </c>
      <c r="B48" s="664">
        <f>清单!E28</f>
        <v>88.83</v>
      </c>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t="s">
        <v>3490</v>
      </c>
      <c r="Q48" s="21">
        <f t="shared" si="19"/>
        <v>1.06</v>
      </c>
      <c r="R48" s="662">
        <f t="shared" ca="1" si="20"/>
        <v>23940</v>
      </c>
      <c r="S48" s="316">
        <f t="shared" ca="1" si="11"/>
        <v>213</v>
      </c>
    </row>
    <row r="49" spans="1:19">
      <c r="A49" s="664" t="str">
        <f>清单!C29</f>
        <v xml:space="preserve">一单元701 </v>
      </c>
      <c r="B49" s="664">
        <f>清单!E29</f>
        <v>88.77</v>
      </c>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t="s">
        <v>3494</v>
      </c>
      <c r="Q49" s="21">
        <f t="shared" si="19"/>
        <v>1.06</v>
      </c>
      <c r="R49" s="662">
        <f t="shared" ca="1" si="20"/>
        <v>23940</v>
      </c>
      <c r="S49" s="316">
        <f t="shared" ca="1" si="11"/>
        <v>213</v>
      </c>
    </row>
    <row r="50" spans="1:19">
      <c r="A50" s="664" t="str">
        <f>清单!C30</f>
        <v xml:space="preserve">一单元702 </v>
      </c>
      <c r="B50" s="664">
        <f>清单!E30</f>
        <v>88.83</v>
      </c>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t="s">
        <v>3494</v>
      </c>
      <c r="Q50" s="21">
        <f t="shared" si="19"/>
        <v>1.06</v>
      </c>
      <c r="R50" s="662">
        <f t="shared" ca="1" si="20"/>
        <v>23940</v>
      </c>
      <c r="S50" s="316">
        <f t="shared" ca="1" si="11"/>
        <v>213</v>
      </c>
    </row>
    <row r="51" spans="1:19">
      <c r="A51" s="664" t="str">
        <f>清单!C31</f>
        <v>一单元801</v>
      </c>
      <c r="B51" s="664">
        <f>清单!E31</f>
        <v>88.77</v>
      </c>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t="s">
        <v>3495</v>
      </c>
      <c r="Q51" s="21">
        <f t="shared" si="19"/>
        <v>0.97</v>
      </c>
      <c r="R51" s="662">
        <f t="shared" ca="1" si="20"/>
        <v>21907</v>
      </c>
      <c r="S51" s="316">
        <f t="shared" ca="1" si="11"/>
        <v>194</v>
      </c>
    </row>
    <row r="52" spans="1:19">
      <c r="A52" s="664" t="str">
        <f>清单!C32</f>
        <v>一单元802</v>
      </c>
      <c r="B52" s="664">
        <f>清单!E32</f>
        <v>88.83</v>
      </c>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t="s">
        <v>3495</v>
      </c>
      <c r="Q52" s="21">
        <f t="shared" si="19"/>
        <v>0.97</v>
      </c>
      <c r="R52" s="662">
        <f t="shared" ca="1" si="20"/>
        <v>21907</v>
      </c>
      <c r="S52" s="316">
        <f t="shared" ca="1" si="11"/>
        <v>195</v>
      </c>
    </row>
    <row r="53" spans="1:19">
      <c r="A53" s="664" t="str">
        <f>清单!C33</f>
        <v>一单元102</v>
      </c>
      <c r="B53" s="664">
        <f>清单!E33</f>
        <v>88.88</v>
      </c>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t="s">
        <v>3491</v>
      </c>
      <c r="Q53" s="21">
        <f t="shared" si="19"/>
        <v>0.97</v>
      </c>
      <c r="R53" s="662">
        <f t="shared" ca="1" si="20"/>
        <v>21907</v>
      </c>
      <c r="S53" s="316">
        <f t="shared" ca="1" si="11"/>
        <v>195</v>
      </c>
    </row>
    <row r="54" spans="1:19">
      <c r="A54" s="664" t="str">
        <f>清单!C34</f>
        <v>一单元201</v>
      </c>
      <c r="B54" s="664">
        <f>清单!E34</f>
        <v>88.84</v>
      </c>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t="s">
        <v>3488</v>
      </c>
      <c r="Q54" s="21">
        <f t="shared" si="19"/>
        <v>1</v>
      </c>
      <c r="R54" s="662">
        <f t="shared" ca="1" si="20"/>
        <v>22585</v>
      </c>
      <c r="S54" s="316">
        <f t="shared" ca="1" si="11"/>
        <v>201</v>
      </c>
    </row>
    <row r="55" spans="1:19">
      <c r="A55" s="664" t="str">
        <f>清单!C35</f>
        <v>一单元801</v>
      </c>
      <c r="B55" s="664">
        <f>清单!E35</f>
        <v>88.84</v>
      </c>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t="s">
        <v>3495</v>
      </c>
      <c r="Q55" s="21">
        <f t="shared" si="19"/>
        <v>0.97</v>
      </c>
      <c r="R55" s="662">
        <f t="shared" ca="1" si="20"/>
        <v>21907</v>
      </c>
      <c r="S55" s="316">
        <f t="shared" ref="S55:S77" ca="1" si="21">ROUND(R55*B55/10000,0)</f>
        <v>195</v>
      </c>
    </row>
    <row r="56" spans="1:19">
      <c r="A56" s="664" t="str">
        <f>清单!C36</f>
        <v>一单元802</v>
      </c>
      <c r="B56" s="664">
        <f>清单!E36</f>
        <v>88.91</v>
      </c>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t="s">
        <v>3495</v>
      </c>
      <c r="Q56" s="21">
        <f t="shared" si="19"/>
        <v>0.97</v>
      </c>
      <c r="R56" s="662">
        <f t="shared" ca="1" si="20"/>
        <v>21907</v>
      </c>
      <c r="S56" s="316">
        <f t="shared" ca="1" si="21"/>
        <v>195</v>
      </c>
    </row>
    <row r="57" spans="1:19">
      <c r="A57" s="664" t="str">
        <f>清单!C37</f>
        <v>二单元101</v>
      </c>
      <c r="B57" s="664">
        <f>清单!E37</f>
        <v>88.56</v>
      </c>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t="s">
        <v>3491</v>
      </c>
      <c r="Q57" s="21">
        <f t="shared" si="19"/>
        <v>0.97</v>
      </c>
      <c r="R57" s="662">
        <f t="shared" ca="1" si="20"/>
        <v>21907</v>
      </c>
      <c r="S57" s="316">
        <f t="shared" ca="1" si="21"/>
        <v>194</v>
      </c>
    </row>
    <row r="58" spans="1:19">
      <c r="A58" s="664" t="str">
        <f>清单!C38</f>
        <v>二单元201</v>
      </c>
      <c r="B58" s="664">
        <f>清单!E38</f>
        <v>88.56</v>
      </c>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t="s">
        <v>3488</v>
      </c>
      <c r="Q58" s="21">
        <f t="shared" si="19"/>
        <v>1</v>
      </c>
      <c r="R58" s="662">
        <f t="shared" ca="1" si="20"/>
        <v>22585</v>
      </c>
      <c r="S58" s="316">
        <f t="shared" ca="1" si="21"/>
        <v>200</v>
      </c>
    </row>
    <row r="59" spans="1:19">
      <c r="A59" s="664" t="str">
        <f>清单!C39</f>
        <v>二单元102</v>
      </c>
      <c r="B59" s="664">
        <f>清单!E39</f>
        <v>88.88</v>
      </c>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t="s">
        <v>3491</v>
      </c>
      <c r="Q59" s="21">
        <f t="shared" si="19"/>
        <v>0.97</v>
      </c>
      <c r="R59" s="662">
        <f t="shared" ca="1" si="20"/>
        <v>21907</v>
      </c>
      <c r="S59" s="316">
        <f t="shared" ca="1" si="21"/>
        <v>195</v>
      </c>
    </row>
    <row r="60" spans="1:19">
      <c r="A60" s="664" t="str">
        <f>清单!C40</f>
        <v>二单元801</v>
      </c>
      <c r="B60" s="664">
        <f>清单!E40</f>
        <v>88.56</v>
      </c>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t="s">
        <v>3495</v>
      </c>
      <c r="Q60" s="21">
        <f t="shared" si="19"/>
        <v>0.97</v>
      </c>
      <c r="R60" s="662">
        <f t="shared" ca="1" si="20"/>
        <v>21907</v>
      </c>
      <c r="S60" s="316">
        <f t="shared" ca="1" si="21"/>
        <v>194</v>
      </c>
    </row>
    <row r="61" spans="1:19">
      <c r="A61" s="664" t="str">
        <f>清单!C41</f>
        <v>二单元802</v>
      </c>
      <c r="B61" s="664">
        <f>清单!E41</f>
        <v>88.91</v>
      </c>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t="s">
        <v>3495</v>
      </c>
      <c r="Q61" s="21">
        <f t="shared" si="19"/>
        <v>0.97</v>
      </c>
      <c r="R61" s="662">
        <f t="shared" ca="1" si="20"/>
        <v>21907</v>
      </c>
      <c r="S61" s="316">
        <f t="shared" ca="1" si="21"/>
        <v>195</v>
      </c>
    </row>
    <row r="62" spans="1:19">
      <c r="A62" s="664" t="str">
        <f>清单!C42</f>
        <v>三单元201</v>
      </c>
      <c r="B62" s="664">
        <f>清单!E42</f>
        <v>88.56</v>
      </c>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t="s">
        <v>3488</v>
      </c>
      <c r="Q62" s="21">
        <f t="shared" si="19"/>
        <v>1</v>
      </c>
      <c r="R62" s="662">
        <f t="shared" ca="1" si="20"/>
        <v>22585</v>
      </c>
      <c r="S62" s="316">
        <f t="shared" ca="1" si="21"/>
        <v>200</v>
      </c>
    </row>
    <row r="63" spans="1:19">
      <c r="A63" s="664" t="str">
        <f>清单!C43</f>
        <v>三单元801</v>
      </c>
      <c r="B63" s="664">
        <f>清单!E43</f>
        <v>88.56</v>
      </c>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t="s">
        <v>3495</v>
      </c>
      <c r="Q63" s="21">
        <f t="shared" si="19"/>
        <v>0.97</v>
      </c>
      <c r="R63" s="662">
        <f t="shared" ca="1" si="20"/>
        <v>21907</v>
      </c>
      <c r="S63" s="316">
        <f t="shared" ca="1" si="21"/>
        <v>194</v>
      </c>
    </row>
    <row r="64" spans="1:19">
      <c r="A64" s="664" t="str">
        <f>清单!C44</f>
        <v>四单元201</v>
      </c>
      <c r="B64" s="664">
        <f>清单!E44</f>
        <v>88.56</v>
      </c>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t="s">
        <v>3488</v>
      </c>
      <c r="Q64" s="21">
        <f t="shared" si="19"/>
        <v>1</v>
      </c>
      <c r="R64" s="662">
        <f t="shared" ca="1" si="20"/>
        <v>22585</v>
      </c>
      <c r="S64" s="316">
        <f t="shared" ca="1" si="21"/>
        <v>200</v>
      </c>
    </row>
    <row r="65" spans="1:19">
      <c r="A65" s="664"/>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0.03</v>
      </c>
      <c r="R65" s="662">
        <f t="shared" si="20"/>
        <v>0</v>
      </c>
      <c r="S65" s="316">
        <f t="shared" si="21"/>
        <v>0</v>
      </c>
    </row>
    <row r="66" spans="1:19">
      <c r="A66" s="664"/>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0.03</v>
      </c>
      <c r="R66" s="662">
        <f t="shared" si="20"/>
        <v>0</v>
      </c>
      <c r="S66" s="316">
        <f t="shared" si="21"/>
        <v>0</v>
      </c>
    </row>
    <row r="67" spans="1:19">
      <c r="A67" s="664"/>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0.03</v>
      </c>
      <c r="R67" s="662">
        <f t="shared" si="20"/>
        <v>0</v>
      </c>
      <c r="S67" s="316">
        <f t="shared" si="21"/>
        <v>0</v>
      </c>
    </row>
    <row r="68" spans="1:19">
      <c r="A68" s="664"/>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0.03</v>
      </c>
      <c r="R68" s="662">
        <f t="shared" si="20"/>
        <v>0</v>
      </c>
      <c r="S68" s="316">
        <f t="shared" si="21"/>
        <v>0</v>
      </c>
    </row>
    <row r="69" spans="1:19">
      <c r="A69" s="664"/>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0.03</v>
      </c>
      <c r="R69" s="662">
        <f t="shared" si="20"/>
        <v>0</v>
      </c>
      <c r="S69" s="316">
        <f t="shared" si="21"/>
        <v>0</v>
      </c>
    </row>
    <row r="70" spans="1:19">
      <c r="A70" s="664"/>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0.03</v>
      </c>
      <c r="R70" s="662">
        <f t="shared" si="20"/>
        <v>0</v>
      </c>
      <c r="S70" s="316">
        <f t="shared" si="21"/>
        <v>0</v>
      </c>
    </row>
    <row r="71" spans="1:19">
      <c r="A71" s="664"/>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0.03</v>
      </c>
      <c r="R71" s="662">
        <f t="shared" si="20"/>
        <v>0</v>
      </c>
      <c r="S71" s="316">
        <f t="shared" si="21"/>
        <v>0</v>
      </c>
    </row>
    <row r="72" spans="1:19">
      <c r="A72" s="664"/>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0.03</v>
      </c>
      <c r="R72" s="662">
        <f t="shared" si="20"/>
        <v>0</v>
      </c>
      <c r="S72" s="316">
        <f t="shared" si="21"/>
        <v>0</v>
      </c>
    </row>
    <row r="73" spans="1:19">
      <c r="A73" s="664"/>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0.03</v>
      </c>
      <c r="R73" s="662">
        <f t="shared" si="20"/>
        <v>0</v>
      </c>
      <c r="S73" s="316">
        <f t="shared" si="21"/>
        <v>0</v>
      </c>
    </row>
    <row r="74" spans="1:19">
      <c r="A74" s="664"/>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0.03</v>
      </c>
      <c r="R74" s="662">
        <f t="shared" si="20"/>
        <v>0</v>
      </c>
      <c r="S74" s="316">
        <f t="shared" si="21"/>
        <v>0</v>
      </c>
    </row>
    <row r="75" spans="1:19">
      <c r="A75" s="664"/>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0.03</v>
      </c>
      <c r="R75" s="662">
        <f t="shared" si="20"/>
        <v>0</v>
      </c>
      <c r="S75" s="316">
        <f t="shared" si="21"/>
        <v>0</v>
      </c>
    </row>
    <row r="76" spans="1:19">
      <c r="A76" s="664"/>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0.03</v>
      </c>
      <c r="R76" s="662">
        <f t="shared" si="20"/>
        <v>0</v>
      </c>
      <c r="S76" s="316">
        <f t="shared" si="21"/>
        <v>0</v>
      </c>
    </row>
    <row r="77" spans="1:19">
      <c r="A77" s="664"/>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0.03</v>
      </c>
      <c r="R77" s="662">
        <f t="shared" si="20"/>
        <v>0</v>
      </c>
      <c r="S77" s="316">
        <f t="shared" si="21"/>
        <v>0</v>
      </c>
    </row>
    <row r="78" spans="1:19">
      <c r="A78" s="664"/>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0.03</v>
      </c>
      <c r="R78" s="662">
        <f t="shared" si="20"/>
        <v>0</v>
      </c>
      <c r="S78" s="316">
        <f t="shared" ref="S78:S122" si="22">ROUND(R78*B78/10000,0)</f>
        <v>0</v>
      </c>
    </row>
    <row r="79" spans="1:19">
      <c r="A79" s="664"/>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0.03</v>
      </c>
      <c r="R79" s="662">
        <f t="shared" si="20"/>
        <v>0</v>
      </c>
      <c r="S79" s="316">
        <f t="shared" si="22"/>
        <v>0</v>
      </c>
    </row>
    <row r="80" spans="1:19">
      <c r="A80" s="664"/>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0.03</v>
      </c>
      <c r="R80" s="662">
        <f t="shared" si="20"/>
        <v>0</v>
      </c>
      <c r="S80" s="316">
        <f t="shared" si="22"/>
        <v>0</v>
      </c>
    </row>
    <row r="81" spans="1:19">
      <c r="A81" s="664"/>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0.03</v>
      </c>
      <c r="R81" s="662">
        <f t="shared" si="20"/>
        <v>0</v>
      </c>
      <c r="S81" s="316">
        <f t="shared" si="22"/>
        <v>0</v>
      </c>
    </row>
    <row r="82" spans="1:19">
      <c r="A82" s="664"/>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0.03</v>
      </c>
      <c r="R82" s="662">
        <f t="shared" si="20"/>
        <v>0</v>
      </c>
      <c r="S82" s="316">
        <f t="shared" si="22"/>
        <v>0</v>
      </c>
    </row>
    <row r="83" spans="1:19">
      <c r="A83" s="664"/>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0.03</v>
      </c>
      <c r="R83" s="662">
        <f t="shared" si="20"/>
        <v>0</v>
      </c>
      <c r="S83" s="316">
        <f t="shared" si="22"/>
        <v>0</v>
      </c>
    </row>
    <row r="84" spans="1:19">
      <c r="A84" s="664"/>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0.03</v>
      </c>
      <c r="R84" s="662">
        <f t="shared" si="20"/>
        <v>0</v>
      </c>
      <c r="S84" s="316">
        <f t="shared" si="22"/>
        <v>0</v>
      </c>
    </row>
    <row r="85" spans="1:19">
      <c r="A85" s="664"/>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0.03</v>
      </c>
      <c r="R85" s="662">
        <f t="shared" si="20"/>
        <v>0</v>
      </c>
      <c r="S85" s="316">
        <f t="shared" si="22"/>
        <v>0</v>
      </c>
    </row>
    <row r="86" spans="1:19">
      <c r="A86" s="664"/>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0.03</v>
      </c>
      <c r="R86" s="662">
        <f t="shared" si="20"/>
        <v>0</v>
      </c>
      <c r="S86" s="316">
        <f t="shared" si="22"/>
        <v>0</v>
      </c>
    </row>
    <row r="87" spans="1:19">
      <c r="A87" s="664"/>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0.03</v>
      </c>
      <c r="R87" s="662">
        <f t="shared" si="20"/>
        <v>0</v>
      </c>
      <c r="S87" s="316">
        <f t="shared" si="22"/>
        <v>0</v>
      </c>
    </row>
    <row r="88" spans="1:19">
      <c r="A88" s="664"/>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0.03</v>
      </c>
      <c r="R88" s="662">
        <f t="shared" si="20"/>
        <v>0</v>
      </c>
      <c r="S88" s="316">
        <f t="shared" si="22"/>
        <v>0</v>
      </c>
    </row>
    <row r="89" spans="1:19">
      <c r="A89" s="664"/>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0.03</v>
      </c>
      <c r="R89" s="662">
        <f t="shared" si="20"/>
        <v>0</v>
      </c>
      <c r="S89" s="316">
        <f t="shared" si="22"/>
        <v>0</v>
      </c>
    </row>
    <row r="90" spans="1:19">
      <c r="A90" s="664"/>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0.03</v>
      </c>
      <c r="R90" s="662">
        <f t="shared" ref="R90:R153" si="31">IF(B90="",0,ROUND($R$24*C90*E90*G90*I90*K90*M90*O90*Q90,0))</f>
        <v>0</v>
      </c>
      <c r="S90" s="316">
        <f t="shared" si="22"/>
        <v>0</v>
      </c>
    </row>
    <row r="91" spans="1:19">
      <c r="A91" s="664"/>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0.03</v>
      </c>
      <c r="R91" s="662">
        <f t="shared" si="31"/>
        <v>0</v>
      </c>
      <c r="S91" s="316">
        <f t="shared" si="22"/>
        <v>0</v>
      </c>
    </row>
    <row r="92" spans="1:19">
      <c r="A92" s="664"/>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0.03</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0.03</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0.03</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0.03</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0.03</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0.03</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0.03</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0.03</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0.03</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0.03</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0.03</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0.03</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0.03</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0.03</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0.03</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0.03</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0.03</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0.03</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0.03</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0.03</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0.03</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0.03</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0.03</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0.03</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0.03</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0.03</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0.03</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0.03</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0.03</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0.03</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0.03</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0.03</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0.03</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0.03</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0.03</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0.03</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0.03</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0.03</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0.03</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0.03</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0.03</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0.03</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0.03</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0.03</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0.03</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0.03</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0.03</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0.03</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0.03</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0.03</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0.03</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0.03</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0.03</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0.03</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0.03</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0.03</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0.03</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0.03</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0.03</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0.03</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0.03</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0.03</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0.03</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0.03</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0.03</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0.03</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0.03</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0.03</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0.03</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0.03</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0.03</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0.03</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0.03</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0.03</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0.03</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0.03</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0.03</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0.03</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0.03</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0.03</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0.03</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0.03</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0.03</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0.03</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0.03</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0.03</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0.03</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0.03</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0.03</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0.03</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0.03</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0.03</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0.03</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0.03</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0.03</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0.03</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0.03</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0.03</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0.03</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0.03</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0.03</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0.03</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0.03</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0.03</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0.03</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0.03</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0.03</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0.03</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0.03</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0.03</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0.03</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0.03</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0.03</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0.03</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0.03</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0.03</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0.03</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0.03</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0.03</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0.03</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0.03</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0.03</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0.03</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0.03</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0.03</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0.03</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0.03</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0.03</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0.03</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0.03</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0.03</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0.03</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0.03</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0.03</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0.03</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0.03</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0.03</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0.03</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0.03</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0.03</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0.03</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0.03</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0.03</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0.03</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0.03</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0.03</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0.03</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0.03</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0.03</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0.03</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0.03</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0.03</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0.03</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0.03</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0.03</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0.03</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0.03</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0.03</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0.03</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0.03</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0.03</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0.03</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0.03</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0.03</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0.03</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0.03</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0.03</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0.03</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0.03</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0.03</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0.03</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0.03</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0.03</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0.03</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0.03</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0.03</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0.03</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0.03</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0.03</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0.03</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0.03</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0.03</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0.03</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0.03</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0.03</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0.03</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0.03</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0.03</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0.03</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0.03</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0.03</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0.03</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0.03</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0.03</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0.03</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0.03</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0.03</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0.03</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0.03</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0.03</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0.03</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0.03</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0.03</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0.03</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0.03</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0.03</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0.03</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0.03</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0.03</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0.03</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0.03</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0.03</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0.03</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0.03</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0.03</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0.03</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0.03</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0.03</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0.03</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0.03</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0.03</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0.03</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0.03</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0.03</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0.03</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0.03</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0.03</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0.03</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0.03</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0.03</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0.03</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0.03</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0.03</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0.03</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0.03</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0.03</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0.03</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0.03</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0.03</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0.03</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0.03</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0.03</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0.03</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0.03</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0.03</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0.03</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0.03</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0.03</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0.03</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0.03</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0.03</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0.03</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0.03</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0.03</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0.03</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0.03</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0.03</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0.03</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0.03</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0.03</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0.03</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0.03</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0.03</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0.03</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0.03</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0.03</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0.03</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0.03</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0.03</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0.03</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0.03</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0.03</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0.03</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0.03</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0.03</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0.03</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0.03</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0.03</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0.03</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0.03</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0.03</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0.03</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0.03</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0.03</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0.03</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0.03</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0.03</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0.03</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0.03</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0.03</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0.03</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0.03</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0.03</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0.03</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0.03</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0.03</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0.03</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0.03</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0.03</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0.03</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0.03</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0.03</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0.03</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0.03</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0.03</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0.03</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0.03</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0.03</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0.03</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0.03</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0.03</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0.03</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0.03</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0.03</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0.03</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0.03</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0.03</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0.03</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0.03</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0.03</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0.03</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0.03</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0.03</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0.03</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0.03</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0.03</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0.03</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0.03</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0.03</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0.03</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0.03</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0.03</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0.03</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0.03</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0.03</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0.03</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0.03</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0.03</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0.03</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0.03</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0.03</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0.03</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0.03</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0.03</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0.03</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0.03</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0.03</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0.03</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0.03</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0.03</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0.03</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0.03</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0.03</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0.03</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0.03</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0.03</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0.03</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0.03</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0.03</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0.03</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0.03</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0.03</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0.03</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0.03</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0.03</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0.03</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0.03</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0.03</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0.03</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0.03</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0.03</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0.03</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0.03</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0.03</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0.03</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0.03</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0.03</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0.03</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0.03</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0.03</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0.03</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0.03</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0.03</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0.03</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0.03</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0.03</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0.03</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0.03</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0.03</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0.03</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0.03</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0.03</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0.03</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0.03</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0.03</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0.03</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0.03</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0.03</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0.03</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0.03</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0.03</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0.03</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0.03</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0.03</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0.03</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0.03</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0.03</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0.03</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0.03</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0.03</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0.03</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0.03</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0.03</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0.03</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0.03</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0.03</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0.03</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0.03</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0.03</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0.03</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0.03</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0.03</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0.03</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0.03</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0.03</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0.03</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0.03</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0.03</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0.03</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0.03</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0.03</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0.03</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0.03</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71</v>
      </c>
      <c r="C2" s="2143" t="s">
        <v>2074</v>
      </c>
      <c r="D2" s="2143" t="s">
        <v>2075</v>
      </c>
      <c r="E2" s="2610">
        <f ca="1">SUMIF(E6:E13,"&lt;&gt;#ref!",E6:E13)</f>
        <v>89.64</v>
      </c>
      <c r="F2" s="2791"/>
      <c r="G2" s="2791"/>
      <c r="H2" s="2791"/>
      <c r="I2" s="2791"/>
      <c r="J2" s="2791"/>
      <c r="K2" s="2791"/>
      <c r="L2" s="2791"/>
      <c r="M2" s="2791"/>
      <c r="N2" s="2791"/>
      <c r="O2" s="2791"/>
      <c r="P2" s="2791"/>
    </row>
    <row r="3" spans="1:16" ht="15.75">
      <c r="A3" s="2143" t="s">
        <v>2076</v>
      </c>
      <c r="B3" s="2600">
        <f ca="1">ROUND(B2*10000/E2,0)</f>
        <v>7921</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71</v>
      </c>
      <c r="C6" s="2143" t="s">
        <v>2074</v>
      </c>
      <c r="D6" s="2791"/>
      <c r="E6" s="2610">
        <f ca="1">SUMIF(INDIRECT("'"&amp;A6&amp;"'"&amp;"!C:C"),"建筑面积",INDIRECT("'"&amp;A6&amp;"'"&amp;"!D:D"))</f>
        <v>89.64</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2595</v>
      </c>
      <c r="B1" s="3070" t="s">
        <v>2596</v>
      </c>
      <c r="C1" s="3070" t="s">
        <v>2597</v>
      </c>
      <c r="D1" s="3070" t="s">
        <v>2598</v>
      </c>
      <c r="E1" s="3070" t="s">
        <v>2599</v>
      </c>
      <c r="F1" s="3070" t="s">
        <v>2600</v>
      </c>
      <c r="G1" s="3070" t="s">
        <v>2601</v>
      </c>
      <c r="H1" s="3070" t="s">
        <v>2602</v>
      </c>
      <c r="I1" s="3070" t="s">
        <v>2603</v>
      </c>
      <c r="J1" s="3070" t="s">
        <v>2604</v>
      </c>
      <c r="K1" s="3070" t="s">
        <v>2605</v>
      </c>
      <c r="L1" s="3070" t="s">
        <v>2606</v>
      </c>
      <c r="M1" s="3071" t="s">
        <v>2607</v>
      </c>
    </row>
    <row r="2" spans="1:13" ht="19.5" customHeight="1">
      <c r="A2" s="3073" t="s">
        <v>2608</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2609</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2610</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2611</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2612</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2613</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2614</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2615</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2616</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2617</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2618</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2619</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2620</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2621</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2622</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2623</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2624</v>
      </c>
      <c r="B18" s="3095"/>
      <c r="C18" s="3096"/>
      <c r="D18" s="3096"/>
      <c r="E18" s="3095"/>
      <c r="F18" s="3096"/>
      <c r="G18" s="3096"/>
    </row>
    <row r="19" spans="1:13" ht="19.5" customHeight="1" thickBot="1">
      <c r="A19" s="3093" t="s">
        <v>2625</v>
      </c>
      <c r="B19" s="3098" t="s">
        <v>2626</v>
      </c>
      <c r="C19" s="3098" t="s">
        <v>2627</v>
      </c>
      <c r="D19" s="3099"/>
      <c r="E19" s="3093" t="s">
        <v>2628</v>
      </c>
      <c r="F19" s="3100"/>
      <c r="G19" s="3100"/>
    </row>
    <row r="20" spans="1:13" ht="19.5" customHeight="1">
      <c r="A20" s="3795" t="s">
        <v>2608</v>
      </c>
      <c r="B20" s="3790" t="s">
        <v>2629</v>
      </c>
      <c r="C20" s="3101" t="s">
        <v>2440</v>
      </c>
      <c r="D20" s="3102"/>
      <c r="E20" s="3103">
        <v>1</v>
      </c>
      <c r="F20" s="3104" t="s">
        <v>2441</v>
      </c>
      <c r="G20" s="3104"/>
    </row>
    <row r="21" spans="1:13" ht="19.5" customHeight="1">
      <c r="A21" s="3796"/>
      <c r="B21" s="3789"/>
      <c r="C21" s="3105" t="s">
        <v>2442</v>
      </c>
      <c r="D21" s="3106"/>
      <c r="E21" s="3107">
        <v>1</v>
      </c>
      <c r="F21" s="3104" t="s">
        <v>2443</v>
      </c>
      <c r="G21" s="3104"/>
    </row>
    <row r="22" spans="1:13" ht="19.5" customHeight="1">
      <c r="A22" s="3796"/>
      <c r="B22" s="3789"/>
      <c r="C22" s="3105" t="s">
        <v>2444</v>
      </c>
      <c r="D22" s="3106"/>
      <c r="E22" s="3107">
        <v>0.9</v>
      </c>
      <c r="F22" s="3104" t="s">
        <v>2445</v>
      </c>
      <c r="G22" s="3104"/>
    </row>
    <row r="23" spans="1:13" ht="19.5" customHeight="1">
      <c r="A23" s="3796"/>
      <c r="B23" s="3789"/>
      <c r="C23" s="3105" t="s">
        <v>2446</v>
      </c>
      <c r="D23" s="3106"/>
      <c r="E23" s="3107">
        <v>0.9</v>
      </c>
      <c r="F23" s="3104" t="s">
        <v>2447</v>
      </c>
      <c r="G23" s="3104"/>
    </row>
    <row r="24" spans="1:13" ht="19.5" customHeight="1">
      <c r="A24" s="3796"/>
      <c r="B24" s="3789"/>
      <c r="C24" s="3105" t="s">
        <v>2448</v>
      </c>
      <c r="D24" s="3106"/>
      <c r="E24" s="3107">
        <v>0.8</v>
      </c>
      <c r="F24" s="3104" t="s">
        <v>2449</v>
      </c>
      <c r="G24" s="3104"/>
    </row>
    <row r="25" spans="1:13" ht="19.5" customHeight="1" thickBot="1">
      <c r="A25" s="3797"/>
      <c r="B25" s="3791"/>
      <c r="C25" s="3108" t="s">
        <v>2450</v>
      </c>
      <c r="D25" s="3109"/>
      <c r="E25" s="3110">
        <v>0.8</v>
      </c>
      <c r="F25" s="3104" t="s">
        <v>2451</v>
      </c>
      <c r="G25" s="3104"/>
    </row>
    <row r="26" spans="1:13" ht="19.5" customHeight="1" thickBot="1">
      <c r="A26" s="3111" t="s">
        <v>2630</v>
      </c>
      <c r="B26" s="3112" t="s">
        <v>2629</v>
      </c>
      <c r="C26" s="3113" t="s">
        <v>2631</v>
      </c>
      <c r="D26" s="3114"/>
      <c r="E26" s="3115">
        <v>1</v>
      </c>
      <c r="F26" s="3104" t="s">
        <v>2452</v>
      </c>
      <c r="G26" s="3104"/>
    </row>
    <row r="27" spans="1:13" ht="19.5" customHeight="1">
      <c r="A27" s="3792" t="s">
        <v>2632</v>
      </c>
      <c r="B27" s="3790" t="s">
        <v>2613</v>
      </c>
      <c r="C27" s="3101" t="s">
        <v>2453</v>
      </c>
      <c r="D27" s="3102"/>
      <c r="E27" s="3103">
        <v>1</v>
      </c>
      <c r="F27" s="3104" t="s">
        <v>2454</v>
      </c>
      <c r="G27" s="3104"/>
    </row>
    <row r="28" spans="1:13" ht="19.5" customHeight="1">
      <c r="A28" s="3793"/>
      <c r="B28" s="3789"/>
      <c r="C28" s="3105" t="s">
        <v>2455</v>
      </c>
      <c r="D28" s="3106"/>
      <c r="E28" s="3107">
        <v>1</v>
      </c>
      <c r="F28" s="3104" t="s">
        <v>2456</v>
      </c>
      <c r="G28" s="3104"/>
    </row>
    <row r="29" spans="1:13" ht="19.5" customHeight="1">
      <c r="A29" s="3793"/>
      <c r="B29" s="3789"/>
      <c r="C29" s="3105" t="s">
        <v>2457</v>
      </c>
      <c r="D29" s="3106"/>
      <c r="E29" s="3107">
        <v>0.8</v>
      </c>
      <c r="F29" s="3104" t="s">
        <v>2458</v>
      </c>
      <c r="G29" s="3104"/>
    </row>
    <row r="30" spans="1:13" ht="19.5" customHeight="1">
      <c r="A30" s="3793"/>
      <c r="B30" s="3789"/>
      <c r="C30" s="3105" t="s">
        <v>2459</v>
      </c>
      <c r="D30" s="3106"/>
      <c r="E30" s="3107">
        <v>0.8</v>
      </c>
      <c r="F30" s="3104" t="s">
        <v>2460</v>
      </c>
      <c r="G30" s="3104"/>
    </row>
    <row r="31" spans="1:13" ht="19.5" customHeight="1">
      <c r="A31" s="3793"/>
      <c r="B31" s="3789"/>
      <c r="C31" s="3105" t="s">
        <v>2461</v>
      </c>
      <c r="D31" s="3106"/>
      <c r="E31" s="3107">
        <v>0.8</v>
      </c>
      <c r="F31" s="3104" t="s">
        <v>2462</v>
      </c>
      <c r="G31" s="3104"/>
    </row>
    <row r="32" spans="1:13" ht="19.5" customHeight="1">
      <c r="A32" s="3793"/>
      <c r="B32" s="3789"/>
      <c r="C32" s="3105" t="s">
        <v>2463</v>
      </c>
      <c r="D32" s="3106"/>
      <c r="E32" s="3107">
        <v>0.7</v>
      </c>
      <c r="F32" s="3104" t="s">
        <v>2464</v>
      </c>
      <c r="G32" s="3104"/>
    </row>
    <row r="33" spans="1:7" ht="19.5" customHeight="1">
      <c r="A33" s="3793"/>
      <c r="B33" s="3789"/>
      <c r="C33" s="3105" t="s">
        <v>2465</v>
      </c>
      <c r="D33" s="3106"/>
      <c r="E33" s="3107">
        <v>0.8</v>
      </c>
      <c r="F33" s="3104" t="s">
        <v>2466</v>
      </c>
      <c r="G33" s="3104"/>
    </row>
    <row r="34" spans="1:7" ht="19.5" customHeight="1">
      <c r="A34" s="3793"/>
      <c r="B34" s="3789"/>
      <c r="C34" s="3105" t="s">
        <v>2467</v>
      </c>
      <c r="D34" s="3106"/>
      <c r="E34" s="3107">
        <v>0.6</v>
      </c>
      <c r="F34" s="3104" t="s">
        <v>2468</v>
      </c>
      <c r="G34" s="3104"/>
    </row>
    <row r="35" spans="1:7" ht="19.5" customHeight="1">
      <c r="A35" s="3793"/>
      <c r="B35" s="3789"/>
      <c r="C35" s="3105" t="s">
        <v>2469</v>
      </c>
      <c r="D35" s="3106"/>
      <c r="E35" s="3107">
        <v>0.2</v>
      </c>
      <c r="F35" s="3104" t="s">
        <v>2470</v>
      </c>
      <c r="G35" s="3104"/>
    </row>
    <row r="36" spans="1:7" ht="19.5" customHeight="1">
      <c r="A36" s="3793"/>
      <c r="B36" s="3789"/>
      <c r="C36" s="3105" t="s">
        <v>2471</v>
      </c>
      <c r="D36" s="3106"/>
      <c r="E36" s="3107">
        <v>0.2</v>
      </c>
      <c r="F36" s="3104" t="s">
        <v>2472</v>
      </c>
      <c r="G36" s="3104"/>
    </row>
    <row r="37" spans="1:7" ht="19.5" customHeight="1">
      <c r="A37" s="3793"/>
      <c r="B37" s="3787" t="s">
        <v>2633</v>
      </c>
      <c r="C37" s="3105" t="s">
        <v>2473</v>
      </c>
      <c r="D37" s="3106"/>
      <c r="E37" s="3107">
        <v>0.6</v>
      </c>
      <c r="F37" s="3104" t="s">
        <v>2474</v>
      </c>
      <c r="G37" s="3104"/>
    </row>
    <row r="38" spans="1:7" ht="19.5" customHeight="1">
      <c r="A38" s="3793"/>
      <c r="B38" s="3789"/>
      <c r="C38" s="3105" t="s">
        <v>2475</v>
      </c>
      <c r="D38" s="3106"/>
      <c r="E38" s="3107">
        <v>0.6</v>
      </c>
      <c r="F38" s="3104" t="s">
        <v>2476</v>
      </c>
      <c r="G38" s="3104"/>
    </row>
    <row r="39" spans="1:7" ht="19.5" customHeight="1" thickBot="1">
      <c r="A39" s="3794"/>
      <c r="B39" s="3791"/>
      <c r="C39" s="3108" t="s">
        <v>2477</v>
      </c>
      <c r="D39" s="3109"/>
      <c r="E39" s="3110">
        <v>0.6</v>
      </c>
      <c r="F39" s="3104" t="s">
        <v>2478</v>
      </c>
      <c r="G39" s="3104"/>
    </row>
    <row r="40" spans="1:7" ht="19.5" customHeight="1" thickBot="1">
      <c r="A40" s="3111" t="s">
        <v>2610</v>
      </c>
      <c r="B40" s="3112" t="s">
        <v>2610</v>
      </c>
      <c r="C40" s="3113" t="s">
        <v>2634</v>
      </c>
      <c r="D40" s="3114"/>
      <c r="E40" s="3115">
        <v>1</v>
      </c>
      <c r="F40" s="3104" t="s">
        <v>2479</v>
      </c>
      <c r="G40" s="3104"/>
    </row>
    <row r="41" spans="1:7" ht="19.5" customHeight="1">
      <c r="A41" s="3795" t="s">
        <v>2611</v>
      </c>
      <c r="B41" s="3790" t="s">
        <v>2635</v>
      </c>
      <c r="C41" s="3101" t="s">
        <v>2480</v>
      </c>
      <c r="D41" s="3102"/>
      <c r="E41" s="3103">
        <v>1</v>
      </c>
      <c r="F41" s="3104" t="s">
        <v>2481</v>
      </c>
      <c r="G41" s="3104"/>
    </row>
    <row r="42" spans="1:7" ht="19.5" customHeight="1">
      <c r="A42" s="3796"/>
      <c r="B42" s="3789"/>
      <c r="C42" s="3105" t="s">
        <v>2482</v>
      </c>
      <c r="D42" s="3106"/>
      <c r="E42" s="3107">
        <v>1</v>
      </c>
      <c r="F42" s="3104" t="s">
        <v>2483</v>
      </c>
      <c r="G42" s="3104"/>
    </row>
    <row r="43" spans="1:7" ht="19.5" customHeight="1">
      <c r="A43" s="3796"/>
      <c r="B43" s="3788"/>
      <c r="C43" s="3105" t="s">
        <v>2484</v>
      </c>
      <c r="D43" s="3106"/>
      <c r="E43" s="3107">
        <v>1.5</v>
      </c>
      <c r="F43" s="3104" t="s">
        <v>2485</v>
      </c>
      <c r="G43" s="3104"/>
    </row>
    <row r="44" spans="1:7" ht="19.5" customHeight="1">
      <c r="A44" s="3796"/>
      <c r="B44" s="3116" t="s">
        <v>2636</v>
      </c>
      <c r="C44" s="3105" t="s">
        <v>2637</v>
      </c>
      <c r="D44" s="3106"/>
      <c r="E44" s="3107">
        <v>2</v>
      </c>
      <c r="F44" s="3104" t="s">
        <v>2486</v>
      </c>
      <c r="G44" s="3104"/>
    </row>
    <row r="45" spans="1:7" ht="19.5" customHeight="1">
      <c r="A45" s="3796"/>
      <c r="B45" s="3787" t="s">
        <v>2638</v>
      </c>
      <c r="C45" s="3105" t="s">
        <v>2487</v>
      </c>
      <c r="D45" s="3106"/>
      <c r="E45" s="3107">
        <v>1</v>
      </c>
      <c r="F45" s="3104" t="s">
        <v>2488</v>
      </c>
      <c r="G45" s="3104"/>
    </row>
    <row r="46" spans="1:7" ht="19.5" customHeight="1">
      <c r="A46" s="3796"/>
      <c r="B46" s="3789"/>
      <c r="C46" s="3105" t="s">
        <v>2489</v>
      </c>
      <c r="D46" s="3106"/>
      <c r="E46" s="3107">
        <v>1</v>
      </c>
      <c r="F46" s="3104" t="s">
        <v>2490</v>
      </c>
      <c r="G46" s="3104"/>
    </row>
    <row r="47" spans="1:7" ht="19.5" customHeight="1">
      <c r="A47" s="3796"/>
      <c r="B47" s="3789"/>
      <c r="C47" s="3105" t="s">
        <v>2491</v>
      </c>
      <c r="D47" s="3106"/>
      <c r="E47" s="3107">
        <v>1</v>
      </c>
      <c r="F47" s="3104" t="s">
        <v>2492</v>
      </c>
      <c r="G47" s="3104"/>
    </row>
    <row r="48" spans="1:7" ht="19.5" customHeight="1">
      <c r="A48" s="3796"/>
      <c r="B48" s="3789"/>
      <c r="C48" s="3105" t="s">
        <v>2493</v>
      </c>
      <c r="D48" s="3106"/>
      <c r="E48" s="3107">
        <v>1</v>
      </c>
      <c r="F48" s="3104" t="s">
        <v>2494</v>
      </c>
      <c r="G48" s="3104"/>
    </row>
    <row r="49" spans="1:7" ht="19.5" customHeight="1">
      <c r="A49" s="3796"/>
      <c r="B49" s="3789"/>
      <c r="C49" s="3105" t="s">
        <v>2495</v>
      </c>
      <c r="D49" s="3106"/>
      <c r="E49" s="3107">
        <v>1</v>
      </c>
      <c r="F49" s="3104" t="s">
        <v>2496</v>
      </c>
      <c r="G49" s="3104"/>
    </row>
    <row r="50" spans="1:7" ht="19.5" customHeight="1">
      <c r="A50" s="3796"/>
      <c r="B50" s="3789"/>
      <c r="C50" s="3105" t="s">
        <v>2497</v>
      </c>
      <c r="D50" s="3106"/>
      <c r="E50" s="3107">
        <v>1</v>
      </c>
      <c r="F50" s="3104" t="s">
        <v>2498</v>
      </c>
      <c r="G50" s="3104"/>
    </row>
    <row r="51" spans="1:7" ht="19.5" customHeight="1" thickBot="1">
      <c r="A51" s="3797"/>
      <c r="B51" s="3791"/>
      <c r="C51" s="3108" t="s">
        <v>2499</v>
      </c>
      <c r="D51" s="3109"/>
      <c r="E51" s="3110">
        <v>1</v>
      </c>
      <c r="F51" s="3104" t="s">
        <v>2500</v>
      </c>
      <c r="G51" s="3104"/>
    </row>
    <row r="52" spans="1:7" ht="19.5" customHeight="1">
      <c r="A52" s="3117"/>
      <c r="B52" s="3117"/>
      <c r="C52" s="3117"/>
      <c r="D52" s="3117"/>
      <c r="E52" s="3117"/>
      <c r="F52" s="3117"/>
      <c r="G52" s="3117"/>
    </row>
    <row r="54" spans="1:7" ht="19.5" customHeight="1">
      <c r="A54" s="3118"/>
      <c r="B54" s="3090" t="s">
        <v>2639</v>
      </c>
      <c r="C54" s="3090" t="s">
        <v>2639</v>
      </c>
      <c r="D54" s="3090" t="s">
        <v>2639</v>
      </c>
      <c r="E54" s="3093" t="s">
        <v>2639</v>
      </c>
      <c r="F54" s="3093" t="s">
        <v>2640</v>
      </c>
      <c r="G54" s="3093" t="s">
        <v>2641</v>
      </c>
    </row>
    <row r="55" spans="1:7" ht="19.5" customHeight="1">
      <c r="A55" s="3119"/>
      <c r="B55" s="3093" t="s">
        <v>2608</v>
      </c>
      <c r="C55" s="3093" t="s">
        <v>2608</v>
      </c>
      <c r="D55" s="3093" t="s">
        <v>2608</v>
      </c>
      <c r="E55" s="3090" t="s">
        <v>2609</v>
      </c>
      <c r="F55" s="3090" t="s">
        <v>2611</v>
      </c>
      <c r="G55" s="3090" t="s">
        <v>2642</v>
      </c>
    </row>
    <row r="56" spans="1:7" ht="19.5" customHeight="1">
      <c r="A56" s="3120"/>
      <c r="B56" s="3090">
        <v>1</v>
      </c>
      <c r="C56" s="3090">
        <v>2</v>
      </c>
      <c r="D56" s="3090">
        <v>3</v>
      </c>
      <c r="E56" s="3121" t="s">
        <v>2643</v>
      </c>
      <c r="F56" s="3121" t="s">
        <v>2643</v>
      </c>
      <c r="G56" s="3121" t="s">
        <v>2643</v>
      </c>
    </row>
    <row r="57" spans="1:7" ht="19.5" customHeight="1">
      <c r="A57" s="3122" t="s">
        <v>2596</v>
      </c>
      <c r="B57" s="3090">
        <v>0.7</v>
      </c>
      <c r="C57" s="3090">
        <v>0.4</v>
      </c>
      <c r="D57" s="3090">
        <v>0.3</v>
      </c>
      <c r="E57" s="3121">
        <v>0.3</v>
      </c>
      <c r="F57" s="3090">
        <v>0.3</v>
      </c>
      <c r="G57" s="3090">
        <v>0.2</v>
      </c>
    </row>
    <row r="58" spans="1:7" ht="19.5" customHeight="1">
      <c r="A58" s="3122" t="s">
        <v>2597</v>
      </c>
      <c r="B58" s="3090">
        <v>0.7</v>
      </c>
      <c r="C58" s="3090">
        <v>0.4</v>
      </c>
      <c r="D58" s="3090">
        <v>0.3</v>
      </c>
      <c r="E58" s="3090">
        <v>0.3</v>
      </c>
      <c r="F58" s="3090">
        <v>0.3</v>
      </c>
      <c r="G58" s="3090">
        <v>0.2</v>
      </c>
    </row>
    <row r="59" spans="1:7" ht="19.5" customHeight="1">
      <c r="A59" s="3122" t="s">
        <v>2598</v>
      </c>
      <c r="B59" s="3090">
        <v>0.6</v>
      </c>
      <c r="C59" s="3090">
        <v>0.3</v>
      </c>
      <c r="D59" s="3090">
        <v>0.25</v>
      </c>
      <c r="E59" s="3090">
        <v>0.25</v>
      </c>
      <c r="F59" s="3090">
        <v>0.25</v>
      </c>
      <c r="G59" s="3090">
        <v>0.15</v>
      </c>
    </row>
    <row r="60" spans="1:7" ht="19.5" customHeight="1">
      <c r="A60" s="3122" t="s">
        <v>2599</v>
      </c>
      <c r="B60" s="3090">
        <v>0.6</v>
      </c>
      <c r="C60" s="3090">
        <v>0.3</v>
      </c>
      <c r="D60" s="3090">
        <v>0.25</v>
      </c>
      <c r="E60" s="3090">
        <v>0.25</v>
      </c>
      <c r="F60" s="3090">
        <v>0.25</v>
      </c>
      <c r="G60" s="3090">
        <v>0.15</v>
      </c>
    </row>
    <row r="61" spans="1:7" ht="19.5" customHeight="1">
      <c r="A61" s="3122" t="s">
        <v>2600</v>
      </c>
      <c r="B61" s="3090">
        <v>0.6</v>
      </c>
      <c r="C61" s="3090">
        <v>0.3</v>
      </c>
      <c r="D61" s="3090">
        <v>0.25</v>
      </c>
      <c r="E61" s="3090">
        <v>0.25</v>
      </c>
      <c r="F61" s="3090">
        <v>0.25</v>
      </c>
      <c r="G61" s="3090">
        <v>0.15</v>
      </c>
    </row>
    <row r="62" spans="1:7" ht="19.5" customHeight="1">
      <c r="A62" s="3122" t="s">
        <v>2601</v>
      </c>
      <c r="B62" s="3090">
        <v>0.6</v>
      </c>
      <c r="C62" s="3090">
        <v>0.3</v>
      </c>
      <c r="D62" s="3090">
        <v>0.25</v>
      </c>
      <c r="E62" s="3090">
        <v>0.25</v>
      </c>
      <c r="F62" s="3090">
        <v>0.25</v>
      </c>
      <c r="G62" s="3090">
        <v>0.15</v>
      </c>
    </row>
    <row r="63" spans="1:7" ht="19.5" customHeight="1">
      <c r="A63" s="3122" t="s">
        <v>2602</v>
      </c>
      <c r="B63" s="3090">
        <v>0.6</v>
      </c>
      <c r="C63" s="3090">
        <v>0.3</v>
      </c>
      <c r="D63" s="3090">
        <v>0.25</v>
      </c>
      <c r="E63" s="3090">
        <v>0.25</v>
      </c>
      <c r="F63" s="3090">
        <v>0.25</v>
      </c>
      <c r="G63" s="3090">
        <v>0.15</v>
      </c>
    </row>
    <row r="64" spans="1:7" ht="19.5" customHeight="1">
      <c r="A64" s="3122" t="s">
        <v>2603</v>
      </c>
      <c r="B64" s="3090">
        <v>0.5</v>
      </c>
      <c r="C64" s="3090">
        <v>0.2</v>
      </c>
      <c r="D64" s="3090">
        <v>0.2</v>
      </c>
      <c r="E64" s="3090">
        <v>0.2</v>
      </c>
      <c r="F64" s="3090">
        <v>0.2</v>
      </c>
      <c r="G64" s="3090">
        <v>0.1</v>
      </c>
    </row>
    <row r="65" spans="1:7" ht="19.5" customHeight="1">
      <c r="A65" s="3122" t="s">
        <v>2604</v>
      </c>
      <c r="B65" s="3090">
        <v>0.5</v>
      </c>
      <c r="C65" s="3090">
        <v>0.2</v>
      </c>
      <c r="D65" s="3090">
        <v>0.2</v>
      </c>
      <c r="E65" s="3090">
        <v>0.2</v>
      </c>
      <c r="F65" s="3090">
        <v>0.2</v>
      </c>
      <c r="G65" s="3090">
        <v>0.1</v>
      </c>
    </row>
    <row r="66" spans="1:7" ht="19.5" customHeight="1">
      <c r="A66" s="3122" t="s">
        <v>2605</v>
      </c>
      <c r="B66" s="3090">
        <v>0.5</v>
      </c>
      <c r="C66" s="3090">
        <v>0.2</v>
      </c>
      <c r="D66" s="3090">
        <v>0.2</v>
      </c>
      <c r="E66" s="3090">
        <v>0.2</v>
      </c>
      <c r="F66" s="3090">
        <v>0.2</v>
      </c>
      <c r="G66" s="3090">
        <v>0.1</v>
      </c>
    </row>
    <row r="67" spans="1:7" ht="19.5" customHeight="1">
      <c r="A67" s="3122" t="s">
        <v>2606</v>
      </c>
      <c r="B67" s="3090">
        <v>0.5</v>
      </c>
      <c r="C67" s="3090">
        <v>0.2</v>
      </c>
      <c r="D67" s="3090">
        <v>0.2</v>
      </c>
      <c r="E67" s="3090">
        <v>0.2</v>
      </c>
      <c r="F67" s="3090">
        <v>0.2</v>
      </c>
      <c r="G67" s="3090">
        <v>0.1</v>
      </c>
    </row>
    <row r="68" spans="1:7" ht="19.5" customHeight="1">
      <c r="A68" s="3122" t="s">
        <v>2607</v>
      </c>
      <c r="B68" s="3090">
        <v>0.5</v>
      </c>
      <c r="C68" s="3090">
        <v>0.2</v>
      </c>
      <c r="D68" s="3090">
        <v>0.2</v>
      </c>
      <c r="E68" s="3090">
        <v>0.2</v>
      </c>
      <c r="F68" s="3090">
        <v>0.2</v>
      </c>
      <c r="G68" s="3090">
        <v>0.1</v>
      </c>
    </row>
    <row r="70" spans="1:7" ht="19.5" customHeight="1">
      <c r="A70" s="3123"/>
      <c r="B70" s="3124"/>
      <c r="C70" s="3124"/>
      <c r="D70" s="3124" t="s">
        <v>2644</v>
      </c>
      <c r="E70" s="3124"/>
      <c r="F70" s="3124"/>
    </row>
    <row r="71" spans="1:7" ht="19.5" customHeight="1">
      <c r="A71" s="3116" t="s">
        <v>2645</v>
      </c>
      <c r="B71" s="3116" t="s">
        <v>2646</v>
      </c>
      <c r="C71" s="3116" t="s">
        <v>2647</v>
      </c>
      <c r="D71" s="3116" t="s">
        <v>2648</v>
      </c>
      <c r="E71" s="3116" t="s">
        <v>2649</v>
      </c>
      <c r="F71" s="3116" t="s">
        <v>2650</v>
      </c>
    </row>
    <row r="72" spans="1:7" ht="13.5">
      <c r="A72" s="3116"/>
      <c r="B72" s="3116"/>
      <c r="C72" s="3116" t="s">
        <v>2651</v>
      </c>
      <c r="D72" s="3116"/>
      <c r="E72" s="3116" t="s">
        <v>2622</v>
      </c>
      <c r="F72" s="3116" t="s">
        <v>2622</v>
      </c>
    </row>
    <row r="73" spans="1:7" ht="13.5">
      <c r="A73" s="3116">
        <v>1</v>
      </c>
      <c r="B73" s="3787" t="s">
        <v>2652</v>
      </c>
      <c r="C73" s="3090" t="s">
        <v>2653</v>
      </c>
      <c r="D73" s="3090" t="s">
        <v>2654</v>
      </c>
      <c r="E73" s="3116">
        <v>0.2</v>
      </c>
      <c r="F73" s="3116">
        <v>25</v>
      </c>
    </row>
    <row r="74" spans="1:7" ht="24">
      <c r="A74" s="3116">
        <v>2</v>
      </c>
      <c r="B74" s="3789"/>
      <c r="C74" s="3090" t="s">
        <v>2655</v>
      </c>
      <c r="D74" s="3090" t="s">
        <v>2656</v>
      </c>
      <c r="E74" s="3116">
        <v>0.2</v>
      </c>
      <c r="F74" s="3116">
        <v>25</v>
      </c>
    </row>
    <row r="75" spans="1:7" ht="24">
      <c r="A75" s="3116">
        <v>3</v>
      </c>
      <c r="B75" s="3789"/>
      <c r="C75" s="3090" t="s">
        <v>2657</v>
      </c>
      <c r="D75" s="3090" t="s">
        <v>2658</v>
      </c>
      <c r="E75" s="3116">
        <v>0.2</v>
      </c>
      <c r="F75" s="3116">
        <v>25</v>
      </c>
    </row>
    <row r="76" spans="1:7" ht="13.5">
      <c r="A76" s="3116">
        <v>4</v>
      </c>
      <c r="B76" s="3789"/>
      <c r="C76" s="3090" t="s">
        <v>2659</v>
      </c>
      <c r="D76" s="3090" t="s">
        <v>2660</v>
      </c>
      <c r="E76" s="3116">
        <v>0.15</v>
      </c>
      <c r="F76" s="3116">
        <v>20</v>
      </c>
    </row>
    <row r="77" spans="1:7" ht="24">
      <c r="A77" s="3116">
        <v>5</v>
      </c>
      <c r="B77" s="3789"/>
      <c r="C77" s="3090" t="s">
        <v>2661</v>
      </c>
      <c r="D77" s="3090" t="s">
        <v>2662</v>
      </c>
      <c r="E77" s="3116">
        <v>0.15</v>
      </c>
      <c r="F77" s="3116">
        <v>20</v>
      </c>
    </row>
    <row r="78" spans="1:7" ht="24">
      <c r="A78" s="3116">
        <v>6</v>
      </c>
      <c r="B78" s="3789"/>
      <c r="C78" s="3090" t="s">
        <v>2663</v>
      </c>
      <c r="D78" s="3090" t="s">
        <v>2664</v>
      </c>
      <c r="E78" s="3116">
        <v>0.15</v>
      </c>
      <c r="F78" s="3116">
        <v>20</v>
      </c>
    </row>
    <row r="79" spans="1:7" ht="24">
      <c r="A79" s="3116">
        <v>7</v>
      </c>
      <c r="B79" s="3789"/>
      <c r="C79" s="3090" t="s">
        <v>2665</v>
      </c>
      <c r="D79" s="3090" t="s">
        <v>2666</v>
      </c>
      <c r="E79" s="3116">
        <v>0.15</v>
      </c>
      <c r="F79" s="3116">
        <v>20</v>
      </c>
    </row>
    <row r="80" spans="1:7" ht="24">
      <c r="A80" s="3116">
        <v>8</v>
      </c>
      <c r="B80" s="3789"/>
      <c r="C80" s="3090" t="s">
        <v>2667</v>
      </c>
      <c r="D80" s="3090" t="s">
        <v>2668</v>
      </c>
      <c r="E80" s="3116">
        <v>0.1</v>
      </c>
      <c r="F80" s="3116">
        <v>15</v>
      </c>
    </row>
    <row r="81" spans="1:6" ht="24">
      <c r="A81" s="3116">
        <v>9</v>
      </c>
      <c r="B81" s="3789"/>
      <c r="C81" s="3090" t="s">
        <v>2669</v>
      </c>
      <c r="D81" s="3090" t="s">
        <v>2670</v>
      </c>
      <c r="E81" s="3116">
        <v>0.1</v>
      </c>
      <c r="F81" s="3116">
        <v>15</v>
      </c>
    </row>
    <row r="82" spans="1:6" ht="24">
      <c r="A82" s="3116">
        <v>10</v>
      </c>
      <c r="B82" s="3789"/>
      <c r="C82" s="3090" t="s">
        <v>2671</v>
      </c>
      <c r="D82" s="3090" t="s">
        <v>2672</v>
      </c>
      <c r="E82" s="3116">
        <v>0.1</v>
      </c>
      <c r="F82" s="3116">
        <v>15</v>
      </c>
    </row>
    <row r="83" spans="1:6" ht="24">
      <c r="A83" s="3116">
        <v>11</v>
      </c>
      <c r="B83" s="3789"/>
      <c r="C83" s="3090" t="s">
        <v>2673</v>
      </c>
      <c r="D83" s="3090" t="s">
        <v>2674</v>
      </c>
      <c r="E83" s="3116">
        <v>0.1</v>
      </c>
      <c r="F83" s="3116">
        <v>15</v>
      </c>
    </row>
    <row r="84" spans="1:6" ht="24">
      <c r="A84" s="3116">
        <v>12</v>
      </c>
      <c r="B84" s="3789"/>
      <c r="C84" s="3090" t="s">
        <v>2675</v>
      </c>
      <c r="D84" s="3090" t="s">
        <v>2676</v>
      </c>
      <c r="E84" s="3116">
        <v>0.1</v>
      </c>
      <c r="F84" s="3116">
        <v>15</v>
      </c>
    </row>
    <row r="85" spans="1:6" ht="13.5">
      <c r="A85" s="3116">
        <v>13</v>
      </c>
      <c r="B85" s="3789"/>
      <c r="C85" s="3090" t="s">
        <v>2677</v>
      </c>
      <c r="D85" s="3090" t="s">
        <v>2678</v>
      </c>
      <c r="E85" s="3116">
        <v>0.1</v>
      </c>
      <c r="F85" s="3116">
        <v>15</v>
      </c>
    </row>
    <row r="86" spans="1:6" ht="13.5">
      <c r="A86" s="3116">
        <v>14</v>
      </c>
      <c r="B86" s="3789"/>
      <c r="C86" s="3090" t="s">
        <v>2679</v>
      </c>
      <c r="D86" s="3090" t="s">
        <v>2680</v>
      </c>
      <c r="E86" s="3116">
        <v>0.1</v>
      </c>
      <c r="F86" s="3116">
        <v>15</v>
      </c>
    </row>
    <row r="87" spans="1:6" ht="13.5">
      <c r="A87" s="3116">
        <v>15</v>
      </c>
      <c r="B87" s="3789"/>
      <c r="C87" s="3090" t="s">
        <v>2681</v>
      </c>
      <c r="D87" s="3090" t="s">
        <v>2682</v>
      </c>
      <c r="E87" s="3116">
        <v>0.1</v>
      </c>
      <c r="F87" s="3116">
        <v>15</v>
      </c>
    </row>
    <row r="88" spans="1:6" ht="24">
      <c r="A88" s="3116">
        <v>16</v>
      </c>
      <c r="B88" s="3789"/>
      <c r="C88" s="3090" t="s">
        <v>2683</v>
      </c>
      <c r="D88" s="3090" t="s">
        <v>2684</v>
      </c>
      <c r="E88" s="3116">
        <v>0.1</v>
      </c>
      <c r="F88" s="3116">
        <v>15</v>
      </c>
    </row>
    <row r="89" spans="1:6" ht="24">
      <c r="A89" s="3116">
        <v>17</v>
      </c>
      <c r="B89" s="3788"/>
      <c r="C89" s="3090" t="s">
        <v>2685</v>
      </c>
      <c r="D89" s="3090" t="s">
        <v>2686</v>
      </c>
      <c r="E89" s="3116">
        <v>0.1</v>
      </c>
      <c r="F89" s="3116">
        <v>15</v>
      </c>
    </row>
    <row r="90" spans="1:6" ht="13.5">
      <c r="A90" s="3116">
        <v>18</v>
      </c>
      <c r="B90" s="3787" t="s">
        <v>2687</v>
      </c>
      <c r="C90" s="3090" t="s">
        <v>2688</v>
      </c>
      <c r="D90" s="3090" t="s">
        <v>2689</v>
      </c>
      <c r="E90" s="3116">
        <v>0.2</v>
      </c>
      <c r="F90" s="3116">
        <v>25</v>
      </c>
    </row>
    <row r="91" spans="1:6" ht="24">
      <c r="A91" s="3116">
        <v>19</v>
      </c>
      <c r="B91" s="3789"/>
      <c r="C91" s="3090" t="s">
        <v>2690</v>
      </c>
      <c r="D91" s="3090" t="s">
        <v>2691</v>
      </c>
      <c r="E91" s="3116">
        <v>0.2</v>
      </c>
      <c r="F91" s="3116">
        <v>25</v>
      </c>
    </row>
    <row r="92" spans="1:6" ht="13.5">
      <c r="A92" s="3116">
        <v>20</v>
      </c>
      <c r="B92" s="3789"/>
      <c r="C92" s="3090" t="s">
        <v>2692</v>
      </c>
      <c r="D92" s="3090" t="s">
        <v>2693</v>
      </c>
      <c r="E92" s="3116">
        <v>0.15</v>
      </c>
      <c r="F92" s="3116">
        <v>20</v>
      </c>
    </row>
    <row r="93" spans="1:6" ht="13.5">
      <c r="A93" s="3116">
        <v>21</v>
      </c>
      <c r="B93" s="3789"/>
      <c r="C93" s="3090" t="s">
        <v>2694</v>
      </c>
      <c r="D93" s="3090" t="s">
        <v>2695</v>
      </c>
      <c r="E93" s="3116">
        <v>0.15</v>
      </c>
      <c r="F93" s="3116">
        <v>20</v>
      </c>
    </row>
    <row r="94" spans="1:6" ht="13.5">
      <c r="A94" s="3116">
        <v>22</v>
      </c>
      <c r="B94" s="3789"/>
      <c r="C94" s="3090" t="s">
        <v>2696</v>
      </c>
      <c r="D94" s="3090" t="s">
        <v>2697</v>
      </c>
      <c r="E94" s="3116">
        <v>0.15</v>
      </c>
      <c r="F94" s="3116">
        <v>20</v>
      </c>
    </row>
    <row r="95" spans="1:6" ht="36">
      <c r="A95" s="3116">
        <v>23</v>
      </c>
      <c r="B95" s="3789"/>
      <c r="C95" s="3090" t="s">
        <v>2698</v>
      </c>
      <c r="D95" s="3090" t="s">
        <v>2699</v>
      </c>
      <c r="E95" s="3116">
        <v>0.15</v>
      </c>
      <c r="F95" s="3116">
        <v>20</v>
      </c>
    </row>
    <row r="96" spans="1:6" ht="13.5">
      <c r="A96" s="3116">
        <v>24</v>
      </c>
      <c r="B96" s="3789"/>
      <c r="C96" s="3090" t="s">
        <v>2700</v>
      </c>
      <c r="D96" s="3090" t="s">
        <v>2701</v>
      </c>
      <c r="E96" s="3116">
        <v>0.1</v>
      </c>
      <c r="F96" s="3116">
        <v>15</v>
      </c>
    </row>
    <row r="97" spans="1:6" ht="13.5">
      <c r="A97" s="3116">
        <v>25</v>
      </c>
      <c r="B97" s="3789"/>
      <c r="C97" s="3090" t="s">
        <v>2702</v>
      </c>
      <c r="D97" s="3090" t="s">
        <v>2703</v>
      </c>
      <c r="E97" s="3116">
        <v>0.1</v>
      </c>
      <c r="F97" s="3116">
        <v>15</v>
      </c>
    </row>
    <row r="98" spans="1:6" ht="24">
      <c r="A98" s="3116">
        <v>26</v>
      </c>
      <c r="B98" s="3789"/>
      <c r="C98" s="3090" t="s">
        <v>2704</v>
      </c>
      <c r="D98" s="3090" t="s">
        <v>2705</v>
      </c>
      <c r="E98" s="3116">
        <v>0.1</v>
      </c>
      <c r="F98" s="3116">
        <v>15</v>
      </c>
    </row>
    <row r="99" spans="1:6" ht="24">
      <c r="A99" s="3116">
        <v>27</v>
      </c>
      <c r="B99" s="3789"/>
      <c r="C99" s="3090" t="s">
        <v>2706</v>
      </c>
      <c r="D99" s="3090" t="s">
        <v>2707</v>
      </c>
      <c r="E99" s="3116">
        <v>0.1</v>
      </c>
      <c r="F99" s="3116">
        <v>15</v>
      </c>
    </row>
    <row r="100" spans="1:6" ht="13.5">
      <c r="A100" s="3116">
        <v>28</v>
      </c>
      <c r="B100" s="3789"/>
      <c r="C100" s="3090" t="s">
        <v>2708</v>
      </c>
      <c r="D100" s="3090" t="s">
        <v>2709</v>
      </c>
      <c r="E100" s="3116">
        <v>0.1</v>
      </c>
      <c r="F100" s="3116">
        <v>15</v>
      </c>
    </row>
    <row r="101" spans="1:6" ht="13.5">
      <c r="A101" s="3116">
        <v>29</v>
      </c>
      <c r="B101" s="3789"/>
      <c r="C101" s="3090" t="s">
        <v>2710</v>
      </c>
      <c r="D101" s="3090" t="s">
        <v>2711</v>
      </c>
      <c r="E101" s="3116">
        <v>0.1</v>
      </c>
      <c r="F101" s="3116">
        <v>15</v>
      </c>
    </row>
    <row r="102" spans="1:6" ht="13.5">
      <c r="A102" s="3116">
        <v>30</v>
      </c>
      <c r="B102" s="3789"/>
      <c r="C102" s="3090" t="s">
        <v>2712</v>
      </c>
      <c r="D102" s="3090" t="s">
        <v>2713</v>
      </c>
      <c r="E102" s="3116">
        <v>0.1</v>
      </c>
      <c r="F102" s="3116">
        <v>15</v>
      </c>
    </row>
    <row r="103" spans="1:6" ht="24">
      <c r="A103" s="3116">
        <v>31</v>
      </c>
      <c r="B103" s="3789"/>
      <c r="C103" s="3090" t="s">
        <v>2714</v>
      </c>
      <c r="D103" s="3090" t="s">
        <v>2715</v>
      </c>
      <c r="E103" s="3116">
        <v>0.1</v>
      </c>
      <c r="F103" s="3116">
        <v>15</v>
      </c>
    </row>
    <row r="104" spans="1:6" ht="24">
      <c r="A104" s="3116">
        <v>32</v>
      </c>
      <c r="B104" s="3789"/>
      <c r="C104" s="3090" t="s">
        <v>2716</v>
      </c>
      <c r="D104" s="3090" t="s">
        <v>2717</v>
      </c>
      <c r="E104" s="3116">
        <v>0.1</v>
      </c>
      <c r="F104" s="3116">
        <v>15</v>
      </c>
    </row>
    <row r="105" spans="1:6" ht="24">
      <c r="A105" s="3116">
        <v>33</v>
      </c>
      <c r="B105" s="3789"/>
      <c r="C105" s="3090" t="s">
        <v>2718</v>
      </c>
      <c r="D105" s="3090" t="s">
        <v>2719</v>
      </c>
      <c r="E105" s="3116">
        <v>0.1</v>
      </c>
      <c r="F105" s="3116">
        <v>15</v>
      </c>
    </row>
    <row r="106" spans="1:6" ht="24">
      <c r="A106" s="3116">
        <v>34</v>
      </c>
      <c r="B106" s="3788"/>
      <c r="C106" s="3090" t="s">
        <v>2720</v>
      </c>
      <c r="D106" s="3090" t="s">
        <v>2721</v>
      </c>
      <c r="E106" s="3116">
        <v>0.1</v>
      </c>
      <c r="F106" s="3116">
        <v>15</v>
      </c>
    </row>
    <row r="107" spans="1:6" ht="24">
      <c r="A107" s="3116">
        <v>35</v>
      </c>
      <c r="B107" s="3787" t="s">
        <v>2722</v>
      </c>
      <c r="C107" s="3116" t="s">
        <v>2723</v>
      </c>
      <c r="D107" s="3090" t="s">
        <v>2724</v>
      </c>
      <c r="E107" s="3116">
        <v>0.15</v>
      </c>
      <c r="F107" s="3116">
        <v>20</v>
      </c>
    </row>
    <row r="108" spans="1:6" ht="13.5">
      <c r="A108" s="3116">
        <v>36</v>
      </c>
      <c r="B108" s="3789"/>
      <c r="C108" s="3116" t="s">
        <v>2725</v>
      </c>
      <c r="D108" s="3090" t="s">
        <v>2726</v>
      </c>
      <c r="E108" s="3116">
        <v>0.15</v>
      </c>
      <c r="F108" s="3116">
        <v>20</v>
      </c>
    </row>
    <row r="109" spans="1:6" ht="13.5">
      <c r="A109" s="3116">
        <v>37</v>
      </c>
      <c r="B109" s="3789"/>
      <c r="C109" s="3116" t="s">
        <v>2727</v>
      </c>
      <c r="D109" s="3090" t="s">
        <v>2728</v>
      </c>
      <c r="E109" s="3116">
        <v>0.15</v>
      </c>
      <c r="F109" s="3116">
        <v>20</v>
      </c>
    </row>
    <row r="110" spans="1:6" ht="13.5">
      <c r="A110" s="3116">
        <v>38</v>
      </c>
      <c r="B110" s="3789"/>
      <c r="C110" s="3116" t="s">
        <v>2729</v>
      </c>
      <c r="D110" s="3090" t="s">
        <v>2730</v>
      </c>
      <c r="E110" s="3116">
        <v>0.1</v>
      </c>
      <c r="F110" s="3116">
        <v>15</v>
      </c>
    </row>
    <row r="111" spans="1:6" ht="24">
      <c r="A111" s="3116">
        <v>39</v>
      </c>
      <c r="B111" s="3789"/>
      <c r="C111" s="3116" t="s">
        <v>2731</v>
      </c>
      <c r="D111" s="3090" t="s">
        <v>2732</v>
      </c>
      <c r="E111" s="3116">
        <v>0.1</v>
      </c>
      <c r="F111" s="3116">
        <v>15</v>
      </c>
    </row>
    <row r="112" spans="1:6" ht="24">
      <c r="A112" s="3116">
        <v>40</v>
      </c>
      <c r="B112" s="3788"/>
      <c r="C112" s="3116" t="s">
        <v>2733</v>
      </c>
      <c r="D112" s="3090" t="s">
        <v>2734</v>
      </c>
      <c r="E112" s="3116">
        <v>0.1</v>
      </c>
      <c r="F112" s="3116">
        <v>15</v>
      </c>
    </row>
    <row r="113" spans="1:6" ht="13.5">
      <c r="A113" s="3116">
        <v>41</v>
      </c>
      <c r="B113" s="3786" t="s">
        <v>2735</v>
      </c>
      <c r="C113" s="3116" t="s">
        <v>2736</v>
      </c>
      <c r="D113" s="3090" t="s">
        <v>2737</v>
      </c>
      <c r="E113" s="3116">
        <v>0.1</v>
      </c>
      <c r="F113" s="3116">
        <v>15</v>
      </c>
    </row>
    <row r="114" spans="1:6" ht="13.5">
      <c r="A114" s="3116">
        <v>42</v>
      </c>
      <c r="B114" s="3786"/>
      <c r="C114" s="3116" t="s">
        <v>2738</v>
      </c>
      <c r="D114" s="3090" t="s">
        <v>2739</v>
      </c>
      <c r="E114" s="3116">
        <v>0.1</v>
      </c>
      <c r="F114" s="3116">
        <v>15</v>
      </c>
    </row>
    <row r="115" spans="1:6" ht="24">
      <c r="A115" s="3116">
        <v>43</v>
      </c>
      <c r="B115" s="3786"/>
      <c r="C115" s="3116" t="s">
        <v>2740</v>
      </c>
      <c r="D115" s="3090" t="s">
        <v>2741</v>
      </c>
      <c r="E115" s="3116">
        <v>0.1</v>
      </c>
      <c r="F115" s="3116">
        <v>15</v>
      </c>
    </row>
    <row r="116" spans="1:6" ht="13.5">
      <c r="A116" s="3116">
        <v>44</v>
      </c>
      <c r="B116" s="3787" t="s">
        <v>2742</v>
      </c>
      <c r="C116" s="3116" t="s">
        <v>2743</v>
      </c>
      <c r="D116" s="3090" t="s">
        <v>2744</v>
      </c>
      <c r="E116" s="3116">
        <v>0.1</v>
      </c>
      <c r="F116" s="3116">
        <v>15</v>
      </c>
    </row>
    <row r="117" spans="1:6" ht="24">
      <c r="A117" s="3116">
        <v>45</v>
      </c>
      <c r="B117" s="3788"/>
      <c r="C117" s="3090" t="s">
        <v>2745</v>
      </c>
      <c r="D117" s="3090" t="s">
        <v>2746</v>
      </c>
      <c r="E117" s="3116">
        <v>0.1</v>
      </c>
      <c r="F117" s="3116">
        <v>15</v>
      </c>
    </row>
    <row r="118" spans="1:6" ht="24">
      <c r="A118" s="3116">
        <v>46</v>
      </c>
      <c r="B118" s="3787" t="s">
        <v>2747</v>
      </c>
      <c r="C118" s="3116" t="s">
        <v>2748</v>
      </c>
      <c r="D118" s="3090" t="s">
        <v>2749</v>
      </c>
      <c r="E118" s="3116">
        <v>0.1</v>
      </c>
      <c r="F118" s="3116">
        <v>15</v>
      </c>
    </row>
    <row r="119" spans="1:6" ht="24">
      <c r="A119" s="3116">
        <v>47</v>
      </c>
      <c r="B119" s="3788"/>
      <c r="C119" s="3116" t="s">
        <v>2750</v>
      </c>
      <c r="D119" s="3090" t="s">
        <v>2751</v>
      </c>
      <c r="E119" s="3116">
        <v>0.1</v>
      </c>
      <c r="F119" s="3116">
        <v>15</v>
      </c>
    </row>
    <row r="120" spans="1:6" ht="13.5">
      <c r="A120" s="3116">
        <v>48</v>
      </c>
      <c r="B120" s="3787" t="s">
        <v>2752</v>
      </c>
      <c r="C120" s="3116" t="s">
        <v>2753</v>
      </c>
      <c r="D120" s="3090" t="s">
        <v>2754</v>
      </c>
      <c r="E120" s="3116">
        <v>0.1</v>
      </c>
      <c r="F120" s="3116">
        <v>15</v>
      </c>
    </row>
    <row r="121" spans="1:6" ht="13.5">
      <c r="A121" s="3116">
        <v>49</v>
      </c>
      <c r="B121" s="3788"/>
      <c r="C121" s="3116" t="s">
        <v>2755</v>
      </c>
      <c r="D121" s="3090" t="s">
        <v>2756</v>
      </c>
      <c r="E121" s="3116">
        <v>0.1</v>
      </c>
      <c r="F121" s="3116">
        <v>15</v>
      </c>
    </row>
    <row r="122" spans="1:6" ht="24">
      <c r="A122" s="3116">
        <v>50</v>
      </c>
      <c r="B122" s="3786" t="s">
        <v>2757</v>
      </c>
      <c r="C122" s="3116" t="s">
        <v>2758</v>
      </c>
      <c r="D122" s="3090" t="s">
        <v>2759</v>
      </c>
      <c r="E122" s="3116">
        <v>0.1</v>
      </c>
      <c r="F122" s="3116">
        <v>15</v>
      </c>
    </row>
    <row r="123" spans="1:6" ht="24">
      <c r="A123" s="3116">
        <v>51</v>
      </c>
      <c r="B123" s="3786"/>
      <c r="C123" s="3116" t="s">
        <v>2760</v>
      </c>
      <c r="D123" s="3090" t="s">
        <v>2761</v>
      </c>
      <c r="E123" s="3116">
        <v>0.1</v>
      </c>
      <c r="F123" s="3116">
        <v>15</v>
      </c>
    </row>
    <row r="124" spans="1:6" ht="24">
      <c r="A124" s="3116">
        <v>52</v>
      </c>
      <c r="B124" s="3786" t="s">
        <v>2762</v>
      </c>
      <c r="C124" s="3116" t="s">
        <v>2763</v>
      </c>
      <c r="D124" s="3090" t="s">
        <v>2764</v>
      </c>
      <c r="E124" s="3116">
        <v>0.1</v>
      </c>
      <c r="F124" s="3116">
        <v>15</v>
      </c>
    </row>
    <row r="125" spans="1:6" ht="24">
      <c r="A125" s="3116">
        <v>53</v>
      </c>
      <c r="B125" s="3786"/>
      <c r="C125" s="3116" t="s">
        <v>2765</v>
      </c>
      <c r="D125" s="3090" t="s">
        <v>2766</v>
      </c>
      <c r="E125" s="3116">
        <v>0.1</v>
      </c>
      <c r="F125" s="3116">
        <v>15</v>
      </c>
    </row>
    <row r="126" spans="1:6" ht="13.5">
      <c r="A126" s="3116">
        <v>54</v>
      </c>
      <c r="B126" s="3116" t="s">
        <v>2767</v>
      </c>
      <c r="C126" s="3116" t="s">
        <v>2768</v>
      </c>
      <c r="D126" s="3090" t="s">
        <v>2769</v>
      </c>
      <c r="E126" s="3116">
        <v>0.1</v>
      </c>
      <c r="F126" s="3116">
        <v>15</v>
      </c>
    </row>
    <row r="127" spans="1:6" ht="13.5">
      <c r="A127" s="3116">
        <v>55</v>
      </c>
      <c r="B127" s="3786" t="s">
        <v>2770</v>
      </c>
      <c r="C127" s="3116" t="s">
        <v>2771</v>
      </c>
      <c r="D127" s="3090" t="s">
        <v>2772</v>
      </c>
      <c r="E127" s="3116">
        <v>0.1</v>
      </c>
      <c r="F127" s="3116">
        <v>15</v>
      </c>
    </row>
    <row r="128" spans="1:6" ht="13.5">
      <c r="A128" s="3116">
        <v>56</v>
      </c>
      <c r="B128" s="3786"/>
      <c r="C128" s="3116" t="s">
        <v>2773</v>
      </c>
      <c r="D128" s="3090" t="s">
        <v>2774</v>
      </c>
      <c r="E128" s="3116">
        <v>0.1</v>
      </c>
      <c r="F128" s="3116">
        <v>15</v>
      </c>
    </row>
    <row r="129" spans="1:6" ht="24">
      <c r="A129" s="3116">
        <v>57</v>
      </c>
      <c r="B129" s="3786"/>
      <c r="C129" s="3116" t="s">
        <v>2775</v>
      </c>
      <c r="D129" s="3090" t="s">
        <v>2776</v>
      </c>
      <c r="E129" s="3116">
        <v>0.1</v>
      </c>
      <c r="F129" s="3116">
        <v>15</v>
      </c>
    </row>
    <row r="130" spans="1:6" ht="24">
      <c r="A130" s="3116">
        <v>58</v>
      </c>
      <c r="B130" s="3786" t="s">
        <v>2777</v>
      </c>
      <c r="C130" s="3116" t="s">
        <v>2778</v>
      </c>
      <c r="D130" s="3090" t="s">
        <v>2779</v>
      </c>
      <c r="E130" s="3116">
        <v>0.1</v>
      </c>
      <c r="F130" s="3116">
        <v>15</v>
      </c>
    </row>
    <row r="131" spans="1:6" ht="13.5">
      <c r="A131" s="3116">
        <v>59</v>
      </c>
      <c r="B131" s="3786"/>
      <c r="C131" s="3116" t="s">
        <v>2780</v>
      </c>
      <c r="D131" s="3090" t="s">
        <v>2781</v>
      </c>
      <c r="E131" s="3116">
        <v>0.1</v>
      </c>
      <c r="F131" s="3116">
        <v>15</v>
      </c>
    </row>
    <row r="132" spans="1:6" ht="13.5">
      <c r="A132" s="3116">
        <v>60</v>
      </c>
      <c r="B132" s="3787" t="s">
        <v>2782</v>
      </c>
      <c r="C132" s="3116" t="s">
        <v>2783</v>
      </c>
      <c r="D132" s="3090" t="s">
        <v>2784</v>
      </c>
      <c r="E132" s="3116">
        <v>0.1</v>
      </c>
      <c r="F132" s="3116">
        <v>15</v>
      </c>
    </row>
    <row r="133" spans="1:6" ht="13.5">
      <c r="A133" s="3116">
        <v>61</v>
      </c>
      <c r="B133" s="3788"/>
      <c r="C133" s="3116" t="s">
        <v>2785</v>
      </c>
      <c r="D133" s="3090" t="s">
        <v>2786</v>
      </c>
      <c r="E133" s="3116">
        <v>0.1</v>
      </c>
      <c r="F133" s="3116">
        <v>15</v>
      </c>
    </row>
    <row r="134" spans="1:6" ht="24">
      <c r="A134" s="3116">
        <v>62</v>
      </c>
      <c r="B134" s="3116" t="s">
        <v>2787</v>
      </c>
      <c r="C134" s="3116" t="s">
        <v>2788</v>
      </c>
      <c r="D134" s="3090" t="s">
        <v>2789</v>
      </c>
      <c r="E134" s="3116">
        <v>0.1</v>
      </c>
      <c r="F134" s="3116">
        <v>15</v>
      </c>
    </row>
    <row r="135" spans="1:6" ht="13.5">
      <c r="A135" s="3116">
        <v>63</v>
      </c>
      <c r="B135" s="3786" t="s">
        <v>2790</v>
      </c>
      <c r="C135" s="3116" t="s">
        <v>2791</v>
      </c>
      <c r="D135" s="3090" t="s">
        <v>2792</v>
      </c>
      <c r="E135" s="3116">
        <v>0.1</v>
      </c>
      <c r="F135" s="3116">
        <v>15</v>
      </c>
    </row>
    <row r="136" spans="1:6" ht="13.5">
      <c r="A136" s="3116">
        <v>64</v>
      </c>
      <c r="B136" s="3786"/>
      <c r="C136" s="3116" t="s">
        <v>2793</v>
      </c>
      <c r="D136" s="3090" t="s">
        <v>2794</v>
      </c>
      <c r="E136" s="3116">
        <v>0.1</v>
      </c>
      <c r="F136" s="3116">
        <v>15</v>
      </c>
    </row>
    <row r="137" spans="1:6" ht="13.5">
      <c r="A137" s="3116">
        <v>65</v>
      </c>
      <c r="B137" s="3116" t="s">
        <v>2795</v>
      </c>
      <c r="C137" s="3116" t="s">
        <v>2796</v>
      </c>
      <c r="D137" s="3090" t="s">
        <v>2797</v>
      </c>
      <c r="E137" s="3116">
        <v>0.1</v>
      </c>
      <c r="F137" s="3116">
        <v>15</v>
      </c>
    </row>
    <row r="138" spans="1:6" ht="13.5">
      <c r="A138" s="3116"/>
      <c r="B138" s="3116"/>
      <c r="C138" s="3116"/>
      <c r="D138" s="3116"/>
      <c r="E138" s="3116" t="s">
        <v>2798</v>
      </c>
      <c r="F138" s="3116"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9"/>
  </cols>
  <sheetData>
    <row r="1" spans="1:20" ht="15" thickBot="1">
      <c r="A1" s="3125" t="s">
        <v>2799</v>
      </c>
      <c r="B1" s="3125"/>
      <c r="C1" s="3125"/>
      <c r="D1" s="3125"/>
      <c r="E1" s="3125"/>
      <c r="F1" s="3125"/>
      <c r="G1" s="3125"/>
      <c r="H1" s="3125"/>
      <c r="I1" s="3125"/>
      <c r="J1" s="3125"/>
      <c r="K1" s="3125"/>
      <c r="L1" s="3125"/>
      <c r="M1" s="3125"/>
      <c r="N1" s="748"/>
    </row>
    <row r="2" spans="1:20">
      <c r="A2" s="3126" t="s">
        <v>2800</v>
      </c>
      <c r="B2" s="3127" t="s">
        <v>2596</v>
      </c>
      <c r="C2" s="3127" t="s">
        <v>2597</v>
      </c>
      <c r="D2" s="3127" t="s">
        <v>2598</v>
      </c>
      <c r="E2" s="3127" t="s">
        <v>2599</v>
      </c>
      <c r="F2" s="3127" t="s">
        <v>2600</v>
      </c>
      <c r="G2" s="3127" t="s">
        <v>2601</v>
      </c>
      <c r="H2" s="3128" t="s">
        <v>2602</v>
      </c>
      <c r="I2" s="3128" t="s">
        <v>2603</v>
      </c>
      <c r="J2" s="3129" t="s">
        <v>2604</v>
      </c>
      <c r="K2" s="3129" t="s">
        <v>2605</v>
      </c>
      <c r="L2" s="3129" t="s">
        <v>2606</v>
      </c>
      <c r="M2" s="3130" t="s">
        <v>2607</v>
      </c>
      <c r="Q2" s="3140" t="s">
        <v>2805</v>
      </c>
      <c r="R2" s="3140" t="s">
        <v>2806</v>
      </c>
      <c r="S2" s="3140" t="s">
        <v>2807</v>
      </c>
      <c r="T2" s="3140" t="s">
        <v>2808</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0"/>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0"/>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0"/>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2801</v>
      </c>
      <c r="B93" s="3125"/>
      <c r="C93" s="3125"/>
      <c r="D93" s="3125"/>
      <c r="E93" s="3125"/>
      <c r="F93" s="3125"/>
      <c r="G93" s="3125"/>
      <c r="H93" s="3125"/>
      <c r="I93" s="3125"/>
      <c r="J93" s="3125"/>
      <c r="K93" s="3125"/>
      <c r="L93" s="3125"/>
      <c r="M93" s="3125"/>
    </row>
    <row r="94" spans="1:20">
      <c r="A94" s="3126" t="s">
        <v>2800</v>
      </c>
      <c r="B94" s="3127" t="s">
        <v>2596</v>
      </c>
      <c r="C94" s="3127" t="s">
        <v>2597</v>
      </c>
      <c r="D94" s="3127" t="s">
        <v>2598</v>
      </c>
      <c r="E94" s="3127" t="s">
        <v>2599</v>
      </c>
      <c r="F94" s="3127" t="s">
        <v>2600</v>
      </c>
      <c r="G94" s="3127" t="s">
        <v>2601</v>
      </c>
      <c r="H94" s="3128" t="s">
        <v>2602</v>
      </c>
      <c r="I94" s="3128" t="s">
        <v>2603</v>
      </c>
      <c r="J94" s="3129" t="s">
        <v>2604</v>
      </c>
      <c r="K94" s="3129" t="s">
        <v>2605</v>
      </c>
      <c r="L94" s="3129" t="s">
        <v>2606</v>
      </c>
      <c r="M94" s="3130" t="s">
        <v>2607</v>
      </c>
      <c r="N94" s="749">
        <f>SUMPRODUCT((A95:A184=ROUNDDOWN(基准地价修正!G3,1))*(B94:M94=基准地价修正!G2)*(B95:M184))</f>
        <v>1.0764</v>
      </c>
      <c r="Q94" s="3140" t="s">
        <v>2805</v>
      </c>
      <c r="R94" s="3140" t="s">
        <v>2806</v>
      </c>
      <c r="S94" s="3140" t="s">
        <v>2807</v>
      </c>
      <c r="T94" s="3140" t="s">
        <v>2808</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8"/>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8"/>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2802</v>
      </c>
      <c r="B185" s="3125"/>
      <c r="C185" s="3125"/>
      <c r="D185" s="3125"/>
      <c r="E185" s="3125"/>
      <c r="F185" s="3125"/>
      <c r="G185" s="3125"/>
      <c r="H185" s="3125"/>
      <c r="I185" s="3125"/>
      <c r="J185" s="3125"/>
      <c r="K185" s="3125"/>
      <c r="L185" s="3125"/>
      <c r="M185" s="3125"/>
    </row>
    <row r="186" spans="1:20">
      <c r="A186" s="3126" t="s">
        <v>2800</v>
      </c>
      <c r="B186" s="3127" t="s">
        <v>2596</v>
      </c>
      <c r="C186" s="3127" t="s">
        <v>2597</v>
      </c>
      <c r="D186" s="3127" t="s">
        <v>2598</v>
      </c>
      <c r="E186" s="3127" t="s">
        <v>2599</v>
      </c>
      <c r="F186" s="3127" t="s">
        <v>2600</v>
      </c>
      <c r="G186" s="3127" t="s">
        <v>2601</v>
      </c>
      <c r="H186" s="3128" t="s">
        <v>2602</v>
      </c>
      <c r="I186" s="3128" t="s">
        <v>2603</v>
      </c>
      <c r="J186" s="3129" t="s">
        <v>2604</v>
      </c>
      <c r="K186" s="3129" t="s">
        <v>2605</v>
      </c>
      <c r="L186" s="3129" t="s">
        <v>2606</v>
      </c>
      <c r="M186" s="3130" t="s">
        <v>2607</v>
      </c>
      <c r="Q186" s="3140" t="s">
        <v>2805</v>
      </c>
      <c r="R186" s="3140" t="s">
        <v>2806</v>
      </c>
      <c r="S186" s="3140" t="s">
        <v>2807</v>
      </c>
      <c r="T186" s="3140" t="s">
        <v>2808</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2803</v>
      </c>
      <c r="B277" s="3125"/>
      <c r="C277" s="3125"/>
      <c r="D277" s="3125"/>
      <c r="E277" s="3125"/>
      <c r="F277" s="3125"/>
      <c r="G277" s="3125"/>
      <c r="H277" s="3125"/>
      <c r="I277" s="3125"/>
      <c r="J277" s="3125"/>
      <c r="K277" s="3125"/>
      <c r="L277" s="3125"/>
      <c r="M277" s="3125"/>
    </row>
    <row r="278" spans="1:21">
      <c r="A278" s="3126" t="s">
        <v>2800</v>
      </c>
      <c r="B278" s="3127" t="s">
        <v>2596</v>
      </c>
      <c r="C278" s="3127" t="s">
        <v>2597</v>
      </c>
      <c r="D278" s="3127" t="s">
        <v>2598</v>
      </c>
      <c r="E278" s="3127" t="s">
        <v>2599</v>
      </c>
      <c r="F278" s="3127" t="s">
        <v>2600</v>
      </c>
      <c r="G278" s="3127" t="s">
        <v>2601</v>
      </c>
      <c r="H278" s="3128" t="s">
        <v>2602</v>
      </c>
      <c r="I278" s="3128" t="s">
        <v>2603</v>
      </c>
      <c r="J278" s="3129" t="s">
        <v>2604</v>
      </c>
      <c r="K278" s="3129" t="s">
        <v>2605</v>
      </c>
      <c r="L278" s="3129" t="s">
        <v>2606</v>
      </c>
      <c r="M278" s="3130" t="s">
        <v>2607</v>
      </c>
      <c r="Q278" s="3140" t="s">
        <v>2805</v>
      </c>
      <c r="R278" s="3140" t="s">
        <v>2806</v>
      </c>
      <c r="S278" s="3140" t="s">
        <v>2809</v>
      </c>
      <c r="T278" s="3140" t="s">
        <v>2810</v>
      </c>
      <c r="U278" s="3140" t="s">
        <v>2808</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2804</v>
      </c>
      <c r="B369" s="3138"/>
      <c r="C369" s="3138"/>
      <c r="D369" s="3138"/>
      <c r="E369" s="3138"/>
      <c r="F369" s="3138"/>
      <c r="G369" s="3138"/>
      <c r="H369" s="3138"/>
      <c r="I369" s="3138"/>
      <c r="J369" s="3138"/>
      <c r="K369" s="3138"/>
      <c r="L369" s="3138"/>
      <c r="M369" s="3138"/>
    </row>
    <row r="370" spans="1:20">
      <c r="A370" s="3126" t="s">
        <v>2800</v>
      </c>
      <c r="B370" s="3127" t="s">
        <v>2596</v>
      </c>
      <c r="C370" s="3127" t="s">
        <v>2597</v>
      </c>
      <c r="D370" s="3127" t="s">
        <v>2598</v>
      </c>
      <c r="E370" s="3127" t="s">
        <v>2599</v>
      </c>
      <c r="F370" s="3127" t="s">
        <v>2600</v>
      </c>
      <c r="G370" s="3127" t="s">
        <v>2601</v>
      </c>
      <c r="H370" s="3128" t="s">
        <v>2602</v>
      </c>
      <c r="I370" s="3128" t="s">
        <v>2603</v>
      </c>
      <c r="J370" s="3129" t="s">
        <v>2604</v>
      </c>
      <c r="K370" s="3129" t="s">
        <v>2605</v>
      </c>
      <c r="L370" s="3129" t="s">
        <v>2606</v>
      </c>
      <c r="M370" s="3130" t="s">
        <v>2607</v>
      </c>
      <c r="N370" s="749">
        <f>SUMPRODUCT((A371:A460=ROUNDDOWN(基准地价修正!G3,1))*(B370:M370=基准地价修正!G2)*(B371:M460))</f>
        <v>0.97989999999999999</v>
      </c>
      <c r="Q370" s="3140" t="s">
        <v>2805</v>
      </c>
      <c r="R370" s="3140" t="s">
        <v>2806</v>
      </c>
      <c r="S370" s="3140" t="s">
        <v>2807</v>
      </c>
      <c r="T370" s="3140" t="s">
        <v>2808</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29125</v>
      </c>
      <c r="C2" s="2" t="s">
        <v>106</v>
      </c>
      <c r="D2" s="199"/>
      <c r="E2" s="199"/>
      <c r="F2" s="199"/>
      <c r="G2" s="199"/>
    </row>
    <row r="3" spans="1:7" s="200" customFormat="1" ht="18" customHeight="1" thickBot="1">
      <c r="A3" s="203" t="s">
        <v>58</v>
      </c>
      <c r="B3" s="204">
        <f ca="1">ROUND(B2*10000/'数据-汇总表'!E3,0)</f>
        <v>79934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36</v>
      </c>
      <c r="D9" s="844">
        <f>'数据-汇总表'!E5</f>
        <v>3643.6099999999992</v>
      </c>
      <c r="E9" s="225">
        <f>'数据-取费表'!B27</f>
        <v>100</v>
      </c>
      <c r="F9" s="221"/>
      <c r="G9" s="226"/>
    </row>
    <row r="10" spans="1:7" s="214" customFormat="1" ht="13.5" customHeight="1">
      <c r="A10" s="778" t="s">
        <v>356</v>
      </c>
      <c r="B10" s="224" t="s">
        <v>67</v>
      </c>
      <c r="C10" s="225">
        <f>ROUND(D10*E10/10000,0)</f>
        <v>0</v>
      </c>
      <c r="D10" s="844">
        <f>'数据-汇总表'!E6</f>
        <v>0</v>
      </c>
      <c r="E10" s="225">
        <f>'数据-取费表'!B28</f>
        <v>150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73</v>
      </c>
      <c r="D19" s="848">
        <f>'数据-汇总表'!E3</f>
        <v>3643.6099999999992</v>
      </c>
      <c r="E19" s="211">
        <f>'数据-取费表'!B31</f>
        <v>200</v>
      </c>
      <c r="F19" s="231"/>
      <c r="G19" s="1" t="s">
        <v>436</v>
      </c>
    </row>
    <row r="20" spans="1:7" s="214" customFormat="1" ht="13.5" customHeight="1">
      <c r="A20" s="776" t="s">
        <v>419</v>
      </c>
      <c r="B20" s="210" t="s">
        <v>77</v>
      </c>
      <c r="C20" s="232">
        <f>ROUND((C5+C19)*F20,0)</f>
        <v>414</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1423</v>
      </c>
      <c r="D22" s="235">
        <f ca="1">C26</f>
        <v>6.9999999999999999E-4</v>
      </c>
      <c r="E22" s="236" t="s">
        <v>99</v>
      </c>
      <c r="F22" s="237">
        <f ca="1">'数据-取费表'!B40</f>
        <v>3.3500000000000002E-2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1404</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5</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4219</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4219</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28972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119</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40</v>
      </c>
      <c r="D34" s="217"/>
      <c r="E34" s="220"/>
      <c r="F34" s="257">
        <f>IF('数据-取费表'!B24=0,1,'数据-取费表'!N16)</f>
        <v>1</v>
      </c>
      <c r="G34" s="219" t="s">
        <v>89</v>
      </c>
    </row>
    <row r="35" spans="1:7" ht="13.5" customHeight="1">
      <c r="A35" s="779" t="s">
        <v>351</v>
      </c>
      <c r="B35" s="215" t="s">
        <v>33</v>
      </c>
      <c r="C35" s="220">
        <f>ROUND(C34*F35,0)</f>
        <v>2</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0.08</v>
      </c>
      <c r="G36" s="260" t="s">
        <v>35</v>
      </c>
    </row>
    <row r="37" spans="1:7" s="258" customFormat="1" ht="13.5" customHeight="1">
      <c r="A37" s="779" t="s">
        <v>353</v>
      </c>
      <c r="B37" s="215" t="s">
        <v>91</v>
      </c>
      <c r="C37" s="249">
        <f>ROUND(E37*D37*F34/10000,0)</f>
        <v>73</v>
      </c>
      <c r="D37" s="217">
        <f>'数据-汇总表'!E3</f>
        <v>3643.6099999999992</v>
      </c>
      <c r="E37" s="249">
        <f>'数据-取费表'!B35</f>
        <v>200</v>
      </c>
      <c r="F37" s="259"/>
      <c r="G37" s="261" t="s">
        <v>92</v>
      </c>
    </row>
    <row r="38" spans="1:7" ht="13.5" customHeight="1">
      <c r="A38" s="779" t="s">
        <v>354</v>
      </c>
      <c r="B38" s="215" t="s">
        <v>36</v>
      </c>
      <c r="C38" s="220">
        <f>ROUND(C34*F38,0)</f>
        <v>1</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4</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4</v>
      </c>
      <c r="D42" s="238"/>
      <c r="E42" s="238"/>
      <c r="F42" s="239"/>
      <c r="G42" s="3658" t="s">
        <v>94</v>
      </c>
    </row>
    <row r="43" spans="1:7" ht="13.5" customHeight="1">
      <c r="A43" s="779" t="s">
        <v>347</v>
      </c>
      <c r="B43" s="215" t="s">
        <v>426</v>
      </c>
      <c r="C43" s="238">
        <f ca="1">ROUND(IF('数据-取费表'!B22&lt;=1,C39*F22*'数据-取费表'!B21/2,C39*(POWER((1+F22),'数据-取费表'!B21/2)-1)),0)</f>
        <v>0</v>
      </c>
      <c r="D43" s="238"/>
      <c r="E43" s="238"/>
      <c r="F43" s="239"/>
      <c r="G43" s="3659"/>
    </row>
    <row r="44" spans="1:7" ht="13.5" customHeight="1">
      <c r="A44" s="779" t="s">
        <v>348</v>
      </c>
      <c r="B44" s="215" t="s">
        <v>428</v>
      </c>
      <c r="C44" s="238">
        <f ca="1">ROUND(IF('数据-取费表'!B22&lt;=1,C40*F22*'数据-取费表'!B21/2,C40*(POWER((1+F22),'数据-取费表'!B21/2)-1)),4)</f>
        <v>6.9999999999999999E-4</v>
      </c>
      <c r="D44" s="238"/>
      <c r="E44" s="238"/>
      <c r="F44" s="239"/>
      <c r="G44" s="3660"/>
    </row>
    <row r="45" spans="1:7" s="214" customFormat="1" ht="13.5" customHeight="1">
      <c r="A45" s="776" t="s">
        <v>341</v>
      </c>
      <c r="B45" s="244" t="s">
        <v>85</v>
      </c>
      <c r="C45" s="245">
        <f>C46</f>
        <v>24</v>
      </c>
      <c r="D45" s="235">
        <f>C47</f>
        <v>4.0000000000000001E-3</v>
      </c>
      <c r="E45" s="236" t="s">
        <v>102</v>
      </c>
      <c r="F45" s="246"/>
      <c r="G45" s="247" t="s">
        <v>434</v>
      </c>
    </row>
    <row r="46" spans="1:7" s="214" customFormat="1" ht="13.5" customHeight="1">
      <c r="A46" s="779" t="s">
        <v>349</v>
      </c>
      <c r="B46" s="248" t="s">
        <v>427</v>
      </c>
      <c r="C46" s="249">
        <f>ROUND((C33+C39)*F27,0)</f>
        <v>24</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161</v>
      </c>
      <c r="D49" s="232"/>
      <c r="E49" s="232"/>
      <c r="F49" s="264"/>
      <c r="G49" s="234" t="s">
        <v>435</v>
      </c>
    </row>
    <row r="50" spans="1:7" s="258" customFormat="1" ht="24">
      <c r="A50" s="776" t="s">
        <v>344</v>
      </c>
      <c r="B50" s="210" t="s">
        <v>97</v>
      </c>
      <c r="C50" s="232"/>
      <c r="D50" s="232"/>
      <c r="E50" s="232"/>
      <c r="F50" s="264">
        <f>IF('数据-取费表'!B24=0,'数据-取费表'!N16,1)</f>
        <v>0.95</v>
      </c>
      <c r="G50" s="247" t="s">
        <v>98</v>
      </c>
    </row>
    <row r="51" spans="1:7" ht="16.5" customHeight="1">
      <c r="A51" s="776" t="s">
        <v>345</v>
      </c>
      <c r="B51" s="210" t="s">
        <v>105</v>
      </c>
      <c r="C51" s="232">
        <f ca="1">ROUND(C49*F50,0)</f>
        <v>153</v>
      </c>
      <c r="D51" s="232"/>
      <c r="E51" s="232"/>
      <c r="F51" s="264"/>
      <c r="G51" s="234" t="s">
        <v>37</v>
      </c>
    </row>
    <row r="52" spans="1:7" s="208" customFormat="1" ht="16.5" thickBot="1">
      <c r="A52" s="265" t="s">
        <v>38</v>
      </c>
      <c r="B52" s="266"/>
      <c r="C52" s="267">
        <f ca="1">C31+C51</f>
        <v>29125</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800" t="s">
        <v>2840</v>
      </c>
      <c r="B1" s="3800"/>
      <c r="C1" s="3800"/>
      <c r="D1" s="3800"/>
      <c r="E1" s="3800"/>
      <c r="F1" s="3800"/>
      <c r="G1" s="3801"/>
      <c r="I1" s="3221" t="s">
        <v>2841</v>
      </c>
      <c r="J1" s="3222" t="s">
        <v>2842</v>
      </c>
      <c r="K1" s="3222" t="s">
        <v>2843</v>
      </c>
      <c r="L1" s="3222" t="s">
        <v>2844</v>
      </c>
      <c r="M1" s="3222" t="s">
        <v>2845</v>
      </c>
      <c r="N1" s="3222" t="s">
        <v>2846</v>
      </c>
      <c r="O1" s="3222" t="s">
        <v>2847</v>
      </c>
      <c r="P1" s="3222" t="s">
        <v>2848</v>
      </c>
      <c r="Q1" s="3222" t="s">
        <v>2849</v>
      </c>
      <c r="R1" s="3222" t="s">
        <v>2850</v>
      </c>
      <c r="S1" s="3222" t="s">
        <v>2851</v>
      </c>
      <c r="T1" s="3223" t="s">
        <v>2852</v>
      </c>
    </row>
    <row r="2" spans="1:20" ht="12" thickBot="1">
      <c r="A2" s="3225" t="s">
        <v>2853</v>
      </c>
      <c r="B2" s="3225"/>
      <c r="C2" s="3225"/>
      <c r="D2" s="3225"/>
      <c r="E2" s="3225"/>
      <c r="F2" s="3225"/>
      <c r="G2" s="3226" t="s">
        <v>2854</v>
      </c>
      <c r="I2" s="3227" t="s">
        <v>2855</v>
      </c>
      <c r="J2" s="3227" t="s">
        <v>2856</v>
      </c>
      <c r="K2" s="3227" t="s">
        <v>2857</v>
      </c>
      <c r="L2" s="3227" t="s">
        <v>2858</v>
      </c>
      <c r="M2" s="3227" t="s">
        <v>2859</v>
      </c>
      <c r="N2" s="3227" t="s">
        <v>2860</v>
      </c>
      <c r="O2" s="3227" t="s">
        <v>2861</v>
      </c>
      <c r="P2" s="3227" t="s">
        <v>2862</v>
      </c>
      <c r="Q2" s="3227" t="s">
        <v>2863</v>
      </c>
      <c r="R2" s="3227" t="s">
        <v>2864</v>
      </c>
      <c r="S2" s="3227" t="s">
        <v>2865</v>
      </c>
      <c r="T2" s="3227" t="s">
        <v>2866</v>
      </c>
    </row>
    <row r="3" spans="1:20" s="3233" customFormat="1">
      <c r="A3" s="3798" t="s">
        <v>2867</v>
      </c>
      <c r="B3" s="3228"/>
      <c r="C3" s="3229" t="s">
        <v>2812</v>
      </c>
      <c r="D3" s="3229" t="s">
        <v>2868</v>
      </c>
      <c r="E3" s="3229" t="s">
        <v>2814</v>
      </c>
      <c r="F3" s="3229" t="s">
        <v>2869</v>
      </c>
      <c r="G3" s="3229" t="s">
        <v>2632</v>
      </c>
      <c r="H3" s="3230"/>
      <c r="I3" s="3231" t="s">
        <v>2870</v>
      </c>
      <c r="J3" s="3232" t="s">
        <v>128</v>
      </c>
      <c r="K3" s="3232" t="s">
        <v>129</v>
      </c>
      <c r="L3" s="3231" t="s">
        <v>130</v>
      </c>
      <c r="M3" s="3231" t="s">
        <v>131</v>
      </c>
      <c r="N3" s="3231" t="s">
        <v>132</v>
      </c>
      <c r="O3" s="3231" t="s">
        <v>133</v>
      </c>
      <c r="P3" s="3231" t="s">
        <v>134</v>
      </c>
      <c r="Q3" s="3231" t="s">
        <v>135</v>
      </c>
      <c r="R3" s="3231" t="s">
        <v>136</v>
      </c>
      <c r="S3" s="3231" t="s">
        <v>2871</v>
      </c>
      <c r="T3" s="3231" t="s">
        <v>2872</v>
      </c>
    </row>
    <row r="4" spans="1:20" s="3233" customFormat="1" ht="12" thickBot="1">
      <c r="A4" s="3799"/>
      <c r="B4" s="3234" t="s">
        <v>2873</v>
      </c>
      <c r="C4" s="3234" t="s">
        <v>2874</v>
      </c>
      <c r="D4" s="3234" t="s">
        <v>2874</v>
      </c>
      <c r="E4" s="3234" t="s">
        <v>2874</v>
      </c>
      <c r="F4" s="3235" t="s">
        <v>2874</v>
      </c>
      <c r="G4" s="3235" t="s">
        <v>2874</v>
      </c>
      <c r="H4" s="3230"/>
      <c r="I4" s="3232" t="s">
        <v>137</v>
      </c>
      <c r="J4" s="3232" t="s">
        <v>111</v>
      </c>
      <c r="K4" s="3232" t="s">
        <v>138</v>
      </c>
      <c r="L4" s="3231" t="s">
        <v>139</v>
      </c>
      <c r="M4" s="3231" t="s">
        <v>140</v>
      </c>
      <c r="N4" s="3231" t="s">
        <v>141</v>
      </c>
      <c r="O4" s="3231" t="s">
        <v>142</v>
      </c>
      <c r="P4" s="3231" t="s">
        <v>143</v>
      </c>
      <c r="Q4" s="3231" t="s">
        <v>2875</v>
      </c>
      <c r="R4" s="3231" t="s">
        <v>2876</v>
      </c>
      <c r="S4" s="3231" t="s">
        <v>2877</v>
      </c>
      <c r="T4" s="3231" t="s">
        <v>2878</v>
      </c>
    </row>
    <row r="5" spans="1:20">
      <c r="A5" s="3236" t="s">
        <v>2841</v>
      </c>
      <c r="B5" s="3227" t="s">
        <v>2855</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2879</v>
      </c>
      <c r="R5" s="3231" t="s">
        <v>2880</v>
      </c>
      <c r="S5" s="3231" t="s">
        <v>153</v>
      </c>
      <c r="T5" s="3231" t="s">
        <v>2881</v>
      </c>
    </row>
    <row r="6" spans="1:20" ht="12" thickBot="1">
      <c r="A6" s="3231" t="s">
        <v>144</v>
      </c>
      <c r="B6" s="3231" t="s">
        <v>2870</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2882</v>
      </c>
      <c r="Q6" s="3231" t="s">
        <v>2883</v>
      </c>
      <c r="R6" s="3231" t="s">
        <v>161</v>
      </c>
      <c r="S6" s="3231" t="s">
        <v>2884</v>
      </c>
      <c r="T6" s="3231" t="s">
        <v>2885</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2886</v>
      </c>
      <c r="Q7" s="3231" t="s">
        <v>2887</v>
      </c>
      <c r="R7" s="3231" t="s">
        <v>2888</v>
      </c>
      <c r="S7" s="3231" t="s">
        <v>2889</v>
      </c>
      <c r="T7" s="3231" t="s">
        <v>2890</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2891</v>
      </c>
      <c r="Q8" s="3231" t="s">
        <v>174</v>
      </c>
      <c r="R8" s="3231" t="s">
        <v>2892</v>
      </c>
      <c r="S8" s="3231" t="s">
        <v>2893</v>
      </c>
      <c r="T8" s="3238" t="s">
        <v>2894</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2895</v>
      </c>
      <c r="Q9" s="3231" t="s">
        <v>182</v>
      </c>
      <c r="R9" s="3231" t="s">
        <v>183</v>
      </c>
      <c r="S9" s="3231" t="s">
        <v>200</v>
      </c>
    </row>
    <row r="10" spans="1:20">
      <c r="A10" s="3236" t="s">
        <v>184</v>
      </c>
      <c r="B10" s="3227" t="s">
        <v>2856</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2896</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2897</v>
      </c>
      <c r="P11" s="3231" t="s">
        <v>191</v>
      </c>
      <c r="Q11" s="3231" t="s">
        <v>199</v>
      </c>
      <c r="R11" s="3231" t="s">
        <v>2898</v>
      </c>
      <c r="S11" s="3231" t="s">
        <v>2899</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2900</v>
      </c>
      <c r="P12" s="3231" t="s">
        <v>2901</v>
      </c>
      <c r="Q12" s="3231" t="s">
        <v>2902</v>
      </c>
      <c r="R12" s="3231" t="s">
        <v>2903</v>
      </c>
      <c r="S12" s="3231" t="s">
        <v>2904</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2905</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2906</v>
      </c>
      <c r="K14" s="3232" t="s">
        <v>215</v>
      </c>
      <c r="L14" s="3231" t="s">
        <v>216</v>
      </c>
      <c r="M14" s="3231" t="s">
        <v>217</v>
      </c>
      <c r="N14" s="3231" t="s">
        <v>218</v>
      </c>
      <c r="O14" s="3231" t="s">
        <v>240</v>
      </c>
      <c r="P14" s="3231" t="s">
        <v>213</v>
      </c>
      <c r="Q14" s="3231" t="s">
        <v>2907</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2908</v>
      </c>
      <c r="P15" s="3231" t="s">
        <v>2909</v>
      </c>
      <c r="Q15" s="3231" t="s">
        <v>242</v>
      </c>
      <c r="R15" s="3231" t="s">
        <v>2910</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2911</v>
      </c>
      <c r="P16" s="3231" t="s">
        <v>227</v>
      </c>
      <c r="Q16" s="3231" t="s">
        <v>250</v>
      </c>
      <c r="R16" s="3231" t="s">
        <v>207</v>
      </c>
      <c r="S16" s="3231" t="s">
        <v>2912</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2913</v>
      </c>
      <c r="P17" s="3231" t="s">
        <v>2914</v>
      </c>
      <c r="Q17" s="3231" t="s">
        <v>256</v>
      </c>
      <c r="R17" s="3231" t="s">
        <v>2915</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2916</v>
      </c>
      <c r="P18" s="3231" t="s">
        <v>241</v>
      </c>
      <c r="Q18" s="3231" t="s">
        <v>2917</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2918</v>
      </c>
      <c r="P19" s="3231" t="s">
        <v>249</v>
      </c>
      <c r="Q19" s="3231" t="s">
        <v>2919</v>
      </c>
      <c r="R19" s="3231" t="s">
        <v>265</v>
      </c>
      <c r="S19" s="3231" t="s">
        <v>2920</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2921</v>
      </c>
      <c r="P20" s="3231" t="s">
        <v>2922</v>
      </c>
      <c r="Q20" s="3231" t="s">
        <v>290</v>
      </c>
      <c r="R20" s="3231" t="s">
        <v>2923</v>
      </c>
      <c r="S20" s="3231" t="s">
        <v>277</v>
      </c>
    </row>
    <row r="21" spans="1:19" ht="14.25" customHeight="1" thickBot="1">
      <c r="A21" s="3231" t="s">
        <v>184</v>
      </c>
      <c r="B21" s="3232" t="s">
        <v>208</v>
      </c>
      <c r="C21" s="3231">
        <v>32370</v>
      </c>
      <c r="D21" s="3231">
        <v>26730</v>
      </c>
      <c r="E21" s="3231">
        <v>26640</v>
      </c>
      <c r="F21" s="3231"/>
      <c r="G21" s="3231">
        <v>19440</v>
      </c>
      <c r="J21" s="3238" t="s">
        <v>2924</v>
      </c>
      <c r="K21" s="3232" t="s">
        <v>267</v>
      </c>
      <c r="L21" s="3231" t="s">
        <v>268</v>
      </c>
      <c r="M21" s="3231" t="s">
        <v>269</v>
      </c>
      <c r="N21" s="3231" t="s">
        <v>270</v>
      </c>
      <c r="O21" s="3231" t="s">
        <v>264</v>
      </c>
      <c r="P21" s="3231" t="s">
        <v>283</v>
      </c>
      <c r="Q21" s="3231" t="s">
        <v>293</v>
      </c>
      <c r="R21" s="3231" t="s">
        <v>2925</v>
      </c>
      <c r="S21" s="3238" t="s">
        <v>2926</v>
      </c>
    </row>
    <row r="22" spans="1:19" ht="14.25" customHeight="1">
      <c r="A22" s="3231" t="s">
        <v>184</v>
      </c>
      <c r="B22" s="3232" t="s">
        <v>2906</v>
      </c>
      <c r="C22" s="3231">
        <v>29830</v>
      </c>
      <c r="D22" s="3231">
        <v>27600</v>
      </c>
      <c r="E22" s="3231">
        <v>28150</v>
      </c>
      <c r="F22" s="3231"/>
      <c r="G22" s="3231">
        <v>20080</v>
      </c>
      <c r="K22" s="3232" t="s">
        <v>2927</v>
      </c>
      <c r="L22" s="3231" t="s">
        <v>272</v>
      </c>
      <c r="M22" s="3231" t="s">
        <v>273</v>
      </c>
      <c r="N22" s="3231" t="s">
        <v>274</v>
      </c>
      <c r="O22" s="3231" t="s">
        <v>2928</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2929</v>
      </c>
      <c r="L23" s="3231" t="s">
        <v>278</v>
      </c>
      <c r="M23" s="3231" t="s">
        <v>279</v>
      </c>
      <c r="N23" s="3231" t="s">
        <v>2930</v>
      </c>
      <c r="O23" s="3231" t="s">
        <v>2931</v>
      </c>
      <c r="P23" s="3231" t="s">
        <v>289</v>
      </c>
      <c r="Q23" s="3231" t="s">
        <v>298</v>
      </c>
      <c r="R23" s="3231" t="s">
        <v>2932</v>
      </c>
    </row>
    <row r="24" spans="1:19" ht="14.25" customHeight="1">
      <c r="A24" s="3231" t="s">
        <v>184</v>
      </c>
      <c r="B24" s="3232" t="s">
        <v>230</v>
      </c>
      <c r="C24" s="3231">
        <v>27930</v>
      </c>
      <c r="D24" s="3231">
        <v>32260</v>
      </c>
      <c r="E24" s="3231">
        <v>32120</v>
      </c>
      <c r="F24" s="3231"/>
      <c r="G24" s="3231">
        <v>23470</v>
      </c>
      <c r="K24" s="3232" t="s">
        <v>2933</v>
      </c>
      <c r="L24" s="3231" t="s">
        <v>281</v>
      </c>
      <c r="M24" s="3231" t="s">
        <v>282</v>
      </c>
      <c r="N24" s="3231" t="s">
        <v>2934</v>
      </c>
      <c r="O24" s="3231" t="s">
        <v>285</v>
      </c>
      <c r="P24" s="3231" t="s">
        <v>2935</v>
      </c>
      <c r="Q24" s="3240" t="s">
        <v>2936</v>
      </c>
      <c r="R24" s="3231" t="s">
        <v>2937</v>
      </c>
    </row>
    <row r="25" spans="1:19" ht="14.25" customHeight="1">
      <c r="A25" s="3231" t="s">
        <v>184</v>
      </c>
      <c r="B25" s="3232" t="s">
        <v>235</v>
      </c>
      <c r="C25" s="3231">
        <v>32230</v>
      </c>
      <c r="D25" s="3231">
        <v>29640</v>
      </c>
      <c r="E25" s="3231">
        <v>29510</v>
      </c>
      <c r="F25" s="3231"/>
      <c r="G25" s="3231">
        <v>21560</v>
      </c>
      <c r="K25" s="3232" t="s">
        <v>2938</v>
      </c>
      <c r="L25" s="3231" t="s">
        <v>2939</v>
      </c>
      <c r="M25" s="3231" t="s">
        <v>284</v>
      </c>
      <c r="N25" s="3231" t="s">
        <v>292</v>
      </c>
      <c r="O25" s="3231" t="s">
        <v>288</v>
      </c>
      <c r="P25" s="3231" t="s">
        <v>275</v>
      </c>
      <c r="Q25" s="3240" t="s">
        <v>271</v>
      </c>
      <c r="R25" s="3231" t="s">
        <v>2940</v>
      </c>
    </row>
    <row r="26" spans="1:19" ht="14.25" customHeight="1" thickBot="1">
      <c r="A26" s="3231" t="s">
        <v>184</v>
      </c>
      <c r="B26" s="3232" t="s">
        <v>244</v>
      </c>
      <c r="C26" s="3231">
        <v>31690</v>
      </c>
      <c r="D26" s="3231">
        <v>27650</v>
      </c>
      <c r="E26" s="3231">
        <v>28200</v>
      </c>
      <c r="F26" s="3231"/>
      <c r="G26" s="3231">
        <v>20110</v>
      </c>
      <c r="K26" s="3237" t="s">
        <v>2941</v>
      </c>
      <c r="L26" s="3231" t="s">
        <v>2942</v>
      </c>
      <c r="M26" s="3231" t="s">
        <v>287</v>
      </c>
      <c r="N26" s="3231" t="s">
        <v>294</v>
      </c>
      <c r="O26" s="3231" t="s">
        <v>2943</v>
      </c>
      <c r="P26" s="3231" t="s">
        <v>2944</v>
      </c>
      <c r="Q26" s="3240" t="s">
        <v>276</v>
      </c>
      <c r="R26" s="3231" t="s">
        <v>2945</v>
      </c>
    </row>
    <row r="27" spans="1:19" ht="14.25" customHeight="1">
      <c r="A27" s="3231" t="s">
        <v>184</v>
      </c>
      <c r="B27" s="3232" t="s">
        <v>251</v>
      </c>
      <c r="C27" s="3231">
        <v>29610</v>
      </c>
      <c r="D27" s="3231">
        <v>27770</v>
      </c>
      <c r="E27" s="3231">
        <v>28300</v>
      </c>
      <c r="F27" s="3231"/>
      <c r="G27" s="3231">
        <v>20210</v>
      </c>
      <c r="L27" s="3231" t="s">
        <v>2946</v>
      </c>
      <c r="M27" s="3231" t="s">
        <v>291</v>
      </c>
      <c r="N27" s="3231" t="s">
        <v>297</v>
      </c>
      <c r="O27" s="3231" t="s">
        <v>2947</v>
      </c>
      <c r="P27" s="3231" t="s">
        <v>2948</v>
      </c>
      <c r="Q27" s="3231" t="s">
        <v>2949</v>
      </c>
      <c r="R27" s="3231" t="s">
        <v>2950</v>
      </c>
    </row>
    <row r="28" spans="1:19" ht="14.25" customHeight="1">
      <c r="A28" s="3231" t="s">
        <v>184</v>
      </c>
      <c r="B28" s="3232" t="s">
        <v>259</v>
      </c>
      <c r="C28" s="3231"/>
      <c r="D28" s="3231">
        <v>31520</v>
      </c>
      <c r="E28" s="3231">
        <v>31410</v>
      </c>
      <c r="F28" s="3231"/>
      <c r="G28" s="3231">
        <v>22940</v>
      </c>
      <c r="L28" s="3231" t="s">
        <v>2951</v>
      </c>
      <c r="M28" s="3231" t="s">
        <v>2952</v>
      </c>
      <c r="N28" s="3231" t="s">
        <v>2953</v>
      </c>
      <c r="O28" s="3231" t="s">
        <v>2954</v>
      </c>
      <c r="P28" s="3231" t="s">
        <v>2955</v>
      </c>
      <c r="Q28" s="3231" t="s">
        <v>2956</v>
      </c>
      <c r="R28" s="3231" t="s">
        <v>2957</v>
      </c>
    </row>
    <row r="29" spans="1:19" ht="14.25" customHeight="1" thickBot="1">
      <c r="A29" s="3239" t="s">
        <v>184</v>
      </c>
      <c r="B29" s="3241" t="s">
        <v>2924</v>
      </c>
      <c r="C29" s="3242"/>
      <c r="D29" s="3242">
        <v>29460</v>
      </c>
      <c r="E29" s="3242">
        <v>28640</v>
      </c>
      <c r="F29" s="3242"/>
      <c r="G29" s="3242">
        <v>21430</v>
      </c>
      <c r="L29" s="3231" t="s">
        <v>2958</v>
      </c>
      <c r="M29" s="3231" t="s">
        <v>2959</v>
      </c>
      <c r="N29" s="3231" t="s">
        <v>2960</v>
      </c>
      <c r="O29" s="3231" t="s">
        <v>2961</v>
      </c>
      <c r="P29" s="3231" t="s">
        <v>2962</v>
      </c>
      <c r="Q29" s="3231" t="s">
        <v>2963</v>
      </c>
      <c r="R29" s="3231" t="s">
        <v>280</v>
      </c>
    </row>
    <row r="30" spans="1:19" ht="14.25" customHeight="1">
      <c r="A30" s="3236" t="s">
        <v>296</v>
      </c>
      <c r="B30" s="3227" t="s">
        <v>2857</v>
      </c>
      <c r="C30" s="3227">
        <v>26890</v>
      </c>
      <c r="D30" s="3227">
        <v>26770</v>
      </c>
      <c r="E30" s="3227">
        <v>25700</v>
      </c>
      <c r="F30" s="3227">
        <v>8180</v>
      </c>
      <c r="G30" s="3243">
        <v>18740</v>
      </c>
      <c r="L30" s="3231" t="s">
        <v>2964</v>
      </c>
      <c r="M30" s="3231" t="s">
        <v>2965</v>
      </c>
      <c r="N30" s="3231" t="s">
        <v>2966</v>
      </c>
      <c r="O30" s="3231" t="s">
        <v>2967</v>
      </c>
      <c r="P30" s="3231" t="s">
        <v>2968</v>
      </c>
      <c r="Q30" s="3231" t="s">
        <v>2969</v>
      </c>
      <c r="R30" s="3231" t="s">
        <v>2970</v>
      </c>
    </row>
    <row r="31" spans="1:19" ht="14.25" customHeight="1">
      <c r="A31" s="3231" t="s">
        <v>296</v>
      </c>
      <c r="B31" s="3232" t="s">
        <v>129</v>
      </c>
      <c r="C31" s="3231">
        <v>24550</v>
      </c>
      <c r="D31" s="3231">
        <v>23990</v>
      </c>
      <c r="E31" s="3231">
        <v>22930</v>
      </c>
      <c r="F31" s="3231">
        <v>7470</v>
      </c>
      <c r="G31" s="3244">
        <v>16790</v>
      </c>
      <c r="L31" s="3231" t="s">
        <v>2971</v>
      </c>
      <c r="M31" s="3231" t="s">
        <v>2972</v>
      </c>
      <c r="N31" s="3231" t="s">
        <v>2973</v>
      </c>
      <c r="O31" s="3231" t="s">
        <v>2974</v>
      </c>
      <c r="P31" s="3231" t="s">
        <v>2975</v>
      </c>
      <c r="Q31" s="3231" t="s">
        <v>2976</v>
      </c>
      <c r="R31" s="3231" t="s">
        <v>2977</v>
      </c>
    </row>
    <row r="32" spans="1:19" ht="14.25" customHeight="1" thickBot="1">
      <c r="A32" s="3231" t="s">
        <v>296</v>
      </c>
      <c r="B32" s="3232" t="s">
        <v>138</v>
      </c>
      <c r="C32" s="3231">
        <v>27210</v>
      </c>
      <c r="D32" s="3231">
        <v>23240</v>
      </c>
      <c r="E32" s="3231">
        <v>23260</v>
      </c>
      <c r="F32" s="3231">
        <v>7130</v>
      </c>
      <c r="G32" s="3244">
        <v>16270</v>
      </c>
      <c r="L32" s="3231" t="s">
        <v>2978</v>
      </c>
      <c r="M32" s="3231" t="s">
        <v>2979</v>
      </c>
      <c r="N32" s="3231" t="s">
        <v>300</v>
      </c>
      <c r="O32" s="3231" t="s">
        <v>2980</v>
      </c>
      <c r="P32" s="3231" t="s">
        <v>299</v>
      </c>
      <c r="Q32" s="3231" t="s">
        <v>2981</v>
      </c>
      <c r="R32" s="3238" t="s">
        <v>2982</v>
      </c>
    </row>
    <row r="33" spans="1:17" ht="14.25" customHeight="1" thickBot="1">
      <c r="A33" s="3231" t="s">
        <v>296</v>
      </c>
      <c r="B33" s="3232" t="s">
        <v>147</v>
      </c>
      <c r="C33" s="3231">
        <v>27300</v>
      </c>
      <c r="D33" s="3231">
        <v>22980</v>
      </c>
      <c r="E33" s="3231">
        <v>24260</v>
      </c>
      <c r="F33" s="3231">
        <v>5860</v>
      </c>
      <c r="G33" s="3244">
        <v>16090</v>
      </c>
      <c r="L33" s="3238" t="s">
        <v>2983</v>
      </c>
      <c r="M33" s="3231" t="s">
        <v>2984</v>
      </c>
      <c r="N33" s="3231" t="s">
        <v>301</v>
      </c>
      <c r="O33" s="3231" t="s">
        <v>2985</v>
      </c>
      <c r="P33" s="3231" t="s">
        <v>2986</v>
      </c>
      <c r="Q33" s="3231" t="s">
        <v>2987</v>
      </c>
    </row>
    <row r="34" spans="1:17" ht="14.25" customHeight="1">
      <c r="A34" s="3231" t="s">
        <v>296</v>
      </c>
      <c r="B34" s="3232" t="s">
        <v>156</v>
      </c>
      <c r="C34" s="3231">
        <v>23090</v>
      </c>
      <c r="D34" s="3231">
        <v>23390</v>
      </c>
      <c r="E34" s="3231">
        <v>23510</v>
      </c>
      <c r="F34" s="3231">
        <v>6700</v>
      </c>
      <c r="G34" s="3244">
        <v>16370</v>
      </c>
      <c r="M34" s="3231" t="s">
        <v>2988</v>
      </c>
      <c r="N34" s="3231" t="s">
        <v>302</v>
      </c>
      <c r="O34" s="3231" t="s">
        <v>2989</v>
      </c>
      <c r="P34" s="3231" t="s">
        <v>2990</v>
      </c>
      <c r="Q34" s="3231" t="s">
        <v>2991</v>
      </c>
    </row>
    <row r="35" spans="1:17" ht="14.25" customHeight="1">
      <c r="A35" s="3231" t="s">
        <v>296</v>
      </c>
      <c r="B35" s="3232" t="s">
        <v>163</v>
      </c>
      <c r="C35" s="3231">
        <v>27270</v>
      </c>
      <c r="D35" s="3231">
        <v>24270</v>
      </c>
      <c r="E35" s="3231">
        <v>24950</v>
      </c>
      <c r="F35" s="3231">
        <v>6600</v>
      </c>
      <c r="G35" s="3244">
        <v>16990</v>
      </c>
      <c r="M35" s="3231" t="s">
        <v>2992</v>
      </c>
      <c r="N35" s="3231" t="s">
        <v>2993</v>
      </c>
      <c r="O35" s="3231" t="s">
        <v>2994</v>
      </c>
      <c r="P35" s="3231" t="s">
        <v>2995</v>
      </c>
      <c r="Q35" s="3231" t="s">
        <v>2996</v>
      </c>
    </row>
    <row r="36" spans="1:17" ht="14.25" customHeight="1">
      <c r="A36" s="3231" t="s">
        <v>296</v>
      </c>
      <c r="B36" s="3232" t="s">
        <v>169</v>
      </c>
      <c r="C36" s="3231">
        <v>23490</v>
      </c>
      <c r="D36" s="3231">
        <v>23020</v>
      </c>
      <c r="E36" s="3231">
        <v>25230</v>
      </c>
      <c r="F36" s="3231">
        <v>6780</v>
      </c>
      <c r="G36" s="3244">
        <v>16120</v>
      </c>
      <c r="M36" s="3231" t="s">
        <v>2997</v>
      </c>
      <c r="N36" s="3231" t="s">
        <v>2998</v>
      </c>
      <c r="O36" s="3231" t="s">
        <v>2999</v>
      </c>
      <c r="P36" s="3231" t="s">
        <v>3000</v>
      </c>
      <c r="Q36" s="3231" t="s">
        <v>3001</v>
      </c>
    </row>
    <row r="37" spans="1:17" ht="14.25" customHeight="1">
      <c r="A37" s="3231" t="s">
        <v>296</v>
      </c>
      <c r="B37" s="3232" t="s">
        <v>176</v>
      </c>
      <c r="C37" s="3231">
        <v>24380</v>
      </c>
      <c r="D37" s="3231">
        <v>22240</v>
      </c>
      <c r="E37" s="3231">
        <v>25980</v>
      </c>
      <c r="F37" s="3231">
        <v>8160</v>
      </c>
      <c r="G37" s="3244">
        <v>15570</v>
      </c>
      <c r="M37" s="3231" t="s">
        <v>3002</v>
      </c>
      <c r="N37" s="3231" t="s">
        <v>3003</v>
      </c>
      <c r="O37" s="3231" t="s">
        <v>3004</v>
      </c>
      <c r="P37" s="3231" t="s">
        <v>3005</v>
      </c>
      <c r="Q37" s="3231" t="s">
        <v>3006</v>
      </c>
    </row>
    <row r="38" spans="1:17" ht="14.25" customHeight="1">
      <c r="A38" s="3231" t="s">
        <v>296</v>
      </c>
      <c r="B38" s="3232" t="s">
        <v>186</v>
      </c>
      <c r="C38" s="3231">
        <v>23120</v>
      </c>
      <c r="D38" s="3231">
        <v>24630</v>
      </c>
      <c r="E38" s="3231">
        <v>25030</v>
      </c>
      <c r="F38" s="3231">
        <v>7710</v>
      </c>
      <c r="G38" s="3244">
        <v>17240</v>
      </c>
      <c r="M38" s="3231" t="s">
        <v>3007</v>
      </c>
      <c r="N38" s="3231" t="s">
        <v>3008</v>
      </c>
      <c r="O38" s="3231" t="s">
        <v>3009</v>
      </c>
      <c r="P38" s="3231" t="s">
        <v>3010</v>
      </c>
      <c r="Q38" s="3231" t="s">
        <v>3011</v>
      </c>
    </row>
    <row r="39" spans="1:17" ht="14.25" customHeight="1">
      <c r="A39" s="3231" t="s">
        <v>296</v>
      </c>
      <c r="B39" s="3232" t="s">
        <v>195</v>
      </c>
      <c r="C39" s="3231">
        <v>22330</v>
      </c>
      <c r="D39" s="3231">
        <v>21140</v>
      </c>
      <c r="E39" s="3231">
        <v>23970</v>
      </c>
      <c r="F39" s="3231">
        <v>7940</v>
      </c>
      <c r="G39" s="3244">
        <v>14790</v>
      </c>
      <c r="M39" s="3231" t="s">
        <v>3012</v>
      </c>
      <c r="N39" s="3231" t="s">
        <v>3013</v>
      </c>
      <c r="O39" s="3231" t="s">
        <v>3014</v>
      </c>
      <c r="P39" s="3231" t="s">
        <v>3015</v>
      </c>
      <c r="Q39" s="3231" t="s">
        <v>3016</v>
      </c>
    </row>
    <row r="40" spans="1:17" ht="14.25" customHeight="1">
      <c r="A40" s="3231" t="s">
        <v>296</v>
      </c>
      <c r="B40" s="3232" t="s">
        <v>202</v>
      </c>
      <c r="C40" s="3231">
        <v>24740</v>
      </c>
      <c r="D40" s="3231">
        <v>24690</v>
      </c>
      <c r="E40" s="3231">
        <v>22610</v>
      </c>
      <c r="F40" s="3231"/>
      <c r="G40" s="3244">
        <v>17280</v>
      </c>
      <c r="M40" s="3231" t="s">
        <v>3017</v>
      </c>
      <c r="N40" s="3231" t="s">
        <v>3018</v>
      </c>
      <c r="O40" s="3231" t="s">
        <v>3019</v>
      </c>
      <c r="P40" s="3231" t="s">
        <v>3020</v>
      </c>
      <c r="Q40" s="3231" t="s">
        <v>3021</v>
      </c>
    </row>
    <row r="41" spans="1:17" ht="14.25" customHeight="1" thickBot="1">
      <c r="A41" s="3231" t="s">
        <v>296</v>
      </c>
      <c r="B41" s="3232" t="s">
        <v>209</v>
      </c>
      <c r="C41" s="3231">
        <v>21220</v>
      </c>
      <c r="D41" s="3231">
        <v>21120</v>
      </c>
      <c r="E41" s="3231">
        <v>22590</v>
      </c>
      <c r="F41" s="3231"/>
      <c r="G41" s="3244">
        <v>14780</v>
      </c>
      <c r="M41" s="3238" t="s">
        <v>3022</v>
      </c>
      <c r="N41" s="3231" t="s">
        <v>3023</v>
      </c>
      <c r="O41" s="3231" t="s">
        <v>3024</v>
      </c>
      <c r="P41" s="3231" t="s">
        <v>3025</v>
      </c>
      <c r="Q41" s="3231" t="s">
        <v>3026</v>
      </c>
    </row>
    <row r="42" spans="1:17" ht="14.25" customHeight="1">
      <c r="A42" s="3231" t="s">
        <v>296</v>
      </c>
      <c r="B42" s="3232" t="s">
        <v>215</v>
      </c>
      <c r="C42" s="3231">
        <v>24800</v>
      </c>
      <c r="D42" s="3231">
        <v>22280</v>
      </c>
      <c r="E42" s="3231">
        <v>24350</v>
      </c>
      <c r="F42" s="3231"/>
      <c r="G42" s="3244">
        <v>15590</v>
      </c>
      <c r="N42" s="3231" t="s">
        <v>3027</v>
      </c>
      <c r="O42" s="3231" t="s">
        <v>3028</v>
      </c>
      <c r="P42" s="3231" t="s">
        <v>3029</v>
      </c>
      <c r="Q42" s="3231" t="s">
        <v>3030</v>
      </c>
    </row>
    <row r="43" spans="1:17" ht="14.25" customHeight="1">
      <c r="A43" s="3231" t="s">
        <v>3031</v>
      </c>
      <c r="B43" s="3232" t="s">
        <v>223</v>
      </c>
      <c r="C43" s="3231">
        <v>21210</v>
      </c>
      <c r="D43" s="3231">
        <v>21160</v>
      </c>
      <c r="E43" s="3231">
        <v>22650</v>
      </c>
      <c r="F43" s="3231"/>
      <c r="G43" s="3244">
        <v>14800</v>
      </c>
      <c r="N43" s="3231" t="s">
        <v>3032</v>
      </c>
      <c r="O43" s="3231" t="s">
        <v>3033</v>
      </c>
      <c r="P43" s="3231" t="s">
        <v>3034</v>
      </c>
      <c r="Q43" s="3231" t="s">
        <v>3035</v>
      </c>
    </row>
    <row r="44" spans="1:17" ht="14.25" customHeight="1" thickBot="1">
      <c r="A44" s="3231" t="s">
        <v>296</v>
      </c>
      <c r="B44" s="3232" t="s">
        <v>231</v>
      </c>
      <c r="C44" s="3231">
        <v>22370</v>
      </c>
      <c r="D44" s="3231">
        <v>23140</v>
      </c>
      <c r="E44" s="3231">
        <v>25090</v>
      </c>
      <c r="F44" s="3231"/>
      <c r="G44" s="3244">
        <v>16190</v>
      </c>
      <c r="N44" s="3231" t="s">
        <v>3036</v>
      </c>
      <c r="O44" s="3231" t="s">
        <v>3037</v>
      </c>
      <c r="P44" s="3238" t="s">
        <v>3038</v>
      </c>
      <c r="Q44" s="3231" t="s">
        <v>3039</v>
      </c>
    </row>
    <row r="45" spans="1:17" ht="14.25" customHeight="1" thickBot="1">
      <c r="A45" s="3231" t="s">
        <v>296</v>
      </c>
      <c r="B45" s="3232" t="s">
        <v>236</v>
      </c>
      <c r="C45" s="3231">
        <v>21240</v>
      </c>
      <c r="D45" s="3231">
        <v>27050</v>
      </c>
      <c r="E45" s="3231">
        <v>28000</v>
      </c>
      <c r="F45" s="3231"/>
      <c r="G45" s="3244">
        <v>18940</v>
      </c>
      <c r="N45" s="3231" t="s">
        <v>3040</v>
      </c>
      <c r="O45" s="3238" t="s">
        <v>3041</v>
      </c>
      <c r="Q45" s="3231" t="s">
        <v>3042</v>
      </c>
    </row>
    <row r="46" spans="1:17" ht="14.25" customHeight="1">
      <c r="A46" s="3231" t="s">
        <v>296</v>
      </c>
      <c r="B46" s="3232" t="s">
        <v>245</v>
      </c>
      <c r="C46" s="3231">
        <v>23240</v>
      </c>
      <c r="D46" s="3231">
        <v>23000</v>
      </c>
      <c r="E46" s="3231">
        <v>24980</v>
      </c>
      <c r="F46" s="3231"/>
      <c r="G46" s="3244">
        <v>16100</v>
      </c>
      <c r="N46" s="3231" t="s">
        <v>3043</v>
      </c>
      <c r="Q46" s="3231" t="s">
        <v>3044</v>
      </c>
    </row>
    <row r="47" spans="1:17" ht="14.25" customHeight="1">
      <c r="A47" s="3231" t="s">
        <v>296</v>
      </c>
      <c r="B47" s="3232" t="s">
        <v>252</v>
      </c>
      <c r="C47" s="3231">
        <v>27150</v>
      </c>
      <c r="D47" s="3231">
        <v>23310</v>
      </c>
      <c r="E47" s="3231">
        <v>25150</v>
      </c>
      <c r="F47" s="3231"/>
      <c r="G47" s="3244">
        <v>16310</v>
      </c>
      <c r="N47" s="3231" t="s">
        <v>3045</v>
      </c>
      <c r="Q47" s="3231" t="s">
        <v>3046</v>
      </c>
    </row>
    <row r="48" spans="1:17" ht="14.25" customHeight="1">
      <c r="A48" s="3231" t="s">
        <v>296</v>
      </c>
      <c r="B48" s="3232" t="s">
        <v>260</v>
      </c>
      <c r="C48" s="3231">
        <v>23100</v>
      </c>
      <c r="D48" s="3231">
        <v>21110</v>
      </c>
      <c r="E48" s="3231">
        <v>23080</v>
      </c>
      <c r="F48" s="3231"/>
      <c r="G48" s="3244">
        <v>14780</v>
      </c>
      <c r="N48" s="3231" t="s">
        <v>3047</v>
      </c>
      <c r="Q48" s="3231" t="s">
        <v>3048</v>
      </c>
    </row>
    <row r="49" spans="1:17" ht="14.25" customHeight="1">
      <c r="A49" s="3231" t="s">
        <v>296</v>
      </c>
      <c r="B49" s="3232" t="s">
        <v>267</v>
      </c>
      <c r="C49" s="3231">
        <v>23400</v>
      </c>
      <c r="D49" s="3231">
        <v>22920</v>
      </c>
      <c r="E49" s="3231">
        <v>24900</v>
      </c>
      <c r="F49" s="3231"/>
      <c r="G49" s="3244">
        <v>16040</v>
      </c>
      <c r="N49" s="3231" t="s">
        <v>3049</v>
      </c>
      <c r="Q49" s="3231" t="s">
        <v>3050</v>
      </c>
    </row>
    <row r="50" spans="1:17" ht="14.25" customHeight="1">
      <c r="A50" s="3231" t="s">
        <v>296</v>
      </c>
      <c r="B50" s="3232" t="s">
        <v>2927</v>
      </c>
      <c r="C50" s="3231">
        <v>21200</v>
      </c>
      <c r="D50" s="3231">
        <v>26540</v>
      </c>
      <c r="E50" s="3231">
        <v>23200</v>
      </c>
      <c r="F50" s="3231"/>
      <c r="G50" s="3244">
        <v>18580</v>
      </c>
      <c r="N50" s="3231" t="s">
        <v>3051</v>
      </c>
      <c r="Q50" s="3232" t="s">
        <v>3052</v>
      </c>
    </row>
    <row r="51" spans="1:17" ht="14.25" customHeight="1" thickBot="1">
      <c r="A51" s="3231" t="s">
        <v>296</v>
      </c>
      <c r="B51" s="3232" t="s">
        <v>2929</v>
      </c>
      <c r="C51" s="3231">
        <v>23000</v>
      </c>
      <c r="D51" s="3231">
        <v>23460</v>
      </c>
      <c r="E51" s="3231">
        <v>25290</v>
      </c>
      <c r="F51" s="3231"/>
      <c r="G51" s="3244">
        <v>16420</v>
      </c>
      <c r="N51" s="3231" t="s">
        <v>3053</v>
      </c>
      <c r="Q51" s="3238" t="s">
        <v>3054</v>
      </c>
    </row>
    <row r="52" spans="1:17" ht="14.25" customHeight="1">
      <c r="A52" s="3231" t="s">
        <v>296</v>
      </c>
      <c r="B52" s="3232" t="s">
        <v>2933</v>
      </c>
      <c r="C52" s="3231">
        <v>26660</v>
      </c>
      <c r="D52" s="3231">
        <v>22350</v>
      </c>
      <c r="E52" s="3231">
        <v>22920</v>
      </c>
      <c r="F52" s="3231"/>
      <c r="G52" s="3244">
        <v>15640</v>
      </c>
      <c r="N52" s="3231" t="s">
        <v>3055</v>
      </c>
    </row>
    <row r="53" spans="1:17" ht="14.25" customHeight="1">
      <c r="A53" s="3231" t="s">
        <v>296</v>
      </c>
      <c r="B53" s="3232" t="s">
        <v>2938</v>
      </c>
      <c r="C53" s="3231">
        <v>23580</v>
      </c>
      <c r="D53" s="3231"/>
      <c r="E53" s="3231">
        <v>24280</v>
      </c>
      <c r="F53" s="3231"/>
      <c r="G53" s="3244"/>
      <c r="N53" s="3231" t="s">
        <v>3056</v>
      </c>
    </row>
    <row r="54" spans="1:17" ht="14.25" customHeight="1" thickBot="1">
      <c r="A54" s="3245" t="s">
        <v>296</v>
      </c>
      <c r="B54" s="3237" t="s">
        <v>2941</v>
      </c>
      <c r="C54" s="3238">
        <v>22460</v>
      </c>
      <c r="D54" s="3238"/>
      <c r="E54" s="3238"/>
      <c r="F54" s="3238"/>
      <c r="G54" s="3246"/>
      <c r="N54" s="3231" t="s">
        <v>3057</v>
      </c>
    </row>
    <row r="55" spans="1:17" ht="14.25" customHeight="1">
      <c r="A55" s="3236" t="s">
        <v>110</v>
      </c>
      <c r="B55" s="3227" t="s">
        <v>3058</v>
      </c>
      <c r="C55" s="3231">
        <v>21970</v>
      </c>
      <c r="D55" s="3231">
        <v>20370</v>
      </c>
      <c r="E55" s="3231">
        <v>20180</v>
      </c>
      <c r="F55" s="3231">
        <v>5730</v>
      </c>
      <c r="G55" s="3231">
        <v>13820</v>
      </c>
      <c r="N55" s="3231" t="s">
        <v>3059</v>
      </c>
    </row>
    <row r="56" spans="1:17" ht="14.25" customHeight="1">
      <c r="A56" s="3231" t="s">
        <v>110</v>
      </c>
      <c r="B56" s="3231" t="s">
        <v>130</v>
      </c>
      <c r="C56" s="3231">
        <v>20470</v>
      </c>
      <c r="D56" s="3231">
        <v>20700</v>
      </c>
      <c r="E56" s="3231">
        <v>20380</v>
      </c>
      <c r="F56" s="3231">
        <v>4760</v>
      </c>
      <c r="G56" s="3231">
        <v>14050</v>
      </c>
      <c r="N56" s="3231" t="s">
        <v>3060</v>
      </c>
    </row>
    <row r="57" spans="1:17" ht="14.25" customHeight="1">
      <c r="A57" s="3231" t="s">
        <v>110</v>
      </c>
      <c r="B57" s="3231" t="s">
        <v>139</v>
      </c>
      <c r="C57" s="3231">
        <v>20790</v>
      </c>
      <c r="D57" s="3231">
        <v>21370</v>
      </c>
      <c r="E57" s="3231">
        <v>20890</v>
      </c>
      <c r="F57" s="3231">
        <v>4910</v>
      </c>
      <c r="G57" s="3231">
        <v>14510</v>
      </c>
      <c r="N57" s="3231" t="s">
        <v>3061</v>
      </c>
    </row>
    <row r="58" spans="1:17" ht="14.25" customHeight="1">
      <c r="A58" s="3231" t="s">
        <v>110</v>
      </c>
      <c r="B58" s="3231" t="s">
        <v>148</v>
      </c>
      <c r="C58" s="3231">
        <v>21460</v>
      </c>
      <c r="D58" s="3231">
        <v>20920</v>
      </c>
      <c r="E58" s="3231">
        <v>23410</v>
      </c>
      <c r="F58" s="3231">
        <v>5100</v>
      </c>
      <c r="G58" s="3231">
        <v>14200</v>
      </c>
      <c r="N58" s="3231" t="s">
        <v>3062</v>
      </c>
    </row>
    <row r="59" spans="1:17" ht="14.25" customHeight="1">
      <c r="A59" s="3231" t="s">
        <v>110</v>
      </c>
      <c r="B59" s="3231" t="s">
        <v>157</v>
      </c>
      <c r="C59" s="3231">
        <v>21000</v>
      </c>
      <c r="D59" s="3231">
        <v>21550</v>
      </c>
      <c r="E59" s="3231">
        <v>21150</v>
      </c>
      <c r="F59" s="3231">
        <v>5250</v>
      </c>
      <c r="G59" s="3231">
        <v>14630</v>
      </c>
      <c r="N59" s="3231" t="s">
        <v>3063</v>
      </c>
    </row>
    <row r="60" spans="1:17" ht="14.25" customHeight="1">
      <c r="A60" s="3231" t="s">
        <v>110</v>
      </c>
      <c r="B60" s="3231" t="s">
        <v>164</v>
      </c>
      <c r="C60" s="3231">
        <v>21640</v>
      </c>
      <c r="D60" s="3231">
        <v>21260</v>
      </c>
      <c r="E60" s="3231">
        <v>24040</v>
      </c>
      <c r="F60" s="3231">
        <v>4470</v>
      </c>
      <c r="G60" s="3231">
        <v>14430</v>
      </c>
      <c r="N60" s="3231" t="s">
        <v>3064</v>
      </c>
    </row>
    <row r="61" spans="1:17" ht="14.25" customHeight="1">
      <c r="A61" s="3231" t="s">
        <v>110</v>
      </c>
      <c r="B61" s="3231" t="s">
        <v>170</v>
      </c>
      <c r="C61" s="3231">
        <v>21330</v>
      </c>
      <c r="D61" s="3231">
        <v>18640</v>
      </c>
      <c r="E61" s="3231">
        <v>21190</v>
      </c>
      <c r="F61" s="3231">
        <v>4180</v>
      </c>
      <c r="G61" s="3231">
        <v>12650</v>
      </c>
      <c r="N61" s="3231" t="s">
        <v>3065</v>
      </c>
    </row>
    <row r="62" spans="1:17" ht="14.25" customHeight="1">
      <c r="A62" s="3231" t="s">
        <v>110</v>
      </c>
      <c r="B62" s="3231" t="s">
        <v>177</v>
      </c>
      <c r="C62" s="3231">
        <v>18710</v>
      </c>
      <c r="D62" s="3231">
        <v>19400</v>
      </c>
      <c r="E62" s="3231">
        <v>23750</v>
      </c>
      <c r="F62" s="3231">
        <v>4860</v>
      </c>
      <c r="G62" s="3231">
        <v>13170</v>
      </c>
      <c r="N62" s="3231" t="s">
        <v>3066</v>
      </c>
    </row>
    <row r="63" spans="1:17" ht="14.25" customHeight="1">
      <c r="A63" s="3231" t="s">
        <v>110</v>
      </c>
      <c r="B63" s="3231" t="s">
        <v>187</v>
      </c>
      <c r="C63" s="3231">
        <v>19480</v>
      </c>
      <c r="D63" s="3231">
        <v>16830</v>
      </c>
      <c r="E63" s="3231">
        <v>21590</v>
      </c>
      <c r="F63" s="3231">
        <v>4560</v>
      </c>
      <c r="G63" s="3231">
        <v>11420</v>
      </c>
      <c r="N63" s="3231" t="s">
        <v>3067</v>
      </c>
    </row>
    <row r="64" spans="1:17" ht="14.25" customHeight="1" thickBot="1">
      <c r="A64" s="3231" t="s">
        <v>110</v>
      </c>
      <c r="B64" s="3231" t="s">
        <v>196</v>
      </c>
      <c r="C64" s="3231">
        <v>16920</v>
      </c>
      <c r="D64" s="3231">
        <v>19190</v>
      </c>
      <c r="E64" s="3231">
        <v>22200</v>
      </c>
      <c r="F64" s="3231">
        <v>4390</v>
      </c>
      <c r="G64" s="3231">
        <v>13030</v>
      </c>
      <c r="N64" s="3238" t="s">
        <v>3068</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2939</v>
      </c>
      <c r="C78" s="3231">
        <v>19820</v>
      </c>
      <c r="D78" s="3231">
        <v>19780</v>
      </c>
      <c r="E78" s="3231">
        <v>18560</v>
      </c>
      <c r="F78" s="3231"/>
      <c r="G78" s="3231">
        <v>13430</v>
      </c>
    </row>
    <row r="79" spans="1:7" s="3220" customFormat="1" ht="14.25" customHeight="1">
      <c r="A79" s="3231" t="s">
        <v>110</v>
      </c>
      <c r="B79" s="3231" t="s">
        <v>2942</v>
      </c>
      <c r="C79" s="3231">
        <v>21660</v>
      </c>
      <c r="D79" s="3231">
        <v>18000</v>
      </c>
      <c r="E79" s="3231">
        <v>22570</v>
      </c>
      <c r="F79" s="3231"/>
      <c r="G79" s="3231">
        <v>12220</v>
      </c>
    </row>
    <row r="80" spans="1:7" s="3220" customFormat="1" ht="14.25" customHeight="1">
      <c r="A80" s="3231" t="s">
        <v>110</v>
      </c>
      <c r="B80" s="3231" t="s">
        <v>2946</v>
      </c>
      <c r="C80" s="3231">
        <v>19850</v>
      </c>
      <c r="D80" s="3231"/>
      <c r="E80" s="3231">
        <v>21700</v>
      </c>
      <c r="F80" s="3231"/>
      <c r="G80" s="3231"/>
    </row>
    <row r="81" spans="1:7" s="3220" customFormat="1" ht="14.25" customHeight="1">
      <c r="A81" s="3231" t="s">
        <v>110</v>
      </c>
      <c r="B81" s="3231" t="s">
        <v>2951</v>
      </c>
      <c r="C81" s="3231">
        <v>18080</v>
      </c>
      <c r="D81" s="3231"/>
      <c r="E81" s="3231">
        <v>20900</v>
      </c>
      <c r="F81" s="3231"/>
      <c r="G81" s="3231"/>
    </row>
    <row r="82" spans="1:7" s="3220" customFormat="1" ht="14.25" customHeight="1">
      <c r="A82" s="3231" t="s">
        <v>110</v>
      </c>
      <c r="B82" s="3231" t="s">
        <v>2958</v>
      </c>
      <c r="C82" s="3231"/>
      <c r="D82" s="3231"/>
      <c r="E82" s="3231">
        <v>20840</v>
      </c>
      <c r="F82" s="3231"/>
      <c r="G82" s="3231"/>
    </row>
    <row r="83" spans="1:7" s="3220" customFormat="1" ht="14.25" customHeight="1">
      <c r="A83" s="3231" t="s">
        <v>110</v>
      </c>
      <c r="B83" s="3231" t="s">
        <v>3069</v>
      </c>
      <c r="C83" s="3231"/>
      <c r="D83" s="3231"/>
      <c r="E83" s="3231"/>
      <c r="F83" s="3231">
        <v>4770</v>
      </c>
      <c r="G83" s="3231"/>
    </row>
    <row r="84" spans="1:7" s="3220" customFormat="1" ht="14.25" customHeight="1">
      <c r="A84" s="3231" t="s">
        <v>110</v>
      </c>
      <c r="B84" s="3231" t="s">
        <v>3070</v>
      </c>
      <c r="C84" s="3231"/>
      <c r="D84" s="3231"/>
      <c r="E84" s="3231"/>
      <c r="F84" s="3231">
        <v>4600</v>
      </c>
      <c r="G84" s="3231"/>
    </row>
    <row r="85" spans="1:7" s="3220" customFormat="1" ht="14.25" customHeight="1">
      <c r="A85" s="3231" t="s">
        <v>110</v>
      </c>
      <c r="B85" s="3231" t="s">
        <v>3071</v>
      </c>
      <c r="C85" s="3231"/>
      <c r="D85" s="3231"/>
      <c r="E85" s="3231"/>
      <c r="F85" s="3231">
        <v>4680</v>
      </c>
      <c r="G85" s="3231"/>
    </row>
    <row r="86" spans="1:7" s="3220" customFormat="1" ht="14.25" customHeight="1" thickBot="1">
      <c r="A86" s="3239" t="s">
        <v>110</v>
      </c>
      <c r="B86" s="3241" t="s">
        <v>3072</v>
      </c>
      <c r="C86" s="3242">
        <v>16610</v>
      </c>
      <c r="D86" s="3242">
        <v>16540</v>
      </c>
      <c r="E86" s="3242">
        <v>18850</v>
      </c>
      <c r="F86" s="3242"/>
      <c r="G86" s="3242">
        <v>11220</v>
      </c>
    </row>
    <row r="87" spans="1:7" s="3220" customFormat="1" ht="14.25" customHeight="1">
      <c r="A87" s="3236" t="s">
        <v>303</v>
      </c>
      <c r="B87" s="3227" t="s">
        <v>3073</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2952</v>
      </c>
      <c r="C113" s="3231">
        <v>15520</v>
      </c>
      <c r="D113" s="3231">
        <v>15450</v>
      </c>
      <c r="E113" s="3231"/>
      <c r="F113" s="3231"/>
      <c r="G113" s="3244">
        <v>10210</v>
      </c>
    </row>
    <row r="114" spans="1:7" s="3220" customFormat="1" ht="14.25" customHeight="1">
      <c r="A114" s="3231" t="s">
        <v>303</v>
      </c>
      <c r="B114" s="3231" t="s">
        <v>2959</v>
      </c>
      <c r="C114" s="3231">
        <v>13110</v>
      </c>
      <c r="D114" s="3231">
        <v>13050</v>
      </c>
      <c r="E114" s="3231"/>
      <c r="F114" s="3231"/>
      <c r="G114" s="3244">
        <v>8620</v>
      </c>
    </row>
    <row r="115" spans="1:7" s="3220" customFormat="1" ht="14.25" customHeight="1">
      <c r="A115" s="3231" t="s">
        <v>303</v>
      </c>
      <c r="B115" s="3231" t="s">
        <v>2965</v>
      </c>
      <c r="C115" s="3231">
        <v>12460</v>
      </c>
      <c r="D115" s="3231">
        <v>12390</v>
      </c>
      <c r="E115" s="3231"/>
      <c r="F115" s="3231"/>
      <c r="G115" s="3244">
        <v>8190</v>
      </c>
    </row>
    <row r="116" spans="1:7" s="3220" customFormat="1" ht="14.25" customHeight="1">
      <c r="A116" s="3231" t="s">
        <v>303</v>
      </c>
      <c r="B116" s="3231" t="s">
        <v>2972</v>
      </c>
      <c r="C116" s="3231">
        <v>13580</v>
      </c>
      <c r="D116" s="3231">
        <v>13520</v>
      </c>
      <c r="E116" s="3231"/>
      <c r="F116" s="3231"/>
      <c r="G116" s="3244">
        <v>8930</v>
      </c>
    </row>
    <row r="117" spans="1:7" s="3220" customFormat="1" ht="14.25" customHeight="1">
      <c r="A117" s="3231" t="s">
        <v>303</v>
      </c>
      <c r="B117" s="3231" t="s">
        <v>2979</v>
      </c>
      <c r="C117" s="3231">
        <v>17120</v>
      </c>
      <c r="D117" s="3231">
        <v>17040</v>
      </c>
      <c r="E117" s="3231"/>
      <c r="F117" s="3231"/>
      <c r="G117" s="3244">
        <v>11260</v>
      </c>
    </row>
    <row r="118" spans="1:7" s="3220" customFormat="1" ht="14.25" customHeight="1">
      <c r="A118" s="3231" t="s">
        <v>303</v>
      </c>
      <c r="B118" s="3231" t="s">
        <v>2984</v>
      </c>
      <c r="C118" s="3231">
        <v>14860</v>
      </c>
      <c r="D118" s="3231">
        <v>14790</v>
      </c>
      <c r="E118" s="3231"/>
      <c r="F118" s="3231"/>
      <c r="G118" s="3244">
        <v>9780</v>
      </c>
    </row>
    <row r="119" spans="1:7" s="3220" customFormat="1" ht="14.25" customHeight="1">
      <c r="A119" s="3231" t="s">
        <v>303</v>
      </c>
      <c r="B119" s="3231" t="s">
        <v>2988</v>
      </c>
      <c r="C119" s="3231">
        <v>16470</v>
      </c>
      <c r="D119" s="3231">
        <v>16400</v>
      </c>
      <c r="E119" s="3231"/>
      <c r="F119" s="3231"/>
      <c r="G119" s="3244">
        <v>10840</v>
      </c>
    </row>
    <row r="120" spans="1:7" s="3220" customFormat="1" ht="14.25" customHeight="1">
      <c r="A120" s="3231" t="s">
        <v>303</v>
      </c>
      <c r="B120" s="3231" t="s">
        <v>3074</v>
      </c>
      <c r="C120" s="3231"/>
      <c r="D120" s="3231"/>
      <c r="E120" s="3231"/>
      <c r="F120" s="3231">
        <v>4160</v>
      </c>
      <c r="G120" s="3244"/>
    </row>
    <row r="121" spans="1:7" s="3220" customFormat="1" ht="14.25" customHeight="1">
      <c r="A121" s="3231" t="s">
        <v>303</v>
      </c>
      <c r="B121" s="3231" t="s">
        <v>3075</v>
      </c>
      <c r="C121" s="3231"/>
      <c r="D121" s="3231"/>
      <c r="E121" s="3231"/>
      <c r="F121" s="3231">
        <v>3880</v>
      </c>
      <c r="G121" s="3244"/>
    </row>
    <row r="122" spans="1:7" s="3220" customFormat="1" ht="14.25" customHeight="1">
      <c r="A122" s="3231" t="s">
        <v>303</v>
      </c>
      <c r="B122" s="3231" t="s">
        <v>3076</v>
      </c>
      <c r="C122" s="3231">
        <v>13750</v>
      </c>
      <c r="D122" s="3231">
        <v>13680</v>
      </c>
      <c r="E122" s="3231">
        <v>16460</v>
      </c>
      <c r="F122" s="3231">
        <v>2880</v>
      </c>
      <c r="G122" s="3244">
        <v>9040</v>
      </c>
    </row>
    <row r="123" spans="1:7" s="3220" customFormat="1" ht="14.25" customHeight="1">
      <c r="A123" s="3231" t="s">
        <v>303</v>
      </c>
      <c r="B123" s="3231" t="s">
        <v>3007</v>
      </c>
      <c r="C123" s="3231">
        <v>13590</v>
      </c>
      <c r="D123" s="3231">
        <v>13520</v>
      </c>
      <c r="E123" s="3231">
        <v>16290</v>
      </c>
      <c r="F123" s="3231">
        <v>2790</v>
      </c>
      <c r="G123" s="3244">
        <v>8930</v>
      </c>
    </row>
    <row r="124" spans="1:7" s="3220" customFormat="1" ht="14.25" customHeight="1">
      <c r="A124" s="3231" t="s">
        <v>303</v>
      </c>
      <c r="B124" s="3231" t="s">
        <v>3012</v>
      </c>
      <c r="C124" s="3231">
        <v>13400</v>
      </c>
      <c r="D124" s="3231">
        <v>13320</v>
      </c>
      <c r="E124" s="3231">
        <v>16100</v>
      </c>
      <c r="F124" s="3231">
        <v>2320</v>
      </c>
      <c r="G124" s="3244">
        <v>8800</v>
      </c>
    </row>
    <row r="125" spans="1:7" s="3220" customFormat="1" ht="14.25" customHeight="1">
      <c r="A125" s="3231" t="s">
        <v>303</v>
      </c>
      <c r="B125" s="3231" t="s">
        <v>3017</v>
      </c>
      <c r="C125" s="3231">
        <v>12860</v>
      </c>
      <c r="D125" s="3231">
        <v>12790</v>
      </c>
      <c r="E125" s="3231">
        <v>15370</v>
      </c>
      <c r="F125" s="3231">
        <v>2280</v>
      </c>
      <c r="G125" s="3244">
        <v>8450</v>
      </c>
    </row>
    <row r="126" spans="1:7" s="3220" customFormat="1" ht="14.25" customHeight="1" thickBot="1">
      <c r="A126" s="3245" t="s">
        <v>303</v>
      </c>
      <c r="B126" s="3238" t="s">
        <v>3022</v>
      </c>
      <c r="C126" s="3238">
        <v>12960</v>
      </c>
      <c r="D126" s="3238">
        <v>12890</v>
      </c>
      <c r="E126" s="3238">
        <v>15530</v>
      </c>
      <c r="F126" s="3238">
        <v>2910</v>
      </c>
      <c r="G126" s="3246">
        <v>8520</v>
      </c>
    </row>
    <row r="127" spans="1:7" s="3220" customFormat="1" ht="14.25" customHeight="1">
      <c r="A127" s="3236" t="s">
        <v>29</v>
      </c>
      <c r="B127" s="3227" t="s">
        <v>3077</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3078</v>
      </c>
      <c r="C148" s="3231">
        <v>10370</v>
      </c>
      <c r="D148" s="3231">
        <v>10310</v>
      </c>
      <c r="E148" s="3231">
        <v>12970</v>
      </c>
      <c r="F148" s="3231"/>
      <c r="G148" s="3231">
        <v>6630</v>
      </c>
    </row>
    <row r="149" spans="1:7" s="3220" customFormat="1" ht="14.25" customHeight="1">
      <c r="A149" s="3231" t="s">
        <v>29</v>
      </c>
      <c r="B149" s="3231" t="s">
        <v>3079</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2953</v>
      </c>
      <c r="C153" s="3231">
        <v>10880</v>
      </c>
      <c r="D153" s="3231">
        <v>10820</v>
      </c>
      <c r="E153" s="3231">
        <v>13660</v>
      </c>
      <c r="F153" s="3231">
        <v>2260</v>
      </c>
      <c r="G153" s="3231">
        <v>6970</v>
      </c>
    </row>
    <row r="154" spans="1:7" s="3220" customFormat="1" ht="14.25" customHeight="1">
      <c r="A154" s="3231" t="s">
        <v>29</v>
      </c>
      <c r="B154" s="3231" t="s">
        <v>3080</v>
      </c>
      <c r="C154" s="3231">
        <v>11220</v>
      </c>
      <c r="D154" s="3231">
        <v>11160</v>
      </c>
      <c r="E154" s="3231">
        <v>14130</v>
      </c>
      <c r="F154" s="3231">
        <v>2230</v>
      </c>
      <c r="G154" s="3231">
        <v>7180</v>
      </c>
    </row>
    <row r="155" spans="1:7" s="3220" customFormat="1" ht="14.25" customHeight="1">
      <c r="A155" s="3231" t="s">
        <v>29</v>
      </c>
      <c r="B155" s="3231" t="s">
        <v>2966</v>
      </c>
      <c r="C155" s="3231">
        <v>10430</v>
      </c>
      <c r="D155" s="3231">
        <v>10380</v>
      </c>
      <c r="E155" s="3231">
        <v>13140</v>
      </c>
      <c r="F155" s="3231">
        <v>2080</v>
      </c>
      <c r="G155" s="3231">
        <v>6650</v>
      </c>
    </row>
    <row r="156" spans="1:7" s="3220" customFormat="1" ht="14.25" customHeight="1">
      <c r="A156" s="3231" t="s">
        <v>29</v>
      </c>
      <c r="B156" s="3231" t="s">
        <v>3081</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3082</v>
      </c>
      <c r="C160" s="3231">
        <v>11180</v>
      </c>
      <c r="D160" s="3231">
        <v>11140</v>
      </c>
      <c r="E160" s="3231">
        <v>14050</v>
      </c>
      <c r="F160" s="3231">
        <v>2270</v>
      </c>
      <c r="G160" s="3231">
        <v>7170</v>
      </c>
    </row>
    <row r="161" spans="1:7" s="3220" customFormat="1" ht="14.25" customHeight="1">
      <c r="A161" s="3231" t="s">
        <v>29</v>
      </c>
      <c r="B161" s="3231" t="s">
        <v>2998</v>
      </c>
      <c r="C161" s="3231">
        <v>11160</v>
      </c>
      <c r="D161" s="3231">
        <v>11120</v>
      </c>
      <c r="E161" s="3231">
        <v>14020</v>
      </c>
      <c r="F161" s="3231">
        <v>2150</v>
      </c>
      <c r="G161" s="3231">
        <v>7160</v>
      </c>
    </row>
    <row r="162" spans="1:7" s="3220" customFormat="1" ht="14.25" customHeight="1">
      <c r="A162" s="3231" t="s">
        <v>29</v>
      </c>
      <c r="B162" s="3231" t="s">
        <v>3003</v>
      </c>
      <c r="C162" s="3231">
        <v>9620</v>
      </c>
      <c r="D162" s="3231">
        <v>9570</v>
      </c>
      <c r="E162" s="3231">
        <v>12320</v>
      </c>
      <c r="F162" s="3231">
        <v>2010</v>
      </c>
      <c r="G162" s="3231">
        <v>6160</v>
      </c>
    </row>
    <row r="163" spans="1:7" s="3220" customFormat="1" ht="14.25" customHeight="1">
      <c r="A163" s="3231" t="s">
        <v>29</v>
      </c>
      <c r="B163" s="3231" t="s">
        <v>3008</v>
      </c>
      <c r="C163" s="3231">
        <v>9320</v>
      </c>
      <c r="D163" s="3231">
        <v>9270</v>
      </c>
      <c r="E163" s="3231">
        <v>11790</v>
      </c>
      <c r="F163" s="3231">
        <v>1920</v>
      </c>
      <c r="G163" s="3231">
        <v>5960</v>
      </c>
    </row>
    <row r="164" spans="1:7" s="3220" customFormat="1" ht="14.25" customHeight="1">
      <c r="A164" s="3231" t="s">
        <v>29</v>
      </c>
      <c r="B164" s="3231" t="s">
        <v>3013</v>
      </c>
      <c r="C164" s="3231"/>
      <c r="D164" s="3231"/>
      <c r="E164" s="3231"/>
      <c r="F164" s="3231">
        <v>1980</v>
      </c>
      <c r="G164" s="3231"/>
    </row>
    <row r="165" spans="1:7" s="3220" customFormat="1" ht="14.25" customHeight="1">
      <c r="A165" s="3231" t="s">
        <v>29</v>
      </c>
      <c r="B165" s="3231" t="s">
        <v>3083</v>
      </c>
      <c r="C165" s="3231">
        <v>11060</v>
      </c>
      <c r="D165" s="3231">
        <v>11030</v>
      </c>
      <c r="E165" s="3231">
        <v>13850</v>
      </c>
      <c r="F165" s="3231">
        <v>2170</v>
      </c>
      <c r="G165" s="3231">
        <v>7090</v>
      </c>
    </row>
    <row r="166" spans="1:7" s="3220" customFormat="1" ht="14.25" customHeight="1">
      <c r="A166" s="3231" t="s">
        <v>29</v>
      </c>
      <c r="B166" s="3231" t="s">
        <v>3023</v>
      </c>
      <c r="C166" s="3231">
        <v>11050</v>
      </c>
      <c r="D166" s="3231">
        <v>11010</v>
      </c>
      <c r="E166" s="3231">
        <v>13920</v>
      </c>
      <c r="F166" s="3231">
        <v>2140</v>
      </c>
      <c r="G166" s="3231">
        <v>7080</v>
      </c>
    </row>
    <row r="167" spans="1:7" s="3220" customFormat="1" ht="14.25" customHeight="1">
      <c r="A167" s="3231" t="s">
        <v>29</v>
      </c>
      <c r="B167" s="3231" t="s">
        <v>3027</v>
      </c>
      <c r="C167" s="3231">
        <v>10930</v>
      </c>
      <c r="D167" s="3231">
        <v>10890</v>
      </c>
      <c r="E167" s="3231">
        <v>13790</v>
      </c>
      <c r="F167" s="3231">
        <v>2010</v>
      </c>
      <c r="G167" s="3231">
        <v>7000</v>
      </c>
    </row>
    <row r="168" spans="1:7" s="3220" customFormat="1" ht="14.25" customHeight="1">
      <c r="A168" s="3231" t="s">
        <v>29</v>
      </c>
      <c r="B168" s="3231" t="s">
        <v>3032</v>
      </c>
      <c r="C168" s="3231">
        <v>9420</v>
      </c>
      <c r="D168" s="3231">
        <v>9380</v>
      </c>
      <c r="E168" s="3231">
        <v>11970</v>
      </c>
      <c r="F168" s="3231"/>
      <c r="G168" s="3231">
        <v>6040</v>
      </c>
    </row>
    <row r="169" spans="1:7" s="3220" customFormat="1" ht="14.25" customHeight="1">
      <c r="A169" s="3231" t="s">
        <v>29</v>
      </c>
      <c r="B169" s="3231" t="s">
        <v>3084</v>
      </c>
      <c r="C169" s="3231"/>
      <c r="D169" s="3231"/>
      <c r="E169" s="3231"/>
      <c r="F169" s="3231">
        <v>2880</v>
      </c>
      <c r="G169" s="3231"/>
    </row>
    <row r="170" spans="1:7" s="3220" customFormat="1" ht="14.25" customHeight="1">
      <c r="A170" s="3231" t="s">
        <v>29</v>
      </c>
      <c r="B170" s="3231" t="s">
        <v>3040</v>
      </c>
      <c r="C170" s="3231"/>
      <c r="D170" s="3231"/>
      <c r="E170" s="3231"/>
      <c r="F170" s="3231">
        <v>2880</v>
      </c>
      <c r="G170" s="3231"/>
    </row>
    <row r="171" spans="1:7" s="3220" customFormat="1" ht="14.25" customHeight="1">
      <c r="A171" s="3231" t="s">
        <v>29</v>
      </c>
      <c r="B171" s="3231" t="s">
        <v>3043</v>
      </c>
      <c r="C171" s="3231"/>
      <c r="D171" s="3231"/>
      <c r="E171" s="3231"/>
      <c r="F171" s="3231">
        <v>2880</v>
      </c>
      <c r="G171" s="3231"/>
    </row>
    <row r="172" spans="1:7" s="3220" customFormat="1" ht="14.25" customHeight="1">
      <c r="A172" s="3231" t="s">
        <v>29</v>
      </c>
      <c r="B172" s="3231" t="s">
        <v>3045</v>
      </c>
      <c r="C172" s="3231"/>
      <c r="D172" s="3231"/>
      <c r="E172" s="3231"/>
      <c r="F172" s="3231">
        <v>2880</v>
      </c>
      <c r="G172" s="3231"/>
    </row>
    <row r="173" spans="1:7" s="3220" customFormat="1" ht="14.25" customHeight="1">
      <c r="A173" s="3231" t="s">
        <v>29</v>
      </c>
      <c r="B173" s="3231" t="s">
        <v>3047</v>
      </c>
      <c r="C173" s="3231"/>
      <c r="D173" s="3231"/>
      <c r="E173" s="3231"/>
      <c r="F173" s="3231">
        <v>2150</v>
      </c>
      <c r="G173" s="3231"/>
    </row>
    <row r="174" spans="1:7" s="3220" customFormat="1" ht="14.25" customHeight="1">
      <c r="A174" s="3231" t="s">
        <v>29</v>
      </c>
      <c r="B174" s="3231" t="s">
        <v>3049</v>
      </c>
      <c r="C174" s="3231"/>
      <c r="D174" s="3231"/>
      <c r="E174" s="3231"/>
      <c r="F174" s="3231">
        <v>2030</v>
      </c>
      <c r="G174" s="3231"/>
    </row>
    <row r="175" spans="1:7" s="3220" customFormat="1" ht="14.25" customHeight="1">
      <c r="A175" s="3231" t="s">
        <v>29</v>
      </c>
      <c r="B175" s="3231" t="s">
        <v>3051</v>
      </c>
      <c r="C175" s="3231"/>
      <c r="D175" s="3231"/>
      <c r="E175" s="3231"/>
      <c r="F175" s="3231">
        <v>2780</v>
      </c>
      <c r="G175" s="3231"/>
    </row>
    <row r="176" spans="1:7" s="3220" customFormat="1" ht="14.25" customHeight="1">
      <c r="A176" s="3231" t="s">
        <v>29</v>
      </c>
      <c r="B176" s="3231" t="s">
        <v>3053</v>
      </c>
      <c r="C176" s="3231"/>
      <c r="D176" s="3231"/>
      <c r="E176" s="3231"/>
      <c r="F176" s="3231">
        <v>2780</v>
      </c>
      <c r="G176" s="3231"/>
    </row>
    <row r="177" spans="1:7" s="3220" customFormat="1" ht="14.25" customHeight="1">
      <c r="A177" s="3231" t="s">
        <v>29</v>
      </c>
      <c r="B177" s="3231" t="s">
        <v>3085</v>
      </c>
      <c r="C177" s="3231"/>
      <c r="D177" s="3231"/>
      <c r="E177" s="3231"/>
      <c r="F177" s="3231">
        <v>2780</v>
      </c>
      <c r="G177" s="3231"/>
    </row>
    <row r="178" spans="1:7" s="3220" customFormat="1" ht="14.25" customHeight="1">
      <c r="A178" s="3231" t="s">
        <v>29</v>
      </c>
      <c r="B178" s="3231" t="s">
        <v>3086</v>
      </c>
      <c r="C178" s="3231"/>
      <c r="D178" s="3231"/>
      <c r="E178" s="3231"/>
      <c r="F178" s="3231">
        <v>2060</v>
      </c>
      <c r="G178" s="3231"/>
    </row>
    <row r="179" spans="1:7" s="3220" customFormat="1" ht="14.25" customHeight="1">
      <c r="A179" s="3231" t="s">
        <v>29</v>
      </c>
      <c r="B179" s="3231" t="s">
        <v>3087</v>
      </c>
      <c r="C179" s="3231"/>
      <c r="D179" s="3231"/>
      <c r="E179" s="3231"/>
      <c r="F179" s="3231">
        <v>2120</v>
      </c>
      <c r="G179" s="3231"/>
    </row>
    <row r="180" spans="1:7" s="3220" customFormat="1" ht="14.25" customHeight="1">
      <c r="A180" s="3231" t="s">
        <v>29</v>
      </c>
      <c r="B180" s="3231" t="s">
        <v>3059</v>
      </c>
      <c r="C180" s="3231"/>
      <c r="D180" s="3231"/>
      <c r="E180" s="3231"/>
      <c r="F180" s="3231">
        <v>2340</v>
      </c>
      <c r="G180" s="3231"/>
    </row>
    <row r="181" spans="1:7" s="3220" customFormat="1" ht="14.25" customHeight="1">
      <c r="A181" s="3231" t="s">
        <v>29</v>
      </c>
      <c r="B181" s="3231" t="s">
        <v>3060</v>
      </c>
      <c r="C181" s="3231"/>
      <c r="D181" s="3231"/>
      <c r="E181" s="3231"/>
      <c r="F181" s="3231">
        <v>2340</v>
      </c>
      <c r="G181" s="3231"/>
    </row>
    <row r="182" spans="1:7" s="3220" customFormat="1" ht="14.25" customHeight="1">
      <c r="A182" s="3231" t="s">
        <v>29</v>
      </c>
      <c r="B182" s="3231" t="s">
        <v>3061</v>
      </c>
      <c r="C182" s="3231"/>
      <c r="D182" s="3231"/>
      <c r="E182" s="3231"/>
      <c r="F182" s="3231">
        <v>2340</v>
      </c>
      <c r="G182" s="3231"/>
    </row>
    <row r="183" spans="1:7" s="3220" customFormat="1" ht="14.25" customHeight="1">
      <c r="A183" s="3231" t="s">
        <v>29</v>
      </c>
      <c r="B183" s="3231" t="s">
        <v>3062</v>
      </c>
      <c r="C183" s="3231"/>
      <c r="D183" s="3231"/>
      <c r="E183" s="3231"/>
      <c r="F183" s="3231">
        <v>2340</v>
      </c>
      <c r="G183" s="3231"/>
    </row>
    <row r="184" spans="1:7" s="3220" customFormat="1" ht="14.25" customHeight="1">
      <c r="A184" s="3231" t="s">
        <v>29</v>
      </c>
      <c r="B184" s="3231" t="s">
        <v>3063</v>
      </c>
      <c r="C184" s="3231"/>
      <c r="D184" s="3231"/>
      <c r="E184" s="3231"/>
      <c r="F184" s="3231">
        <v>2340</v>
      </c>
      <c r="G184" s="3231"/>
    </row>
    <row r="185" spans="1:7" s="3220" customFormat="1" ht="14.25" customHeight="1">
      <c r="A185" s="3231" t="s">
        <v>29</v>
      </c>
      <c r="B185" s="3231" t="s">
        <v>3064</v>
      </c>
      <c r="C185" s="3231"/>
      <c r="D185" s="3231"/>
      <c r="E185" s="3231"/>
      <c r="F185" s="3231">
        <v>2530</v>
      </c>
      <c r="G185" s="3231"/>
    </row>
    <row r="186" spans="1:7" s="3220" customFormat="1" ht="14.25" customHeight="1">
      <c r="A186" s="3231" t="s">
        <v>29</v>
      </c>
      <c r="B186" s="3231" t="s">
        <v>3065</v>
      </c>
      <c r="C186" s="3231"/>
      <c r="D186" s="3231"/>
      <c r="E186" s="3231"/>
      <c r="F186" s="3231">
        <v>2550</v>
      </c>
      <c r="G186" s="3231"/>
    </row>
    <row r="187" spans="1:7" s="3220" customFormat="1" ht="14.25" customHeight="1">
      <c r="A187" s="3231" t="s">
        <v>29</v>
      </c>
      <c r="B187" s="3231" t="s">
        <v>3066</v>
      </c>
      <c r="C187" s="3231"/>
      <c r="D187" s="3231"/>
      <c r="E187" s="3231"/>
      <c r="F187" s="3231">
        <v>2070</v>
      </c>
      <c r="G187" s="3231"/>
    </row>
    <row r="188" spans="1:7" s="3220" customFormat="1" ht="14.25" customHeight="1">
      <c r="A188" s="3231" t="s">
        <v>29</v>
      </c>
      <c r="B188" s="3231" t="s">
        <v>3067</v>
      </c>
      <c r="C188" s="3231"/>
      <c r="D188" s="3231"/>
      <c r="E188" s="3231"/>
      <c r="F188" s="3231">
        <v>2340</v>
      </c>
      <c r="G188" s="3231"/>
    </row>
    <row r="189" spans="1:7" s="3220" customFormat="1" ht="14.25" customHeight="1" thickBot="1">
      <c r="A189" s="3239" t="s">
        <v>29</v>
      </c>
      <c r="B189" s="3242" t="s">
        <v>3068</v>
      </c>
      <c r="C189" s="3242"/>
      <c r="D189" s="3242"/>
      <c r="E189" s="3242"/>
      <c r="F189" s="3242">
        <v>2050</v>
      </c>
      <c r="G189" s="3242"/>
    </row>
    <row r="190" spans="1:7" s="3220" customFormat="1" ht="14.25" customHeight="1">
      <c r="A190" s="3236" t="s">
        <v>304</v>
      </c>
      <c r="B190" s="3227" t="s">
        <v>3088</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3089</v>
      </c>
      <c r="C199" s="3231">
        <v>8690</v>
      </c>
      <c r="D199" s="3231">
        <v>8630</v>
      </c>
      <c r="E199" s="3231">
        <v>11350</v>
      </c>
      <c r="F199" s="3231">
        <v>1600</v>
      </c>
      <c r="G199" s="3244">
        <v>5450</v>
      </c>
    </row>
    <row r="200" spans="1:7" s="3220" customFormat="1" ht="14.25" customHeight="1">
      <c r="A200" s="3231" t="s">
        <v>304</v>
      </c>
      <c r="B200" s="3231" t="s">
        <v>2900</v>
      </c>
      <c r="C200" s="3231"/>
      <c r="D200" s="3231"/>
      <c r="E200" s="3231"/>
      <c r="F200" s="3231">
        <v>1510</v>
      </c>
      <c r="G200" s="3244"/>
    </row>
    <row r="201" spans="1:7" s="3220" customFormat="1" ht="14.25" customHeight="1">
      <c r="A201" s="3231" t="s">
        <v>304</v>
      </c>
      <c r="B201" s="3231" t="s">
        <v>3090</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3091</v>
      </c>
      <c r="C203" s="3231">
        <v>8130</v>
      </c>
      <c r="D203" s="3231">
        <v>8070</v>
      </c>
      <c r="E203" s="3231">
        <v>10820</v>
      </c>
      <c r="F203" s="3231">
        <v>1690</v>
      </c>
      <c r="G203" s="3244">
        <v>5100</v>
      </c>
    </row>
    <row r="204" spans="1:7" s="3220" customFormat="1" ht="14.25" customHeight="1">
      <c r="A204" s="3231" t="s">
        <v>304</v>
      </c>
      <c r="B204" s="3231" t="s">
        <v>2911</v>
      </c>
      <c r="C204" s="3231">
        <v>8350</v>
      </c>
      <c r="D204" s="3231">
        <v>8290</v>
      </c>
      <c r="E204" s="3231">
        <v>11080</v>
      </c>
      <c r="F204" s="3231">
        <v>1450</v>
      </c>
      <c r="G204" s="3244">
        <v>5240</v>
      </c>
    </row>
    <row r="205" spans="1:7" s="3220" customFormat="1" ht="14.25" customHeight="1">
      <c r="A205" s="3231" t="s">
        <v>304</v>
      </c>
      <c r="B205" s="3231" t="s">
        <v>2913</v>
      </c>
      <c r="C205" s="3231">
        <v>7190</v>
      </c>
      <c r="D205" s="3231">
        <v>7130</v>
      </c>
      <c r="E205" s="3231">
        <v>9490</v>
      </c>
      <c r="F205" s="3231">
        <v>1470</v>
      </c>
      <c r="G205" s="3244">
        <v>4510</v>
      </c>
    </row>
    <row r="206" spans="1:7" s="3220" customFormat="1" ht="14.25" customHeight="1">
      <c r="A206" s="3231" t="s">
        <v>304</v>
      </c>
      <c r="B206" s="3231" t="s">
        <v>2916</v>
      </c>
      <c r="C206" s="3231">
        <v>7000</v>
      </c>
      <c r="D206" s="3231">
        <v>6950</v>
      </c>
      <c r="E206" s="3231">
        <v>9170</v>
      </c>
      <c r="F206" s="3231">
        <v>1400</v>
      </c>
      <c r="G206" s="3244">
        <v>4380</v>
      </c>
    </row>
    <row r="207" spans="1:7" s="3220" customFormat="1" ht="14.25" customHeight="1">
      <c r="A207" s="3231" t="s">
        <v>304</v>
      </c>
      <c r="B207" s="3231" t="s">
        <v>2918</v>
      </c>
      <c r="C207" s="3231">
        <v>6950</v>
      </c>
      <c r="D207" s="3231">
        <v>6900</v>
      </c>
      <c r="E207" s="3231">
        <v>9110</v>
      </c>
      <c r="F207" s="3231">
        <v>1790</v>
      </c>
      <c r="G207" s="3244">
        <v>4360</v>
      </c>
    </row>
    <row r="208" spans="1:7" s="3220" customFormat="1" ht="14.25" customHeight="1">
      <c r="A208" s="3231" t="s">
        <v>304</v>
      </c>
      <c r="B208" s="3231" t="s">
        <v>3092</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2928</v>
      </c>
      <c r="C210" s="3231">
        <v>8710</v>
      </c>
      <c r="D210" s="3231">
        <v>8660</v>
      </c>
      <c r="E210" s="3231">
        <v>11440</v>
      </c>
      <c r="F210" s="3231">
        <v>1740</v>
      </c>
      <c r="G210" s="3244">
        <v>5470</v>
      </c>
    </row>
    <row r="211" spans="1:7" s="3220" customFormat="1" ht="14.25" customHeight="1">
      <c r="A211" s="3231" t="s">
        <v>304</v>
      </c>
      <c r="B211" s="3231" t="s">
        <v>3093</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3094</v>
      </c>
      <c r="C214" s="3231">
        <v>8090</v>
      </c>
      <c r="D214" s="3231">
        <v>8030</v>
      </c>
      <c r="E214" s="3231">
        <v>10780</v>
      </c>
      <c r="F214" s="3231">
        <v>1570</v>
      </c>
      <c r="G214" s="3244">
        <v>5070</v>
      </c>
    </row>
    <row r="215" spans="1:7" s="3220" customFormat="1" ht="14.25" customHeight="1">
      <c r="A215" s="3231" t="s">
        <v>304</v>
      </c>
      <c r="B215" s="3231" t="s">
        <v>3095</v>
      </c>
      <c r="C215" s="3231">
        <v>7950</v>
      </c>
      <c r="D215" s="3231">
        <v>7900</v>
      </c>
      <c r="E215" s="3231">
        <v>10560</v>
      </c>
      <c r="F215" s="3231">
        <v>1630</v>
      </c>
      <c r="G215" s="3244">
        <v>4990</v>
      </c>
    </row>
    <row r="216" spans="1:7" s="3220" customFormat="1" ht="14.25" customHeight="1">
      <c r="A216" s="3231" t="s">
        <v>304</v>
      </c>
      <c r="B216" s="3231" t="s">
        <v>3096</v>
      </c>
      <c r="C216" s="3231">
        <v>8490</v>
      </c>
      <c r="D216" s="3231">
        <v>8440</v>
      </c>
      <c r="E216" s="3231">
        <v>11260</v>
      </c>
      <c r="F216" s="3231">
        <v>1690</v>
      </c>
      <c r="G216" s="3244">
        <v>5330</v>
      </c>
    </row>
    <row r="217" spans="1:7" s="3220" customFormat="1" ht="14.25" customHeight="1">
      <c r="A217" s="3231" t="s">
        <v>304</v>
      </c>
      <c r="B217" s="3231" t="s">
        <v>2961</v>
      </c>
      <c r="C217" s="3231">
        <v>8200</v>
      </c>
      <c r="D217" s="3231">
        <v>8150</v>
      </c>
      <c r="E217" s="3231">
        <v>10910</v>
      </c>
      <c r="F217" s="3231">
        <v>1670</v>
      </c>
      <c r="G217" s="3244">
        <v>5150</v>
      </c>
    </row>
    <row r="218" spans="1:7" s="3220" customFormat="1" ht="14.25" customHeight="1">
      <c r="A218" s="3231" t="s">
        <v>304</v>
      </c>
      <c r="B218" s="3231" t="s">
        <v>3097</v>
      </c>
      <c r="C218" s="3231"/>
      <c r="D218" s="3231"/>
      <c r="E218" s="3231"/>
      <c r="F218" s="3231">
        <v>2040</v>
      </c>
      <c r="G218" s="3244"/>
    </row>
    <row r="219" spans="1:7" s="3220" customFormat="1" ht="14.25" customHeight="1">
      <c r="A219" s="3231" t="s">
        <v>304</v>
      </c>
      <c r="B219" s="3231" t="s">
        <v>3098</v>
      </c>
      <c r="C219" s="3231"/>
      <c r="D219" s="3231"/>
      <c r="E219" s="3231"/>
      <c r="F219" s="3231">
        <v>2040</v>
      </c>
      <c r="G219" s="3244"/>
    </row>
    <row r="220" spans="1:7" s="3220" customFormat="1" ht="14.25" customHeight="1">
      <c r="A220" s="3231" t="s">
        <v>304</v>
      </c>
      <c r="B220" s="3231" t="s">
        <v>3099</v>
      </c>
      <c r="C220" s="3231"/>
      <c r="D220" s="3231"/>
      <c r="E220" s="3231"/>
      <c r="F220" s="3231">
        <v>2040</v>
      </c>
      <c r="G220" s="3244"/>
    </row>
    <row r="221" spans="1:7" s="3220" customFormat="1" ht="14.25" customHeight="1">
      <c r="A221" s="3231" t="s">
        <v>304</v>
      </c>
      <c r="B221" s="3231" t="s">
        <v>3100</v>
      </c>
      <c r="C221" s="3231"/>
      <c r="D221" s="3231"/>
      <c r="E221" s="3231"/>
      <c r="F221" s="3231">
        <v>2040</v>
      </c>
      <c r="G221" s="3244"/>
    </row>
    <row r="222" spans="1:7" s="3220" customFormat="1" ht="14.25" customHeight="1">
      <c r="A222" s="3231" t="s">
        <v>304</v>
      </c>
      <c r="B222" s="3231" t="s">
        <v>3101</v>
      </c>
      <c r="C222" s="3231"/>
      <c r="D222" s="3231"/>
      <c r="E222" s="3231"/>
      <c r="F222" s="3231">
        <v>2040</v>
      </c>
      <c r="G222" s="3244"/>
    </row>
    <row r="223" spans="1:7" s="3220" customFormat="1" ht="14.25" customHeight="1">
      <c r="A223" s="3231" t="s">
        <v>304</v>
      </c>
      <c r="B223" s="3231" t="s">
        <v>3102</v>
      </c>
      <c r="C223" s="3231"/>
      <c r="D223" s="3231"/>
      <c r="E223" s="3231"/>
      <c r="F223" s="3231">
        <v>1930</v>
      </c>
      <c r="G223" s="3244"/>
    </row>
    <row r="224" spans="1:7" s="3220" customFormat="1" ht="14.25" customHeight="1">
      <c r="A224" s="3231" t="s">
        <v>304</v>
      </c>
      <c r="B224" s="3231" t="s">
        <v>3103</v>
      </c>
      <c r="C224" s="3231"/>
      <c r="D224" s="3231"/>
      <c r="E224" s="3231"/>
      <c r="F224" s="3231">
        <v>1930</v>
      </c>
      <c r="G224" s="3244"/>
    </row>
    <row r="225" spans="1:7" s="3220" customFormat="1" ht="14.25" customHeight="1">
      <c r="A225" s="3231" t="s">
        <v>304</v>
      </c>
      <c r="B225" s="3231" t="s">
        <v>3104</v>
      </c>
      <c r="C225" s="3231"/>
      <c r="D225" s="3231"/>
      <c r="E225" s="3231"/>
      <c r="F225" s="3231">
        <v>1930</v>
      </c>
      <c r="G225" s="3244"/>
    </row>
    <row r="226" spans="1:7" s="3220" customFormat="1" ht="14.25" customHeight="1">
      <c r="A226" s="3231" t="s">
        <v>304</v>
      </c>
      <c r="B226" s="3231" t="s">
        <v>3105</v>
      </c>
      <c r="C226" s="3231"/>
      <c r="D226" s="3231"/>
      <c r="E226" s="3231"/>
      <c r="F226" s="3231">
        <v>1700</v>
      </c>
      <c r="G226" s="3244"/>
    </row>
    <row r="227" spans="1:7" s="3220" customFormat="1" ht="14.25" customHeight="1">
      <c r="A227" s="3231" t="s">
        <v>304</v>
      </c>
      <c r="B227" s="3231" t="s">
        <v>3106</v>
      </c>
      <c r="C227" s="3231"/>
      <c r="D227" s="3231"/>
      <c r="E227" s="3231"/>
      <c r="F227" s="3231">
        <v>1520</v>
      </c>
      <c r="G227" s="3244"/>
    </row>
    <row r="228" spans="1:7" s="3220" customFormat="1" ht="14.25" customHeight="1">
      <c r="A228" s="3231" t="s">
        <v>304</v>
      </c>
      <c r="B228" s="3231" t="s">
        <v>3107</v>
      </c>
      <c r="C228" s="3231"/>
      <c r="D228" s="3231"/>
      <c r="E228" s="3231"/>
      <c r="F228" s="3231">
        <v>1520</v>
      </c>
      <c r="G228" s="3244"/>
    </row>
    <row r="229" spans="1:7" s="3220" customFormat="1" ht="14.25" customHeight="1">
      <c r="A229" s="3231" t="s">
        <v>304</v>
      </c>
      <c r="B229" s="3231" t="s">
        <v>3024</v>
      </c>
      <c r="C229" s="3231"/>
      <c r="D229" s="3231"/>
      <c r="E229" s="3231"/>
      <c r="F229" s="3231">
        <v>1520</v>
      </c>
      <c r="G229" s="3244"/>
    </row>
    <row r="230" spans="1:7" s="3220" customFormat="1" ht="14.25" customHeight="1">
      <c r="A230" s="3231" t="s">
        <v>304</v>
      </c>
      <c r="B230" s="3231" t="s">
        <v>3108</v>
      </c>
      <c r="C230" s="3231"/>
      <c r="D230" s="3231"/>
      <c r="E230" s="3231"/>
      <c r="F230" s="3231">
        <v>1820</v>
      </c>
      <c r="G230" s="3244"/>
    </row>
    <row r="231" spans="1:7" s="3220" customFormat="1" ht="14.25" customHeight="1">
      <c r="A231" s="3231" t="s">
        <v>304</v>
      </c>
      <c r="B231" s="3231" t="s">
        <v>3109</v>
      </c>
      <c r="C231" s="3231"/>
      <c r="D231" s="3231"/>
      <c r="E231" s="3231"/>
      <c r="F231" s="3231">
        <v>1760</v>
      </c>
      <c r="G231" s="3244"/>
    </row>
    <row r="232" spans="1:7" s="3220" customFormat="1" ht="14.25" customHeight="1">
      <c r="A232" s="3231" t="s">
        <v>304</v>
      </c>
      <c r="B232" s="3231" t="s">
        <v>3110</v>
      </c>
      <c r="C232" s="3231"/>
      <c r="D232" s="3231"/>
      <c r="E232" s="3231"/>
      <c r="F232" s="3231">
        <v>1840</v>
      </c>
      <c r="G232" s="3244"/>
    </row>
    <row r="233" spans="1:7" s="3220" customFormat="1" ht="14.25" customHeight="1" thickBot="1">
      <c r="A233" s="3245" t="s">
        <v>304</v>
      </c>
      <c r="B233" s="3238" t="s">
        <v>3041</v>
      </c>
      <c r="C233" s="3238"/>
      <c r="D233" s="3238"/>
      <c r="E233" s="3238"/>
      <c r="F233" s="3238">
        <v>1770</v>
      </c>
      <c r="G233" s="3246"/>
    </row>
    <row r="234" spans="1:7" s="3220" customFormat="1" ht="14.25" customHeight="1">
      <c r="A234" s="3236" t="s">
        <v>305</v>
      </c>
      <c r="B234" s="3227" t="s">
        <v>3111</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2882</v>
      </c>
      <c r="C238" s="3231">
        <v>6920</v>
      </c>
      <c r="D238" s="3231">
        <v>6890</v>
      </c>
      <c r="E238" s="3231">
        <v>8640</v>
      </c>
      <c r="F238" s="3231">
        <v>1310</v>
      </c>
      <c r="G238" s="3231">
        <v>4230</v>
      </c>
    </row>
    <row r="239" spans="1:7" s="3220" customFormat="1" ht="14.25" customHeight="1">
      <c r="A239" s="3231" t="s">
        <v>305</v>
      </c>
      <c r="B239" s="3231" t="s">
        <v>3112</v>
      </c>
      <c r="C239" s="3231">
        <v>6780</v>
      </c>
      <c r="D239" s="3231">
        <v>6750</v>
      </c>
      <c r="E239" s="3231">
        <v>8440</v>
      </c>
      <c r="F239" s="3231">
        <v>1160</v>
      </c>
      <c r="G239" s="3231">
        <v>4140</v>
      </c>
    </row>
    <row r="240" spans="1:7" s="3220" customFormat="1" ht="14.25" customHeight="1">
      <c r="A240" s="3231" t="s">
        <v>305</v>
      </c>
      <c r="B240" s="3231" t="s">
        <v>3113</v>
      </c>
      <c r="C240" s="3231">
        <v>5420</v>
      </c>
      <c r="D240" s="3231">
        <v>5380</v>
      </c>
      <c r="E240" s="3231">
        <v>6640</v>
      </c>
      <c r="F240" s="3231">
        <v>1020</v>
      </c>
      <c r="G240" s="3231">
        <v>3300</v>
      </c>
    </row>
    <row r="241" spans="1:7" s="3220" customFormat="1" ht="14.25" customHeight="1">
      <c r="A241" s="3231" t="s">
        <v>305</v>
      </c>
      <c r="B241" s="3231" t="s">
        <v>3114</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3115</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3116</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3117</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3118</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3119</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2944</v>
      </c>
      <c r="C258" s="3231">
        <v>6190</v>
      </c>
      <c r="D258" s="3231">
        <v>6160</v>
      </c>
      <c r="E258" s="3231">
        <v>7680</v>
      </c>
      <c r="F258" s="3231">
        <v>1170</v>
      </c>
      <c r="G258" s="3231">
        <v>3780</v>
      </c>
    </row>
    <row r="259" spans="1:7" s="3220" customFormat="1" ht="14.25" customHeight="1">
      <c r="A259" s="3231" t="s">
        <v>305</v>
      </c>
      <c r="B259" s="3231" t="s">
        <v>3120</v>
      </c>
      <c r="C259" s="3231">
        <v>7610</v>
      </c>
      <c r="D259" s="3231">
        <v>7570</v>
      </c>
      <c r="E259" s="3231">
        <v>9350</v>
      </c>
      <c r="F259" s="3231">
        <v>1350</v>
      </c>
      <c r="G259" s="3231">
        <v>4650</v>
      </c>
    </row>
    <row r="260" spans="1:7" s="3220" customFormat="1" ht="14.25" customHeight="1">
      <c r="A260" s="3231" t="s">
        <v>305</v>
      </c>
      <c r="B260" s="3231" t="s">
        <v>3121</v>
      </c>
      <c r="C260" s="3231">
        <v>6920</v>
      </c>
      <c r="D260" s="3231">
        <v>6880</v>
      </c>
      <c r="E260" s="3231">
        <v>8380</v>
      </c>
      <c r="F260" s="3231">
        <v>1160</v>
      </c>
      <c r="G260" s="3231">
        <v>4220</v>
      </c>
    </row>
    <row r="261" spans="1:7" s="3220" customFormat="1" ht="14.25" customHeight="1">
      <c r="A261" s="3231" t="s">
        <v>305</v>
      </c>
      <c r="B261" s="3231" t="s">
        <v>3122</v>
      </c>
      <c r="C261" s="3231">
        <v>6850</v>
      </c>
      <c r="D261" s="3231">
        <v>6810</v>
      </c>
      <c r="E261" s="3231">
        <v>8290</v>
      </c>
      <c r="F261" s="3231">
        <v>1130</v>
      </c>
      <c r="G261" s="3231">
        <v>4180</v>
      </c>
    </row>
    <row r="262" spans="1:7" s="3220" customFormat="1" ht="14.25" customHeight="1">
      <c r="A262" s="3231" t="s">
        <v>305</v>
      </c>
      <c r="B262" s="3231" t="s">
        <v>3123</v>
      </c>
      <c r="C262" s="3231">
        <v>5860</v>
      </c>
      <c r="D262" s="3231">
        <v>5820</v>
      </c>
      <c r="E262" s="3231">
        <v>7640</v>
      </c>
      <c r="F262" s="3231">
        <v>1070</v>
      </c>
      <c r="G262" s="3231">
        <v>3570</v>
      </c>
    </row>
    <row r="263" spans="1:7" s="3220" customFormat="1" ht="14.25" customHeight="1">
      <c r="A263" s="3231" t="s">
        <v>305</v>
      </c>
      <c r="B263" s="3231" t="s">
        <v>3124</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3125</v>
      </c>
      <c r="C265" s="3231"/>
      <c r="D265" s="3231"/>
      <c r="E265" s="3231"/>
      <c r="F265" s="3231">
        <v>1500</v>
      </c>
      <c r="G265" s="3231"/>
    </row>
    <row r="266" spans="1:7" s="3220" customFormat="1" ht="14.25" customHeight="1">
      <c r="A266" s="3231" t="s">
        <v>305</v>
      </c>
      <c r="B266" s="3231" t="s">
        <v>3126</v>
      </c>
      <c r="C266" s="3231"/>
      <c r="D266" s="3231"/>
      <c r="E266" s="3231"/>
      <c r="F266" s="3231">
        <v>1500</v>
      </c>
      <c r="G266" s="3231"/>
    </row>
    <row r="267" spans="1:7" s="3220" customFormat="1" ht="14.25" customHeight="1">
      <c r="A267" s="3231" t="s">
        <v>305</v>
      </c>
      <c r="B267" s="3231" t="s">
        <v>3127</v>
      </c>
      <c r="C267" s="3231"/>
      <c r="D267" s="3231"/>
      <c r="E267" s="3231"/>
      <c r="F267" s="3231">
        <v>1500</v>
      </c>
      <c r="G267" s="3231"/>
    </row>
    <row r="268" spans="1:7" s="3220" customFormat="1" ht="14.25" customHeight="1">
      <c r="A268" s="3231" t="s">
        <v>305</v>
      </c>
      <c r="B268" s="3231" t="s">
        <v>3128</v>
      </c>
      <c r="C268" s="3231"/>
      <c r="D268" s="3231"/>
      <c r="E268" s="3231"/>
      <c r="F268" s="3231">
        <v>1290</v>
      </c>
      <c r="G268" s="3231"/>
    </row>
    <row r="269" spans="1:7" s="3220" customFormat="1" ht="14.25" customHeight="1">
      <c r="A269" s="3231" t="s">
        <v>305</v>
      </c>
      <c r="B269" s="3231" t="s">
        <v>3129</v>
      </c>
      <c r="C269" s="3231"/>
      <c r="D269" s="3231"/>
      <c r="E269" s="3231"/>
      <c r="F269" s="3231">
        <v>1150</v>
      </c>
      <c r="G269" s="3231"/>
    </row>
    <row r="270" spans="1:7" s="3220" customFormat="1" ht="14.25" customHeight="1">
      <c r="A270" s="3231" t="s">
        <v>305</v>
      </c>
      <c r="B270" s="3231" t="s">
        <v>3130</v>
      </c>
      <c r="C270" s="3231"/>
      <c r="D270" s="3231"/>
      <c r="E270" s="3231"/>
      <c r="F270" s="3231">
        <v>1380</v>
      </c>
      <c r="G270" s="3231"/>
    </row>
    <row r="271" spans="1:7" s="3220" customFormat="1" ht="14.25" customHeight="1">
      <c r="A271" s="3231" t="s">
        <v>305</v>
      </c>
      <c r="B271" s="3231" t="s">
        <v>3131</v>
      </c>
      <c r="C271" s="3231"/>
      <c r="D271" s="3231"/>
      <c r="E271" s="3231"/>
      <c r="F271" s="3231">
        <v>1460</v>
      </c>
      <c r="G271" s="3231"/>
    </row>
    <row r="272" spans="1:7" s="3220" customFormat="1" ht="14.25" customHeight="1">
      <c r="A272" s="3231" t="s">
        <v>305</v>
      </c>
      <c r="B272" s="3231" t="s">
        <v>3132</v>
      </c>
      <c r="C272" s="3231"/>
      <c r="D272" s="3231"/>
      <c r="E272" s="3231"/>
      <c r="F272" s="3231">
        <v>1460</v>
      </c>
      <c r="G272" s="3231"/>
    </row>
    <row r="273" spans="1:7" s="3220" customFormat="1" ht="14.25" customHeight="1">
      <c r="A273" s="3231" t="s">
        <v>305</v>
      </c>
      <c r="B273" s="3231" t="s">
        <v>3025</v>
      </c>
      <c r="C273" s="3231"/>
      <c r="D273" s="3231"/>
      <c r="E273" s="3231"/>
      <c r="F273" s="3231">
        <v>1490</v>
      </c>
      <c r="G273" s="3231"/>
    </row>
    <row r="274" spans="1:7" s="3220" customFormat="1" ht="14.25" customHeight="1">
      <c r="A274" s="3231" t="s">
        <v>305</v>
      </c>
      <c r="B274" s="3231" t="s">
        <v>3133</v>
      </c>
      <c r="C274" s="3231"/>
      <c r="D274" s="3231"/>
      <c r="E274" s="3231"/>
      <c r="F274" s="3231">
        <v>1490</v>
      </c>
      <c r="G274" s="3231"/>
    </row>
    <row r="275" spans="1:7" s="3220" customFormat="1" ht="14.25" customHeight="1">
      <c r="A275" s="3231" t="s">
        <v>305</v>
      </c>
      <c r="B275" s="3231" t="s">
        <v>3134</v>
      </c>
      <c r="C275" s="3231"/>
      <c r="D275" s="3231"/>
      <c r="E275" s="3231"/>
      <c r="F275" s="3231">
        <v>1220</v>
      </c>
      <c r="G275" s="3231"/>
    </row>
    <row r="276" spans="1:7" s="3220" customFormat="1" ht="14.25" customHeight="1" thickBot="1">
      <c r="A276" s="3239" t="s">
        <v>305</v>
      </c>
      <c r="B276" s="3241" t="s">
        <v>3135</v>
      </c>
      <c r="C276" s="3242"/>
      <c r="D276" s="3242"/>
      <c r="E276" s="3242"/>
      <c r="F276" s="3242">
        <v>1380</v>
      </c>
      <c r="G276" s="3242"/>
    </row>
    <row r="277" spans="1:7" s="3220" customFormat="1" ht="14.25" customHeight="1">
      <c r="A277" s="3236" t="s">
        <v>306</v>
      </c>
      <c r="B277" s="3227" t="s">
        <v>3136</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3137</v>
      </c>
      <c r="C279" s="3231">
        <v>4760</v>
      </c>
      <c r="D279" s="3231">
        <v>4720</v>
      </c>
      <c r="E279" s="3231">
        <v>5540</v>
      </c>
      <c r="F279" s="3231">
        <v>810</v>
      </c>
      <c r="G279" s="3244">
        <v>2850</v>
      </c>
    </row>
    <row r="280" spans="1:7" s="3220" customFormat="1" ht="14.25" customHeight="1">
      <c r="A280" s="3231" t="s">
        <v>306</v>
      </c>
      <c r="B280" s="3231" t="s">
        <v>3138</v>
      </c>
      <c r="C280" s="3231">
        <v>4010</v>
      </c>
      <c r="D280" s="3231">
        <v>3950</v>
      </c>
      <c r="E280" s="3231">
        <v>4710</v>
      </c>
      <c r="F280" s="3231">
        <v>800</v>
      </c>
      <c r="G280" s="3244">
        <v>2390</v>
      </c>
    </row>
    <row r="281" spans="1:7" s="3220" customFormat="1" ht="14.25" customHeight="1">
      <c r="A281" s="3231" t="s">
        <v>306</v>
      </c>
      <c r="B281" s="3231" t="s">
        <v>3139</v>
      </c>
      <c r="C281" s="3231">
        <v>4480</v>
      </c>
      <c r="D281" s="3231">
        <v>4420</v>
      </c>
      <c r="E281" s="3231">
        <v>5230</v>
      </c>
      <c r="F281" s="3231">
        <v>870</v>
      </c>
      <c r="G281" s="3244">
        <v>2660</v>
      </c>
    </row>
    <row r="282" spans="1:7" s="3220" customFormat="1" ht="14.25" customHeight="1">
      <c r="A282" s="3231" t="s">
        <v>306</v>
      </c>
      <c r="B282" s="3231" t="s">
        <v>3140</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3141</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3142</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2917</v>
      </c>
      <c r="C293" s="3231">
        <v>5320</v>
      </c>
      <c r="D293" s="3231">
        <v>5270</v>
      </c>
      <c r="E293" s="3231">
        <v>6160</v>
      </c>
      <c r="F293" s="3231">
        <v>990</v>
      </c>
      <c r="G293" s="3244">
        <v>3170</v>
      </c>
    </row>
    <row r="294" spans="1:7" s="3220" customFormat="1" ht="14.25" customHeight="1">
      <c r="A294" s="3231" t="s">
        <v>306</v>
      </c>
      <c r="B294" s="3231" t="s">
        <v>3143</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2936</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3144</v>
      </c>
      <c r="C302" s="3231">
        <v>5520</v>
      </c>
      <c r="D302" s="3231">
        <v>5470</v>
      </c>
      <c r="E302" s="3231">
        <v>6410</v>
      </c>
      <c r="F302" s="3231">
        <v>950</v>
      </c>
      <c r="G302" s="3244">
        <v>3300</v>
      </c>
    </row>
    <row r="303" spans="1:7" s="3220" customFormat="1" ht="14.25" customHeight="1">
      <c r="A303" s="3231" t="s">
        <v>306</v>
      </c>
      <c r="B303" s="3231" t="s">
        <v>2956</v>
      </c>
      <c r="C303" s="3231">
        <v>5630</v>
      </c>
      <c r="D303" s="3231">
        <v>5590</v>
      </c>
      <c r="E303" s="3231">
        <v>6550</v>
      </c>
      <c r="F303" s="3231">
        <v>1010</v>
      </c>
      <c r="G303" s="3244">
        <v>3370</v>
      </c>
    </row>
    <row r="304" spans="1:7" s="3220" customFormat="1" ht="14.25" customHeight="1">
      <c r="A304" s="3231" t="s">
        <v>306</v>
      </c>
      <c r="B304" s="3231" t="s">
        <v>2963</v>
      </c>
      <c r="C304" s="3231">
        <v>5680</v>
      </c>
      <c r="D304" s="3231">
        <v>5620</v>
      </c>
      <c r="E304" s="3231">
        <v>6620</v>
      </c>
      <c r="F304" s="3231">
        <v>1050</v>
      </c>
      <c r="G304" s="3244">
        <v>3390</v>
      </c>
    </row>
    <row r="305" spans="1:7" s="3220" customFormat="1" ht="14.25" customHeight="1">
      <c r="A305" s="3231" t="s">
        <v>306</v>
      </c>
      <c r="B305" s="3231" t="s">
        <v>2969</v>
      </c>
      <c r="C305" s="3231">
        <v>5590</v>
      </c>
      <c r="D305" s="3231">
        <v>5530</v>
      </c>
      <c r="E305" s="3231">
        <v>6460</v>
      </c>
      <c r="F305" s="3231">
        <v>900</v>
      </c>
      <c r="G305" s="3244">
        <v>3340</v>
      </c>
    </row>
    <row r="306" spans="1:7" s="3220" customFormat="1" ht="14.25" customHeight="1">
      <c r="A306" s="3231" t="s">
        <v>306</v>
      </c>
      <c r="B306" s="3231" t="s">
        <v>3145</v>
      </c>
      <c r="C306" s="3231">
        <v>5560</v>
      </c>
      <c r="D306" s="3231">
        <v>5510</v>
      </c>
      <c r="E306" s="3231">
        <v>6440</v>
      </c>
      <c r="F306" s="3231">
        <v>900</v>
      </c>
      <c r="G306" s="3244">
        <v>3320</v>
      </c>
    </row>
    <row r="307" spans="1:7" s="3220" customFormat="1" ht="14.25" customHeight="1">
      <c r="A307" s="3231" t="s">
        <v>306</v>
      </c>
      <c r="B307" s="3231" t="s">
        <v>2981</v>
      </c>
      <c r="C307" s="3231">
        <v>5650</v>
      </c>
      <c r="D307" s="3231">
        <v>5600</v>
      </c>
      <c r="E307" s="3231">
        <v>6590</v>
      </c>
      <c r="F307" s="3231">
        <v>930</v>
      </c>
      <c r="G307" s="3244">
        <v>3380</v>
      </c>
    </row>
    <row r="308" spans="1:7" s="3220" customFormat="1" ht="14.25" customHeight="1">
      <c r="A308" s="3231" t="s">
        <v>306</v>
      </c>
      <c r="B308" s="3231" t="s">
        <v>3146</v>
      </c>
      <c r="C308" s="3231">
        <v>5620</v>
      </c>
      <c r="D308" s="3231">
        <v>5580</v>
      </c>
      <c r="E308" s="3231">
        <v>6540</v>
      </c>
      <c r="F308" s="3231">
        <v>910</v>
      </c>
      <c r="G308" s="3244">
        <v>3370</v>
      </c>
    </row>
    <row r="309" spans="1:7" s="3220" customFormat="1" ht="14.25" customHeight="1">
      <c r="A309" s="3231" t="s">
        <v>306</v>
      </c>
      <c r="B309" s="3231" t="s">
        <v>3147</v>
      </c>
      <c r="C309" s="3231">
        <v>5060</v>
      </c>
      <c r="D309" s="3231">
        <v>5020</v>
      </c>
      <c r="E309" s="3231">
        <v>6370</v>
      </c>
      <c r="F309" s="3231">
        <v>800</v>
      </c>
      <c r="G309" s="3244">
        <v>3020</v>
      </c>
    </row>
    <row r="310" spans="1:7" s="3220" customFormat="1" ht="14.25" customHeight="1">
      <c r="A310" s="3231" t="s">
        <v>306</v>
      </c>
      <c r="B310" s="3231" t="s">
        <v>2996</v>
      </c>
      <c r="C310" s="3231">
        <v>5150</v>
      </c>
      <c r="D310" s="3231">
        <v>5110</v>
      </c>
      <c r="E310" s="3231">
        <v>6500</v>
      </c>
      <c r="F310" s="3231">
        <v>880</v>
      </c>
      <c r="G310" s="3244">
        <v>3080</v>
      </c>
    </row>
    <row r="311" spans="1:7" s="3220" customFormat="1" ht="14.25" customHeight="1">
      <c r="A311" s="3231" t="s">
        <v>306</v>
      </c>
      <c r="B311" s="3231" t="s">
        <v>3148</v>
      </c>
      <c r="C311" s="3231">
        <v>4750</v>
      </c>
      <c r="D311" s="3231">
        <v>4710</v>
      </c>
      <c r="E311" s="3231">
        <v>5510</v>
      </c>
      <c r="F311" s="3231">
        <v>880</v>
      </c>
      <c r="G311" s="3244">
        <v>2840</v>
      </c>
    </row>
    <row r="312" spans="1:7" s="3220" customFormat="1" ht="14.25" customHeight="1">
      <c r="A312" s="3231" t="s">
        <v>306</v>
      </c>
      <c r="B312" s="3231" t="s">
        <v>3006</v>
      </c>
      <c r="C312" s="3231">
        <v>4690</v>
      </c>
      <c r="D312" s="3231">
        <v>4640</v>
      </c>
      <c r="E312" s="3231">
        <v>5420</v>
      </c>
      <c r="F312" s="3231">
        <v>800</v>
      </c>
      <c r="G312" s="3244">
        <v>2800</v>
      </c>
    </row>
    <row r="313" spans="1:7" s="3220" customFormat="1" ht="14.25" customHeight="1">
      <c r="A313" s="3231" t="s">
        <v>306</v>
      </c>
      <c r="B313" s="3231" t="s">
        <v>3011</v>
      </c>
      <c r="C313" s="3231">
        <v>4810</v>
      </c>
      <c r="D313" s="3231">
        <v>4760</v>
      </c>
      <c r="E313" s="3231">
        <v>5550</v>
      </c>
      <c r="F313" s="3231">
        <v>920</v>
      </c>
      <c r="G313" s="3244">
        <v>2870</v>
      </c>
    </row>
    <row r="314" spans="1:7" s="3220" customFormat="1" ht="14.25" customHeight="1">
      <c r="A314" s="3231" t="s">
        <v>306</v>
      </c>
      <c r="B314" s="3231" t="s">
        <v>3149</v>
      </c>
      <c r="C314" s="3231"/>
      <c r="D314" s="3231"/>
      <c r="E314" s="3231"/>
      <c r="F314" s="3231">
        <v>1020</v>
      </c>
      <c r="G314" s="3244"/>
    </row>
    <row r="315" spans="1:7" s="3220" customFormat="1" ht="14.25" customHeight="1">
      <c r="A315" s="3231" t="s">
        <v>306</v>
      </c>
      <c r="B315" s="3231" t="s">
        <v>3150</v>
      </c>
      <c r="C315" s="3231"/>
      <c r="D315" s="3231"/>
      <c r="E315" s="3231"/>
      <c r="F315" s="3231">
        <v>1050</v>
      </c>
      <c r="G315" s="3244"/>
    </row>
    <row r="316" spans="1:7" s="3220" customFormat="1" ht="14.25" customHeight="1">
      <c r="A316" s="3231" t="s">
        <v>306</v>
      </c>
      <c r="B316" s="3231" t="s">
        <v>3026</v>
      </c>
      <c r="C316" s="3231"/>
      <c r="D316" s="3231"/>
      <c r="E316" s="3231"/>
      <c r="F316" s="3231">
        <v>900</v>
      </c>
      <c r="G316" s="3244"/>
    </row>
    <row r="317" spans="1:7" s="3220" customFormat="1" ht="14.25" customHeight="1">
      <c r="A317" s="3231" t="s">
        <v>306</v>
      </c>
      <c r="B317" s="3231" t="s">
        <v>3151</v>
      </c>
      <c r="C317" s="3231"/>
      <c r="D317" s="3231"/>
      <c r="E317" s="3231"/>
      <c r="F317" s="3231">
        <v>920</v>
      </c>
      <c r="G317" s="3244"/>
    </row>
    <row r="318" spans="1:7" s="3220" customFormat="1" ht="14.25" customHeight="1">
      <c r="A318" s="3231" t="s">
        <v>306</v>
      </c>
      <c r="B318" s="3231" t="s">
        <v>3152</v>
      </c>
      <c r="C318" s="3231"/>
      <c r="D318" s="3231"/>
      <c r="E318" s="3231"/>
      <c r="F318" s="3231">
        <v>1080</v>
      </c>
      <c r="G318" s="3244"/>
    </row>
    <row r="319" spans="1:7" s="3220" customFormat="1" ht="14.25" customHeight="1">
      <c r="A319" s="3231" t="s">
        <v>306</v>
      </c>
      <c r="B319" s="3231" t="s">
        <v>3039</v>
      </c>
      <c r="C319" s="3231"/>
      <c r="D319" s="3231"/>
      <c r="E319" s="3231"/>
      <c r="F319" s="3231">
        <v>1020</v>
      </c>
      <c r="G319" s="3244"/>
    </row>
    <row r="320" spans="1:7" s="3220" customFormat="1" ht="14.25" customHeight="1">
      <c r="A320" s="3231" t="s">
        <v>306</v>
      </c>
      <c r="B320" s="3231" t="s">
        <v>3042</v>
      </c>
      <c r="C320" s="3231"/>
      <c r="D320" s="3231"/>
      <c r="E320" s="3231"/>
      <c r="F320" s="3231">
        <v>1050</v>
      </c>
      <c r="G320" s="3244"/>
    </row>
    <row r="321" spans="1:7" s="3220" customFormat="1" ht="14.25" customHeight="1">
      <c r="A321" s="3231" t="s">
        <v>306</v>
      </c>
      <c r="B321" s="3231" t="s">
        <v>3044</v>
      </c>
      <c r="C321" s="3231"/>
      <c r="D321" s="3231"/>
      <c r="E321" s="3231"/>
      <c r="F321" s="3231">
        <v>960</v>
      </c>
      <c r="G321" s="3244"/>
    </row>
    <row r="322" spans="1:7" s="3220" customFormat="1" ht="14.25" customHeight="1">
      <c r="A322" s="3231" t="s">
        <v>306</v>
      </c>
      <c r="B322" s="3231" t="s">
        <v>3046</v>
      </c>
      <c r="C322" s="3231"/>
      <c r="D322" s="3231"/>
      <c r="E322" s="3231"/>
      <c r="F322" s="3231">
        <v>960</v>
      </c>
      <c r="G322" s="3244"/>
    </row>
    <row r="323" spans="1:7" s="3220" customFormat="1" ht="14.25" customHeight="1">
      <c r="A323" s="3231" t="s">
        <v>306</v>
      </c>
      <c r="B323" s="3231" t="s">
        <v>3048</v>
      </c>
      <c r="C323" s="3231"/>
      <c r="D323" s="3231"/>
      <c r="E323" s="3231"/>
      <c r="F323" s="3231">
        <v>880</v>
      </c>
      <c r="G323" s="3244"/>
    </row>
    <row r="324" spans="1:7" s="3220" customFormat="1" ht="14.25" customHeight="1">
      <c r="A324" s="3231" t="s">
        <v>306</v>
      </c>
      <c r="B324" s="3231" t="s">
        <v>3050</v>
      </c>
      <c r="C324" s="3231"/>
      <c r="D324" s="3231"/>
      <c r="E324" s="3231"/>
      <c r="F324" s="3231">
        <v>930</v>
      </c>
      <c r="G324" s="3244"/>
    </row>
    <row r="325" spans="1:7" s="3220" customFormat="1" ht="14.25" customHeight="1">
      <c r="A325" s="3231" t="s">
        <v>306</v>
      </c>
      <c r="B325" s="3232" t="s">
        <v>3052</v>
      </c>
      <c r="C325" s="3231"/>
      <c r="D325" s="3231"/>
      <c r="E325" s="3231"/>
      <c r="F325" s="3231">
        <v>900</v>
      </c>
      <c r="G325" s="3244"/>
    </row>
    <row r="326" spans="1:7" s="3220" customFormat="1" ht="14.25" customHeight="1" thickBot="1">
      <c r="A326" s="3245" t="s">
        <v>306</v>
      </c>
      <c r="B326" s="3238" t="s">
        <v>3054</v>
      </c>
      <c r="C326" s="3238"/>
      <c r="D326" s="3238"/>
      <c r="E326" s="3238"/>
      <c r="F326" s="3238">
        <v>790</v>
      </c>
      <c r="G326" s="3246"/>
    </row>
    <row r="327" spans="1:7" s="3220" customFormat="1" ht="14.25" customHeight="1">
      <c r="A327" s="3236" t="s">
        <v>307</v>
      </c>
      <c r="B327" s="3227" t="s">
        <v>3153</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3154</v>
      </c>
      <c r="C329" s="3231">
        <v>2730</v>
      </c>
      <c r="D329" s="3231">
        <v>2690</v>
      </c>
      <c r="E329" s="3231">
        <v>3100</v>
      </c>
      <c r="F329" s="3231">
        <v>660</v>
      </c>
      <c r="G329" s="3231">
        <v>1610</v>
      </c>
    </row>
    <row r="330" spans="1:7" s="3220" customFormat="1" ht="14.25" customHeight="1">
      <c r="A330" s="3231" t="s">
        <v>307</v>
      </c>
      <c r="B330" s="3231" t="s">
        <v>3155</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2888</v>
      </c>
      <c r="C332" s="3231">
        <v>3520</v>
      </c>
      <c r="D332" s="3231">
        <v>3480</v>
      </c>
      <c r="E332" s="3231">
        <v>3830</v>
      </c>
      <c r="F332" s="3231">
        <v>720</v>
      </c>
      <c r="G332" s="3231">
        <v>2090</v>
      </c>
    </row>
    <row r="333" spans="1:7" s="3220" customFormat="1" ht="14.25" customHeight="1">
      <c r="A333" s="3231" t="s">
        <v>307</v>
      </c>
      <c r="B333" s="3231" t="s">
        <v>3156</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2898</v>
      </c>
      <c r="C336" s="3231">
        <v>3570</v>
      </c>
      <c r="D336" s="3231">
        <v>3530</v>
      </c>
      <c r="E336" s="3231">
        <v>3880</v>
      </c>
      <c r="F336" s="3231">
        <v>770</v>
      </c>
      <c r="G336" s="3231">
        <v>2110</v>
      </c>
    </row>
    <row r="337" spans="1:10" s="3220" customFormat="1" ht="14.25" customHeight="1">
      <c r="A337" s="3231" t="s">
        <v>307</v>
      </c>
      <c r="B337" s="3231" t="s">
        <v>3157</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3158</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3159</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2923</v>
      </c>
      <c r="C345" s="3231">
        <v>3190</v>
      </c>
      <c r="D345" s="3231">
        <v>3140</v>
      </c>
      <c r="E345" s="3231">
        <v>3450</v>
      </c>
      <c r="F345" s="3231">
        <v>720</v>
      </c>
      <c r="G345" s="3231">
        <v>1880</v>
      </c>
      <c r="J345" s="3220"/>
    </row>
    <row r="346" spans="1:10">
      <c r="A346" s="3231" t="s">
        <v>307</v>
      </c>
      <c r="B346" s="3231" t="s">
        <v>3160</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2932</v>
      </c>
      <c r="C348" s="3231">
        <v>4000</v>
      </c>
      <c r="D348" s="3231">
        <v>3950</v>
      </c>
      <c r="E348" s="3231">
        <v>4430</v>
      </c>
      <c r="F348" s="3231">
        <v>760</v>
      </c>
      <c r="G348" s="3231">
        <v>2360</v>
      </c>
      <c r="J348" s="3220"/>
    </row>
    <row r="349" spans="1:10">
      <c r="A349" s="3231" t="s">
        <v>307</v>
      </c>
      <c r="B349" s="3231" t="s">
        <v>2937</v>
      </c>
      <c r="C349" s="3231">
        <v>3820</v>
      </c>
      <c r="D349" s="3231">
        <v>3780</v>
      </c>
      <c r="E349" s="3231">
        <v>4170</v>
      </c>
      <c r="F349" s="3231">
        <v>710</v>
      </c>
      <c r="G349" s="3231">
        <v>2260</v>
      </c>
      <c r="J349" s="3220"/>
    </row>
    <row r="350" spans="1:10">
      <c r="A350" s="3231" t="s">
        <v>307</v>
      </c>
      <c r="B350" s="3231" t="s">
        <v>3161</v>
      </c>
      <c r="C350" s="3231">
        <v>3760</v>
      </c>
      <c r="D350" s="3231">
        <v>3730</v>
      </c>
      <c r="E350" s="3231">
        <v>4100</v>
      </c>
      <c r="F350" s="3231">
        <v>800</v>
      </c>
      <c r="G350" s="3231">
        <v>2230</v>
      </c>
      <c r="J350" s="3220"/>
    </row>
    <row r="351" spans="1:10">
      <c r="A351" s="3231" t="s">
        <v>307</v>
      </c>
      <c r="B351" s="3231" t="s">
        <v>2945</v>
      </c>
      <c r="C351" s="3231">
        <v>3610</v>
      </c>
      <c r="D351" s="3231">
        <v>3580</v>
      </c>
      <c r="E351" s="3231">
        <v>3930</v>
      </c>
      <c r="F351" s="3231">
        <v>700</v>
      </c>
      <c r="G351" s="3231">
        <v>2140</v>
      </c>
      <c r="J351" s="3220"/>
    </row>
    <row r="352" spans="1:10">
      <c r="A352" s="3231" t="s">
        <v>307</v>
      </c>
      <c r="B352" s="3231" t="s">
        <v>2950</v>
      </c>
      <c r="C352" s="3231">
        <v>3670</v>
      </c>
      <c r="D352" s="3231">
        <v>3630</v>
      </c>
      <c r="E352" s="3231">
        <v>4000</v>
      </c>
      <c r="F352" s="3231">
        <v>750</v>
      </c>
      <c r="G352" s="3231">
        <v>2180</v>
      </c>
    </row>
    <row r="353" spans="1:7" s="3224" customFormat="1">
      <c r="A353" s="3231" t="s">
        <v>307</v>
      </c>
      <c r="B353" s="3231" t="s">
        <v>3162</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2970</v>
      </c>
      <c r="C355" s="3231">
        <v>3650</v>
      </c>
      <c r="D355" s="3231">
        <v>3610</v>
      </c>
      <c r="E355" s="3231">
        <v>4200</v>
      </c>
      <c r="F355" s="3231">
        <v>640</v>
      </c>
      <c r="G355" s="3231">
        <v>2160</v>
      </c>
    </row>
    <row r="356" spans="1:7" s="3224" customFormat="1">
      <c r="A356" s="3231" t="s">
        <v>307</v>
      </c>
      <c r="B356" s="3231" t="s">
        <v>2977</v>
      </c>
      <c r="C356" s="3231">
        <v>3260</v>
      </c>
      <c r="D356" s="3231">
        <v>3230</v>
      </c>
      <c r="E356" s="3231">
        <v>3740</v>
      </c>
      <c r="F356" s="3231">
        <v>600</v>
      </c>
      <c r="G356" s="3231">
        <v>1930</v>
      </c>
    </row>
    <row r="357" spans="1:7" s="3224" customFormat="1" ht="12" thickBot="1">
      <c r="A357" s="3239" t="s">
        <v>307</v>
      </c>
      <c r="B357" s="3242" t="s">
        <v>3163</v>
      </c>
      <c r="C357" s="3242">
        <v>3690</v>
      </c>
      <c r="D357" s="3242">
        <v>3650</v>
      </c>
      <c r="E357" s="3242">
        <v>4020</v>
      </c>
      <c r="F357" s="3242">
        <v>700</v>
      </c>
      <c r="G357" s="3242">
        <v>2190</v>
      </c>
    </row>
    <row r="358" spans="1:7" s="3224" customFormat="1">
      <c r="A358" s="3236" t="s">
        <v>3164</v>
      </c>
      <c r="B358" s="3227" t="s">
        <v>3165</v>
      </c>
      <c r="C358" s="3227">
        <v>2080</v>
      </c>
      <c r="D358" s="3227">
        <v>2040</v>
      </c>
      <c r="E358" s="3227">
        <v>2010</v>
      </c>
      <c r="F358" s="3227">
        <v>530</v>
      </c>
      <c r="G358" s="3243">
        <v>1230</v>
      </c>
    </row>
    <row r="359" spans="1:7" s="3224" customFormat="1">
      <c r="A359" s="3231" t="s">
        <v>3164</v>
      </c>
      <c r="B359" s="3231" t="s">
        <v>3166</v>
      </c>
      <c r="C359" s="3231">
        <v>1850</v>
      </c>
      <c r="D359" s="3231">
        <v>1820</v>
      </c>
      <c r="E359" s="3231">
        <v>1780</v>
      </c>
      <c r="F359" s="3231">
        <v>520</v>
      </c>
      <c r="G359" s="3244">
        <v>1100</v>
      </c>
    </row>
    <row r="360" spans="1:7" s="3224" customFormat="1">
      <c r="A360" s="3231" t="s">
        <v>3164</v>
      </c>
      <c r="B360" s="3231" t="s">
        <v>3167</v>
      </c>
      <c r="C360" s="3231">
        <v>2020</v>
      </c>
      <c r="D360" s="3231">
        <v>1990</v>
      </c>
      <c r="E360" s="3231">
        <v>1950</v>
      </c>
      <c r="F360" s="3231">
        <v>500</v>
      </c>
      <c r="G360" s="3244">
        <v>1200</v>
      </c>
    </row>
    <row r="361" spans="1:7" s="3224" customFormat="1">
      <c r="A361" s="3231" t="s">
        <v>3164</v>
      </c>
      <c r="B361" s="3231" t="s">
        <v>153</v>
      </c>
      <c r="C361" s="3231">
        <v>2260</v>
      </c>
      <c r="D361" s="3231">
        <v>2220</v>
      </c>
      <c r="E361" s="3231">
        <v>2180</v>
      </c>
      <c r="F361" s="3231">
        <v>580</v>
      </c>
      <c r="G361" s="3244">
        <v>1340</v>
      </c>
    </row>
    <row r="362" spans="1:7" s="3224" customFormat="1">
      <c r="A362" s="3231" t="s">
        <v>3164</v>
      </c>
      <c r="B362" s="3231" t="s">
        <v>3168</v>
      </c>
      <c r="C362" s="3231">
        <v>2650</v>
      </c>
      <c r="D362" s="3231">
        <v>2610</v>
      </c>
      <c r="E362" s="3231">
        <v>2570</v>
      </c>
      <c r="F362" s="3231">
        <v>630</v>
      </c>
      <c r="G362" s="3244">
        <v>1570</v>
      </c>
    </row>
    <row r="363" spans="1:7" s="3224" customFormat="1">
      <c r="A363" s="3231" t="s">
        <v>3164</v>
      </c>
      <c r="B363" s="3231" t="s">
        <v>2889</v>
      </c>
      <c r="C363" s="3231">
        <v>2390</v>
      </c>
      <c r="D363" s="3231">
        <v>2360</v>
      </c>
      <c r="E363" s="3231">
        <v>2320</v>
      </c>
      <c r="F363" s="3231">
        <v>600</v>
      </c>
      <c r="G363" s="3244">
        <v>1420</v>
      </c>
    </row>
    <row r="364" spans="1:7" s="3224" customFormat="1">
      <c r="A364" s="3231" t="s">
        <v>3164</v>
      </c>
      <c r="B364" s="3231" t="s">
        <v>3169</v>
      </c>
      <c r="C364" s="3231">
        <v>2050</v>
      </c>
      <c r="D364" s="3231">
        <v>2030</v>
      </c>
      <c r="E364" s="3231">
        <v>1990</v>
      </c>
      <c r="F364" s="3231">
        <v>550</v>
      </c>
      <c r="G364" s="3244">
        <v>1220</v>
      </c>
    </row>
    <row r="365" spans="1:7" s="3224" customFormat="1">
      <c r="A365" s="3231" t="s">
        <v>3164</v>
      </c>
      <c r="B365" s="3231" t="s">
        <v>200</v>
      </c>
      <c r="C365" s="3231">
        <v>2140</v>
      </c>
      <c r="D365" s="3231">
        <v>2100</v>
      </c>
      <c r="E365" s="3231">
        <v>2060</v>
      </c>
      <c r="F365" s="3231">
        <v>540</v>
      </c>
      <c r="G365" s="3244">
        <v>1270</v>
      </c>
    </row>
    <row r="366" spans="1:7" s="3224" customFormat="1">
      <c r="A366" s="3231" t="s">
        <v>3164</v>
      </c>
      <c r="B366" s="3231" t="s">
        <v>2896</v>
      </c>
      <c r="C366" s="3231">
        <v>2410</v>
      </c>
      <c r="D366" s="3231">
        <v>2370</v>
      </c>
      <c r="E366" s="3231">
        <v>2330</v>
      </c>
      <c r="F366" s="3231">
        <v>570</v>
      </c>
      <c r="G366" s="3244">
        <v>1440</v>
      </c>
    </row>
    <row r="367" spans="1:7" s="3224" customFormat="1">
      <c r="A367" s="3231" t="s">
        <v>3164</v>
      </c>
      <c r="B367" s="3231" t="s">
        <v>3170</v>
      </c>
      <c r="C367" s="3231">
        <v>2300</v>
      </c>
      <c r="D367" s="3231">
        <v>2260</v>
      </c>
      <c r="E367" s="3231">
        <v>2220</v>
      </c>
      <c r="F367" s="3231">
        <v>560</v>
      </c>
      <c r="G367" s="3244">
        <v>1370</v>
      </c>
    </row>
    <row r="368" spans="1:7" s="3224" customFormat="1">
      <c r="A368" s="3231" t="s">
        <v>3164</v>
      </c>
      <c r="B368" s="3231" t="s">
        <v>3171</v>
      </c>
      <c r="C368" s="3231">
        <v>2430</v>
      </c>
      <c r="D368" s="3231">
        <v>2390</v>
      </c>
      <c r="E368" s="3231">
        <v>2350</v>
      </c>
      <c r="F368" s="3231">
        <v>570</v>
      </c>
      <c r="G368" s="3244">
        <v>1450</v>
      </c>
    </row>
    <row r="369" spans="1:7" s="3224" customFormat="1">
      <c r="A369" s="3231" t="s">
        <v>3164</v>
      </c>
      <c r="B369" s="3231" t="s">
        <v>214</v>
      </c>
      <c r="C369" s="3231">
        <v>2320</v>
      </c>
      <c r="D369" s="3231">
        <v>2290</v>
      </c>
      <c r="E369" s="3231">
        <v>2250</v>
      </c>
      <c r="F369" s="3231">
        <v>550</v>
      </c>
      <c r="G369" s="3244">
        <v>1380</v>
      </c>
    </row>
    <row r="370" spans="1:7" s="3224" customFormat="1">
      <c r="A370" s="3231" t="s">
        <v>3164</v>
      </c>
      <c r="B370" s="3231" t="s">
        <v>221</v>
      </c>
      <c r="C370" s="3231">
        <v>2190</v>
      </c>
      <c r="D370" s="3231">
        <v>2170</v>
      </c>
      <c r="E370" s="3231">
        <v>2130</v>
      </c>
      <c r="F370" s="3231">
        <v>530</v>
      </c>
      <c r="G370" s="3244">
        <v>1310</v>
      </c>
    </row>
    <row r="371" spans="1:7" s="3224" customFormat="1">
      <c r="A371" s="3231" t="s">
        <v>3164</v>
      </c>
      <c r="B371" s="3231" t="s">
        <v>229</v>
      </c>
      <c r="C371" s="3231">
        <v>2460</v>
      </c>
      <c r="D371" s="3231">
        <v>2420</v>
      </c>
      <c r="E371" s="3231">
        <v>2370</v>
      </c>
      <c r="F371" s="3231">
        <v>560</v>
      </c>
      <c r="G371" s="3244">
        <v>1470</v>
      </c>
    </row>
    <row r="372" spans="1:7" s="3224" customFormat="1">
      <c r="A372" s="3231" t="s">
        <v>3164</v>
      </c>
      <c r="B372" s="3231" t="s">
        <v>3172</v>
      </c>
      <c r="C372" s="3231">
        <v>2250</v>
      </c>
      <c r="D372" s="3231">
        <v>2210</v>
      </c>
      <c r="E372" s="3231">
        <v>2180</v>
      </c>
      <c r="F372" s="3231">
        <v>550</v>
      </c>
      <c r="G372" s="3244">
        <v>1340</v>
      </c>
    </row>
    <row r="373" spans="1:7" s="3224" customFormat="1">
      <c r="A373" s="3231" t="s">
        <v>3164</v>
      </c>
      <c r="B373" s="3231" t="s">
        <v>258</v>
      </c>
      <c r="C373" s="3231">
        <v>2210</v>
      </c>
      <c r="D373" s="3231">
        <v>2190</v>
      </c>
      <c r="E373" s="3231">
        <v>2150</v>
      </c>
      <c r="F373" s="3231">
        <v>530</v>
      </c>
      <c r="G373" s="3244">
        <v>1320</v>
      </c>
    </row>
    <row r="374" spans="1:7" s="3224" customFormat="1">
      <c r="A374" s="3231" t="s">
        <v>3164</v>
      </c>
      <c r="B374" s="3231" t="s">
        <v>266</v>
      </c>
      <c r="C374" s="3231">
        <v>2320</v>
      </c>
      <c r="D374" s="3231">
        <v>2280</v>
      </c>
      <c r="E374" s="3231">
        <v>2230</v>
      </c>
      <c r="F374" s="3231">
        <v>580</v>
      </c>
      <c r="G374" s="3244">
        <v>1380</v>
      </c>
    </row>
    <row r="375" spans="1:7" s="3224" customFormat="1">
      <c r="A375" s="3231" t="s">
        <v>3164</v>
      </c>
      <c r="B375" s="3231" t="s">
        <v>3173</v>
      </c>
      <c r="C375" s="3231">
        <v>2090</v>
      </c>
      <c r="D375" s="3231">
        <v>2050</v>
      </c>
      <c r="E375" s="3231">
        <v>2020</v>
      </c>
      <c r="F375" s="3231">
        <v>520</v>
      </c>
      <c r="G375" s="3244">
        <v>1240</v>
      </c>
    </row>
    <row r="376" spans="1:7" s="3224" customFormat="1">
      <c r="A376" s="3231" t="s">
        <v>3164</v>
      </c>
      <c r="B376" s="3231" t="s">
        <v>277</v>
      </c>
      <c r="C376" s="3231">
        <v>2010</v>
      </c>
      <c r="D376" s="3231">
        <v>1980</v>
      </c>
      <c r="E376" s="3231">
        <v>1940</v>
      </c>
      <c r="F376" s="3231">
        <v>540</v>
      </c>
      <c r="G376" s="3244">
        <v>1190</v>
      </c>
    </row>
    <row r="377" spans="1:7" s="3224" customFormat="1" ht="12" thickBot="1">
      <c r="A377" s="3239" t="s">
        <v>3164</v>
      </c>
      <c r="B377" s="3242" t="s">
        <v>2926</v>
      </c>
      <c r="C377" s="3242">
        <v>1930</v>
      </c>
      <c r="D377" s="3242">
        <v>1890</v>
      </c>
      <c r="E377" s="3242">
        <v>1860</v>
      </c>
      <c r="F377" s="3242">
        <v>530</v>
      </c>
      <c r="G377" s="3247">
        <v>1150</v>
      </c>
    </row>
    <row r="378" spans="1:7" s="3224" customFormat="1">
      <c r="A378" s="3248" t="s">
        <v>3174</v>
      </c>
      <c r="B378" s="3227" t="s">
        <v>3175</v>
      </c>
      <c r="C378" s="3227">
        <v>1520</v>
      </c>
      <c r="D378" s="3227">
        <v>1490</v>
      </c>
      <c r="E378" s="3227">
        <v>1460</v>
      </c>
      <c r="F378" s="3227">
        <v>460</v>
      </c>
      <c r="G378" s="3243">
        <v>940</v>
      </c>
    </row>
    <row r="379" spans="1:7" s="3224" customFormat="1">
      <c r="A379" s="3249" t="s">
        <v>3174</v>
      </c>
      <c r="B379" s="3231" t="s">
        <v>3176</v>
      </c>
      <c r="C379" s="3231">
        <v>1500</v>
      </c>
      <c r="D379" s="3231">
        <v>1470</v>
      </c>
      <c r="E379" s="3231">
        <v>1430</v>
      </c>
      <c r="F379" s="3231">
        <v>460</v>
      </c>
      <c r="G379" s="3244">
        <v>920</v>
      </c>
    </row>
    <row r="380" spans="1:7" s="3224" customFormat="1">
      <c r="A380" s="3249" t="s">
        <v>3174</v>
      </c>
      <c r="B380" s="3231" t="s">
        <v>3177</v>
      </c>
      <c r="C380" s="3231">
        <v>1620</v>
      </c>
      <c r="D380" s="3231">
        <v>1590</v>
      </c>
      <c r="E380" s="3231">
        <v>1560</v>
      </c>
      <c r="F380" s="3231">
        <v>480</v>
      </c>
      <c r="G380" s="3244">
        <v>1000</v>
      </c>
    </row>
    <row r="381" spans="1:7" s="3224" customFormat="1">
      <c r="A381" s="3249" t="s">
        <v>3174</v>
      </c>
      <c r="B381" s="3231" t="s">
        <v>3178</v>
      </c>
      <c r="C381" s="3231">
        <v>1460</v>
      </c>
      <c r="D381" s="3231">
        <v>1430</v>
      </c>
      <c r="E381" s="3231">
        <v>1390</v>
      </c>
      <c r="F381" s="3231">
        <v>450</v>
      </c>
      <c r="G381" s="3244">
        <v>900</v>
      </c>
    </row>
    <row r="382" spans="1:7" s="3224" customFormat="1">
      <c r="A382" s="3249" t="s">
        <v>3174</v>
      </c>
      <c r="B382" s="3231" t="s">
        <v>3179</v>
      </c>
      <c r="C382" s="3231">
        <v>1310</v>
      </c>
      <c r="D382" s="3231">
        <v>1280</v>
      </c>
      <c r="E382" s="3231">
        <v>1250</v>
      </c>
      <c r="F382" s="3231">
        <v>440</v>
      </c>
      <c r="G382" s="3244">
        <v>800</v>
      </c>
    </row>
    <row r="383" spans="1:7" s="3224" customFormat="1">
      <c r="A383" s="3249" t="s">
        <v>3174</v>
      </c>
      <c r="B383" s="3231" t="s">
        <v>3180</v>
      </c>
      <c r="C383" s="3231">
        <v>1260</v>
      </c>
      <c r="D383" s="3231">
        <v>1230</v>
      </c>
      <c r="E383" s="3231">
        <v>1200</v>
      </c>
      <c r="F383" s="3231">
        <v>420</v>
      </c>
      <c r="G383" s="3244">
        <v>770</v>
      </c>
    </row>
    <row r="384" spans="1:7" s="3224" customFormat="1" ht="12" thickBot="1">
      <c r="A384" s="3250" t="s">
        <v>3174</v>
      </c>
      <c r="B384" s="3238" t="s">
        <v>3181</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802" t="s">
        <v>3182</v>
      </c>
      <c r="B1" s="3802"/>
    </row>
    <row r="2" spans="1:7" ht="14.25" thickBot="1">
      <c r="A2" s="3253"/>
      <c r="B2" s="3253"/>
    </row>
    <row r="3" spans="1:7" ht="14.25" thickBot="1">
      <c r="A3" s="3253"/>
      <c r="B3" s="3253"/>
      <c r="C3" s="3254" t="s">
        <v>2812</v>
      </c>
      <c r="D3" s="3254" t="s">
        <v>2868</v>
      </c>
      <c r="E3" s="3254" t="s">
        <v>2814</v>
      </c>
      <c r="F3" s="3254" t="s">
        <v>2869</v>
      </c>
      <c r="G3" s="3254" t="s">
        <v>2632</v>
      </c>
    </row>
    <row r="4" spans="1:7" ht="14.25" thickBot="1">
      <c r="A4" s="3255" t="s">
        <v>2867</v>
      </c>
      <c r="B4" s="3256" t="s">
        <v>2873</v>
      </c>
      <c r="C4" s="3254"/>
      <c r="D4" s="3254"/>
      <c r="E4" s="3254"/>
      <c r="F4" s="3254"/>
      <c r="G4" s="3254"/>
    </row>
    <row r="5" spans="1:7">
      <c r="A5" s="3257" t="s">
        <v>2841</v>
      </c>
      <c r="B5" s="3258" t="s">
        <v>2855</v>
      </c>
      <c r="C5" s="3259">
        <v>9.8000000000000004E-2</v>
      </c>
      <c r="D5" s="3259">
        <v>8.6999999999999994E-2</v>
      </c>
      <c r="E5" s="3259">
        <v>8.6999999999999994E-2</v>
      </c>
      <c r="F5" s="3259">
        <v>9.8000000000000004E-2</v>
      </c>
      <c r="G5" s="3260">
        <v>9.5000000000000001E-2</v>
      </c>
    </row>
    <row r="6" spans="1:7">
      <c r="A6" s="3261" t="s">
        <v>144</v>
      </c>
      <c r="B6" s="3262" t="s">
        <v>2870</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2856</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2906</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2924</v>
      </c>
      <c r="C29" s="3271"/>
      <c r="D29" s="3267">
        <v>5.1999999999999998E-2</v>
      </c>
      <c r="E29" s="3267">
        <v>7.0000000000000007E-2</v>
      </c>
      <c r="F29" s="3271"/>
      <c r="G29" s="3269">
        <v>7.0999999999999994E-2</v>
      </c>
    </row>
    <row r="30" spans="1:7">
      <c r="A30" s="3272" t="s">
        <v>296</v>
      </c>
      <c r="B30" s="3258" t="s">
        <v>2857</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2843</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2927</v>
      </c>
      <c r="C50" s="3263">
        <v>9.8000000000000004E-2</v>
      </c>
      <c r="D50" s="3263">
        <v>7.2999999999999995E-2</v>
      </c>
      <c r="E50" s="3263">
        <v>7.0999999999999994E-2</v>
      </c>
      <c r="F50" s="3274"/>
      <c r="G50" s="3264">
        <v>7.2999999999999995E-2</v>
      </c>
    </row>
    <row r="51" spans="1:7">
      <c r="A51" s="3273" t="s">
        <v>296</v>
      </c>
      <c r="B51" s="3262" t="s">
        <v>2929</v>
      </c>
      <c r="C51" s="3263">
        <v>9.9000000000000005E-2</v>
      </c>
      <c r="D51" s="3263">
        <v>8.5000000000000006E-2</v>
      </c>
      <c r="E51" s="3263">
        <v>6.3E-2</v>
      </c>
      <c r="F51" s="3274"/>
      <c r="G51" s="3264">
        <v>9.6000000000000002E-2</v>
      </c>
    </row>
    <row r="52" spans="1:7">
      <c r="A52" s="3273" t="s">
        <v>296</v>
      </c>
      <c r="B52" s="3262" t="s">
        <v>2933</v>
      </c>
      <c r="C52" s="3263">
        <v>7.3999999999999996E-2</v>
      </c>
      <c r="D52" s="3263">
        <v>9.6000000000000002E-2</v>
      </c>
      <c r="E52" s="3263">
        <v>0.05</v>
      </c>
      <c r="F52" s="3274"/>
      <c r="G52" s="3264">
        <v>9.8000000000000004E-2</v>
      </c>
    </row>
    <row r="53" spans="1:7">
      <c r="A53" s="3273" t="s">
        <v>296</v>
      </c>
      <c r="B53" s="3262" t="s">
        <v>2938</v>
      </c>
      <c r="C53" s="3263">
        <v>8.5999999999999993E-2</v>
      </c>
      <c r="D53" s="3274"/>
      <c r="E53" s="3263">
        <v>9.1999999999999998E-2</v>
      </c>
      <c r="F53" s="3274"/>
      <c r="G53" s="3275"/>
    </row>
    <row r="54" spans="1:7" ht="14.25" thickBot="1">
      <c r="A54" s="3276" t="s">
        <v>296</v>
      </c>
      <c r="B54" s="3266" t="s">
        <v>2941</v>
      </c>
      <c r="C54" s="3267">
        <v>9.6000000000000002E-2</v>
      </c>
      <c r="D54" s="3268"/>
      <c r="E54" s="3277"/>
      <c r="F54" s="3268"/>
      <c r="G54" s="3278"/>
    </row>
    <row r="55" spans="1:7">
      <c r="A55" s="3272" t="s">
        <v>110</v>
      </c>
      <c r="B55" s="3258" t="s">
        <v>2858</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2939</v>
      </c>
      <c r="C78" s="3263">
        <v>0.1</v>
      </c>
      <c r="D78" s="3263">
        <v>8.5000000000000006E-2</v>
      </c>
      <c r="E78" s="3263">
        <v>9.6000000000000002E-2</v>
      </c>
      <c r="F78" s="3274"/>
      <c r="G78" s="3264">
        <v>9.6000000000000002E-2</v>
      </c>
    </row>
    <row r="79" spans="1:7">
      <c r="A79" s="3273" t="s">
        <v>110</v>
      </c>
      <c r="B79" s="3262" t="s">
        <v>2942</v>
      </c>
      <c r="C79" s="3263">
        <v>0.05</v>
      </c>
      <c r="D79" s="3263">
        <v>9.6000000000000002E-2</v>
      </c>
      <c r="E79" s="3263">
        <v>9.5000000000000001E-2</v>
      </c>
      <c r="F79" s="3274"/>
      <c r="G79" s="3264">
        <v>9.8000000000000004E-2</v>
      </c>
    </row>
    <row r="80" spans="1:7">
      <c r="A80" s="3273" t="s">
        <v>110</v>
      </c>
      <c r="B80" s="3262" t="s">
        <v>2946</v>
      </c>
      <c r="C80" s="3263">
        <v>8.5999999999999993E-2</v>
      </c>
      <c r="D80" s="3279"/>
      <c r="E80" s="3263">
        <v>0.1</v>
      </c>
      <c r="F80" s="3274"/>
      <c r="G80" s="3275"/>
    </row>
    <row r="81" spans="1:7">
      <c r="A81" s="3273" t="s">
        <v>110</v>
      </c>
      <c r="B81" s="3262" t="s">
        <v>2951</v>
      </c>
      <c r="C81" s="3263">
        <v>9.6000000000000002E-2</v>
      </c>
      <c r="D81" s="3274"/>
      <c r="E81" s="3263">
        <v>9.8000000000000004E-2</v>
      </c>
      <c r="F81" s="3274"/>
      <c r="G81" s="3275"/>
    </row>
    <row r="82" spans="1:7">
      <c r="A82" s="3273" t="s">
        <v>110</v>
      </c>
      <c r="B82" s="3262" t="s">
        <v>2958</v>
      </c>
      <c r="C82" s="3279"/>
      <c r="D82" s="3274"/>
      <c r="E82" s="3263">
        <v>7.6999999999999999E-2</v>
      </c>
      <c r="F82" s="3274"/>
      <c r="G82" s="3275"/>
    </row>
    <row r="83" spans="1:7">
      <c r="A83" s="3273" t="s">
        <v>110</v>
      </c>
      <c r="B83" s="3262" t="s">
        <v>2964</v>
      </c>
      <c r="C83" s="3274"/>
      <c r="D83" s="3274"/>
      <c r="E83" s="3274"/>
      <c r="F83" s="3263">
        <v>0.1</v>
      </c>
      <c r="G83" s="3280"/>
    </row>
    <row r="84" spans="1:7">
      <c r="A84" s="3273" t="s">
        <v>110</v>
      </c>
      <c r="B84" s="3262" t="s">
        <v>2971</v>
      </c>
      <c r="C84" s="3274"/>
      <c r="D84" s="3274"/>
      <c r="E84" s="3274"/>
      <c r="F84" s="3263">
        <v>0.1</v>
      </c>
      <c r="G84" s="3280"/>
    </row>
    <row r="85" spans="1:7">
      <c r="A85" s="3273" t="s">
        <v>110</v>
      </c>
      <c r="B85" s="3262" t="s">
        <v>2978</v>
      </c>
      <c r="C85" s="3274"/>
      <c r="D85" s="3274"/>
      <c r="E85" s="3274"/>
      <c r="F85" s="3263">
        <v>0.1</v>
      </c>
      <c r="G85" s="3280"/>
    </row>
    <row r="86" spans="1:7" ht="14.25" thickBot="1">
      <c r="A86" s="3276" t="s">
        <v>110</v>
      </c>
      <c r="B86" s="3266" t="s">
        <v>2983</v>
      </c>
      <c r="C86" s="3267">
        <v>9.8000000000000004E-2</v>
      </c>
      <c r="D86" s="3267">
        <v>9.8000000000000004E-2</v>
      </c>
      <c r="E86" s="3267">
        <v>9.6000000000000002E-2</v>
      </c>
      <c r="F86" s="3277"/>
      <c r="G86" s="3269">
        <v>0.1</v>
      </c>
    </row>
    <row r="87" spans="1:7">
      <c r="A87" s="3272" t="s">
        <v>303</v>
      </c>
      <c r="B87" s="3258" t="s">
        <v>2859</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2952</v>
      </c>
      <c r="C113" s="3263">
        <v>0.1</v>
      </c>
      <c r="D113" s="3263">
        <v>0.1</v>
      </c>
      <c r="E113" s="3274"/>
      <c r="F113" s="3274"/>
      <c r="G113" s="3264">
        <v>0.1</v>
      </c>
    </row>
    <row r="114" spans="1:7">
      <c r="A114" s="3273" t="s">
        <v>303</v>
      </c>
      <c r="B114" s="3262" t="s">
        <v>2959</v>
      </c>
      <c r="C114" s="3263">
        <v>9.7000000000000003E-2</v>
      </c>
      <c r="D114" s="3263">
        <v>9.7000000000000003E-2</v>
      </c>
      <c r="E114" s="3274"/>
      <c r="F114" s="3274"/>
      <c r="G114" s="3264">
        <v>9.9000000000000005E-2</v>
      </c>
    </row>
    <row r="115" spans="1:7">
      <c r="A115" s="3273" t="s">
        <v>303</v>
      </c>
      <c r="B115" s="3262" t="s">
        <v>2965</v>
      </c>
      <c r="C115" s="3263">
        <v>0.1</v>
      </c>
      <c r="D115" s="3263">
        <v>0.1</v>
      </c>
      <c r="E115" s="3274"/>
      <c r="F115" s="3274"/>
      <c r="G115" s="3264">
        <v>0.1</v>
      </c>
    </row>
    <row r="116" spans="1:7">
      <c r="A116" s="3273" t="s">
        <v>303</v>
      </c>
      <c r="B116" s="3262" t="s">
        <v>2972</v>
      </c>
      <c r="C116" s="3263">
        <v>0.1</v>
      </c>
      <c r="D116" s="3263">
        <v>0.1</v>
      </c>
      <c r="E116" s="3274"/>
      <c r="F116" s="3274"/>
      <c r="G116" s="3264">
        <v>0.1</v>
      </c>
    </row>
    <row r="117" spans="1:7">
      <c r="A117" s="3273" t="s">
        <v>303</v>
      </c>
      <c r="B117" s="3262" t="s">
        <v>2979</v>
      </c>
      <c r="C117" s="3263">
        <v>9.7000000000000003E-2</v>
      </c>
      <c r="D117" s="3263">
        <v>9.7000000000000003E-2</v>
      </c>
      <c r="E117" s="3274"/>
      <c r="F117" s="3274"/>
      <c r="G117" s="3264">
        <v>9.7000000000000003E-2</v>
      </c>
    </row>
    <row r="118" spans="1:7">
      <c r="A118" s="3273" t="s">
        <v>303</v>
      </c>
      <c r="B118" s="3262" t="s">
        <v>2984</v>
      </c>
      <c r="C118" s="3263">
        <v>0.1</v>
      </c>
      <c r="D118" s="3263">
        <v>0.1</v>
      </c>
      <c r="E118" s="3274"/>
      <c r="F118" s="3274"/>
      <c r="G118" s="3264">
        <v>0.1</v>
      </c>
    </row>
    <row r="119" spans="1:7">
      <c r="A119" s="3273" t="s">
        <v>303</v>
      </c>
      <c r="B119" s="3262" t="s">
        <v>2988</v>
      </c>
      <c r="C119" s="3263">
        <v>5.0999999999999997E-2</v>
      </c>
      <c r="D119" s="3263">
        <v>5.1999999999999998E-2</v>
      </c>
      <c r="E119" s="3274"/>
      <c r="F119" s="3279"/>
      <c r="G119" s="3264">
        <v>0.06</v>
      </c>
    </row>
    <row r="120" spans="1:7">
      <c r="A120" s="3273" t="s">
        <v>303</v>
      </c>
      <c r="B120" s="3262" t="s">
        <v>2992</v>
      </c>
      <c r="C120" s="3274"/>
      <c r="D120" s="3274"/>
      <c r="E120" s="3274"/>
      <c r="F120" s="3263">
        <v>0.1</v>
      </c>
      <c r="G120" s="3280"/>
    </row>
    <row r="121" spans="1:7">
      <c r="A121" s="3273" t="s">
        <v>303</v>
      </c>
      <c r="B121" s="3262" t="s">
        <v>2997</v>
      </c>
      <c r="C121" s="3274"/>
      <c r="D121" s="3274"/>
      <c r="E121" s="3274"/>
      <c r="F121" s="3263">
        <v>0.1</v>
      </c>
      <c r="G121" s="3280"/>
    </row>
    <row r="122" spans="1:7">
      <c r="A122" s="3273" t="s">
        <v>303</v>
      </c>
      <c r="B122" s="3262" t="s">
        <v>3002</v>
      </c>
      <c r="C122" s="3263">
        <v>0.1</v>
      </c>
      <c r="D122" s="3263">
        <v>0.1</v>
      </c>
      <c r="E122" s="3263">
        <v>9.8000000000000004E-2</v>
      </c>
      <c r="F122" s="3263">
        <v>0.1</v>
      </c>
      <c r="G122" s="3264">
        <v>0.1</v>
      </c>
    </row>
    <row r="123" spans="1:7">
      <c r="A123" s="3273" t="s">
        <v>303</v>
      </c>
      <c r="B123" s="3262" t="s">
        <v>3007</v>
      </c>
      <c r="C123" s="3263">
        <v>0.1</v>
      </c>
      <c r="D123" s="3263">
        <v>0.1</v>
      </c>
      <c r="E123" s="3263">
        <v>9.8000000000000004E-2</v>
      </c>
      <c r="F123" s="3263">
        <v>0.1</v>
      </c>
      <c r="G123" s="3264">
        <v>0.1</v>
      </c>
    </row>
    <row r="124" spans="1:7">
      <c r="A124" s="3273" t="s">
        <v>303</v>
      </c>
      <c r="B124" s="3262" t="s">
        <v>3012</v>
      </c>
      <c r="C124" s="3263">
        <v>0.1</v>
      </c>
      <c r="D124" s="3263">
        <v>0.1</v>
      </c>
      <c r="E124" s="3263">
        <v>9.8000000000000004E-2</v>
      </c>
      <c r="F124" s="3279"/>
      <c r="G124" s="3264">
        <v>0.1</v>
      </c>
    </row>
    <row r="125" spans="1:7">
      <c r="A125" s="3273" t="s">
        <v>303</v>
      </c>
      <c r="B125" s="3262" t="s">
        <v>3017</v>
      </c>
      <c r="C125" s="3263">
        <v>9.8000000000000004E-2</v>
      </c>
      <c r="D125" s="3263">
        <v>9.8000000000000004E-2</v>
      </c>
      <c r="E125" s="3263">
        <v>9.6000000000000002E-2</v>
      </c>
      <c r="F125" s="3279"/>
      <c r="G125" s="3264">
        <v>0.1</v>
      </c>
    </row>
    <row r="126" spans="1:7" ht="14.25" thickBot="1">
      <c r="A126" s="3276" t="s">
        <v>303</v>
      </c>
      <c r="B126" s="3266" t="s">
        <v>3183</v>
      </c>
      <c r="C126" s="3267">
        <v>0.1</v>
      </c>
      <c r="D126" s="3267">
        <v>0.1</v>
      </c>
      <c r="E126" s="3267">
        <v>9.8000000000000004E-2</v>
      </c>
      <c r="F126" s="3267">
        <v>0.1</v>
      </c>
      <c r="G126" s="3269">
        <v>0.1</v>
      </c>
    </row>
    <row r="127" spans="1:7">
      <c r="A127" s="3272" t="s">
        <v>29</v>
      </c>
      <c r="B127" s="3258" t="s">
        <v>2860</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2930</v>
      </c>
      <c r="C148" s="3263">
        <v>0.13</v>
      </c>
      <c r="D148" s="3263">
        <v>0.13</v>
      </c>
      <c r="E148" s="3263">
        <v>0.13</v>
      </c>
      <c r="F148" s="3274"/>
      <c r="G148" s="3264">
        <v>0.13</v>
      </c>
    </row>
    <row r="149" spans="1:7">
      <c r="A149" s="3273" t="s">
        <v>29</v>
      </c>
      <c r="B149" s="3262" t="s">
        <v>2934</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2953</v>
      </c>
      <c r="C153" s="3263">
        <v>0.13</v>
      </c>
      <c r="D153" s="3263">
        <v>0.13</v>
      </c>
      <c r="E153" s="3263">
        <v>0.13</v>
      </c>
      <c r="F153" s="3263">
        <v>0.13</v>
      </c>
      <c r="G153" s="3264">
        <v>0.13</v>
      </c>
    </row>
    <row r="154" spans="1:7">
      <c r="A154" s="3273" t="s">
        <v>29</v>
      </c>
      <c r="B154" s="3262" t="s">
        <v>2960</v>
      </c>
      <c r="C154" s="3263">
        <v>0.121</v>
      </c>
      <c r="D154" s="3263">
        <v>0.121</v>
      </c>
      <c r="E154" s="3263">
        <v>0.105</v>
      </c>
      <c r="F154" s="3263">
        <v>0.121</v>
      </c>
      <c r="G154" s="3264">
        <v>0.123</v>
      </c>
    </row>
    <row r="155" spans="1:7">
      <c r="A155" s="3273" t="s">
        <v>29</v>
      </c>
      <c r="B155" s="3262" t="s">
        <v>2966</v>
      </c>
      <c r="C155" s="3263">
        <v>0.1</v>
      </c>
      <c r="D155" s="3263">
        <v>0.1</v>
      </c>
      <c r="E155" s="3263">
        <v>0.1</v>
      </c>
      <c r="F155" s="3263">
        <v>0.1</v>
      </c>
      <c r="G155" s="3264">
        <v>0.1</v>
      </c>
    </row>
    <row r="156" spans="1:7">
      <c r="A156" s="3273" t="s">
        <v>29</v>
      </c>
      <c r="B156" s="3262" t="s">
        <v>2973</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2993</v>
      </c>
      <c r="C160" s="3263">
        <v>0.13</v>
      </c>
      <c r="D160" s="3263">
        <v>0.13</v>
      </c>
      <c r="E160" s="3263">
        <v>0.124</v>
      </c>
      <c r="F160" s="3263">
        <v>0.126</v>
      </c>
      <c r="G160" s="3264">
        <v>0.13</v>
      </c>
    </row>
    <row r="161" spans="1:7">
      <c r="A161" s="3273" t="s">
        <v>29</v>
      </c>
      <c r="B161" s="3262" t="s">
        <v>2998</v>
      </c>
      <c r="C161" s="3263">
        <v>0.13</v>
      </c>
      <c r="D161" s="3263">
        <v>0.13</v>
      </c>
      <c r="E161" s="3263">
        <v>0.124</v>
      </c>
      <c r="F161" s="3263">
        <v>0.127</v>
      </c>
      <c r="G161" s="3264">
        <v>0.13</v>
      </c>
    </row>
    <row r="162" spans="1:7">
      <c r="A162" s="3273" t="s">
        <v>29</v>
      </c>
      <c r="B162" s="3262" t="s">
        <v>3003</v>
      </c>
      <c r="C162" s="3263">
        <v>0.1</v>
      </c>
      <c r="D162" s="3263">
        <v>0.1</v>
      </c>
      <c r="E162" s="3263">
        <v>0.1</v>
      </c>
      <c r="F162" s="3263">
        <v>0.121</v>
      </c>
      <c r="G162" s="3264">
        <v>0.105</v>
      </c>
    </row>
    <row r="163" spans="1:7">
      <c r="A163" s="3273" t="s">
        <v>29</v>
      </c>
      <c r="B163" s="3262" t="s">
        <v>3008</v>
      </c>
      <c r="C163" s="3263">
        <v>0.1</v>
      </c>
      <c r="D163" s="3263">
        <v>0.1</v>
      </c>
      <c r="E163" s="3263">
        <v>0.1</v>
      </c>
      <c r="F163" s="3263">
        <v>0.1</v>
      </c>
      <c r="G163" s="3264">
        <v>0.1</v>
      </c>
    </row>
    <row r="164" spans="1:7">
      <c r="A164" s="3273" t="s">
        <v>29</v>
      </c>
      <c r="B164" s="3262" t="s">
        <v>3013</v>
      </c>
      <c r="C164" s="3279"/>
      <c r="D164" s="3279"/>
      <c r="E164" s="3279"/>
      <c r="F164" s="3263">
        <v>0.1</v>
      </c>
      <c r="G164" s="3275"/>
    </row>
    <row r="165" spans="1:7">
      <c r="A165" s="3273" t="s">
        <v>29</v>
      </c>
      <c r="B165" s="3262" t="s">
        <v>3184</v>
      </c>
      <c r="C165" s="3263">
        <v>0.126</v>
      </c>
      <c r="D165" s="3263">
        <v>0.126</v>
      </c>
      <c r="E165" s="3263">
        <v>0.11899999999999999</v>
      </c>
      <c r="F165" s="3263">
        <v>0.13</v>
      </c>
      <c r="G165" s="3264">
        <v>0.128</v>
      </c>
    </row>
    <row r="166" spans="1:7">
      <c r="A166" s="3273" t="s">
        <v>29</v>
      </c>
      <c r="B166" s="3262" t="s">
        <v>3023</v>
      </c>
      <c r="C166" s="3263">
        <v>0.129</v>
      </c>
      <c r="D166" s="3263">
        <v>0.129</v>
      </c>
      <c r="E166" s="3263">
        <v>0.123</v>
      </c>
      <c r="F166" s="3263">
        <v>0.128</v>
      </c>
      <c r="G166" s="3264">
        <v>0.13</v>
      </c>
    </row>
    <row r="167" spans="1:7">
      <c r="A167" s="3273" t="s">
        <v>29</v>
      </c>
      <c r="B167" s="3262" t="s">
        <v>3027</v>
      </c>
      <c r="C167" s="3263">
        <v>0.125</v>
      </c>
      <c r="D167" s="3263">
        <v>0.125</v>
      </c>
      <c r="E167" s="3263">
        <v>0.11700000000000001</v>
      </c>
      <c r="F167" s="3263">
        <v>0.13</v>
      </c>
      <c r="G167" s="3264">
        <v>0.126</v>
      </c>
    </row>
    <row r="168" spans="1:7">
      <c r="A168" s="3273" t="s">
        <v>29</v>
      </c>
      <c r="B168" s="3262" t="s">
        <v>3032</v>
      </c>
      <c r="C168" s="3263">
        <v>0.128</v>
      </c>
      <c r="D168" s="3263">
        <v>0.128</v>
      </c>
      <c r="E168" s="3263">
        <v>0.123</v>
      </c>
      <c r="F168" s="3274"/>
      <c r="G168" s="3264">
        <v>0.13</v>
      </c>
    </row>
    <row r="169" spans="1:7">
      <c r="A169" s="3273" t="s">
        <v>29</v>
      </c>
      <c r="B169" s="3262" t="s">
        <v>3185</v>
      </c>
      <c r="C169" s="3279"/>
      <c r="D169" s="3279"/>
      <c r="E169" s="3279"/>
      <c r="F169" s="3263">
        <v>0.05</v>
      </c>
      <c r="G169" s="3275"/>
    </row>
    <row r="170" spans="1:7">
      <c r="A170" s="3273" t="s">
        <v>29</v>
      </c>
      <c r="B170" s="3262" t="s">
        <v>3186</v>
      </c>
      <c r="C170" s="3279"/>
      <c r="D170" s="3279"/>
      <c r="E170" s="3279"/>
      <c r="F170" s="3263">
        <v>0.05</v>
      </c>
      <c r="G170" s="3275"/>
    </row>
    <row r="171" spans="1:7">
      <c r="A171" s="3273" t="s">
        <v>29</v>
      </c>
      <c r="B171" s="3262" t="s">
        <v>3187</v>
      </c>
      <c r="C171" s="3279"/>
      <c r="D171" s="3279"/>
      <c r="E171" s="3279"/>
      <c r="F171" s="3263">
        <v>0.05</v>
      </c>
      <c r="G171" s="3280"/>
    </row>
    <row r="172" spans="1:7">
      <c r="A172" s="3273" t="s">
        <v>29</v>
      </c>
      <c r="B172" s="3262" t="s">
        <v>3188</v>
      </c>
      <c r="C172" s="3279"/>
      <c r="D172" s="3279"/>
      <c r="E172" s="3279"/>
      <c r="F172" s="3263">
        <v>0.05</v>
      </c>
      <c r="G172" s="3280"/>
    </row>
    <row r="173" spans="1:7">
      <c r="A173" s="3273" t="s">
        <v>29</v>
      </c>
      <c r="B173" s="3262" t="s">
        <v>3189</v>
      </c>
      <c r="C173" s="3279"/>
      <c r="D173" s="3279"/>
      <c r="E173" s="3279"/>
      <c r="F173" s="3263">
        <v>0.05</v>
      </c>
      <c r="G173" s="3275"/>
    </row>
    <row r="174" spans="1:7">
      <c r="A174" s="3273" t="s">
        <v>29</v>
      </c>
      <c r="B174" s="3262" t="s">
        <v>3190</v>
      </c>
      <c r="C174" s="3279"/>
      <c r="D174" s="3279"/>
      <c r="E174" s="3279"/>
      <c r="F174" s="3263">
        <v>0.05</v>
      </c>
      <c r="G174" s="3275"/>
    </row>
    <row r="175" spans="1:7">
      <c r="A175" s="3273" t="s">
        <v>29</v>
      </c>
      <c r="B175" s="3262" t="s">
        <v>3191</v>
      </c>
      <c r="C175" s="3279"/>
      <c r="D175" s="3279"/>
      <c r="E175" s="3279"/>
      <c r="F175" s="3263">
        <v>0.05</v>
      </c>
      <c r="G175" s="3275"/>
    </row>
    <row r="176" spans="1:7">
      <c r="A176" s="3273" t="s">
        <v>29</v>
      </c>
      <c r="B176" s="3262" t="s">
        <v>3192</v>
      </c>
      <c r="C176" s="3279"/>
      <c r="D176" s="3279"/>
      <c r="E176" s="3279"/>
      <c r="F176" s="3263">
        <v>0.05</v>
      </c>
      <c r="G176" s="3275"/>
    </row>
    <row r="177" spans="1:7">
      <c r="A177" s="3273" t="s">
        <v>29</v>
      </c>
      <c r="B177" s="3262" t="s">
        <v>3193</v>
      </c>
      <c r="C177" s="3274"/>
      <c r="D177" s="3274"/>
      <c r="E177" s="3274"/>
      <c r="F177" s="3263">
        <v>0.05</v>
      </c>
      <c r="G177" s="3280"/>
    </row>
    <row r="178" spans="1:7">
      <c r="A178" s="3273" t="s">
        <v>29</v>
      </c>
      <c r="B178" s="3262" t="s">
        <v>3194</v>
      </c>
      <c r="C178" s="3274"/>
      <c r="D178" s="3274"/>
      <c r="E178" s="3274"/>
      <c r="F178" s="3263">
        <v>0.05</v>
      </c>
      <c r="G178" s="3280"/>
    </row>
    <row r="179" spans="1:7">
      <c r="A179" s="3273" t="s">
        <v>29</v>
      </c>
      <c r="B179" s="3262" t="s">
        <v>3195</v>
      </c>
      <c r="C179" s="3274"/>
      <c r="D179" s="3274"/>
      <c r="E179" s="3274"/>
      <c r="F179" s="3263">
        <v>0.05</v>
      </c>
      <c r="G179" s="3280"/>
    </row>
    <row r="180" spans="1:7">
      <c r="A180" s="3273" t="s">
        <v>29</v>
      </c>
      <c r="B180" s="3262" t="s">
        <v>3196</v>
      </c>
      <c r="C180" s="3274"/>
      <c r="D180" s="3274"/>
      <c r="E180" s="3274"/>
      <c r="F180" s="3263">
        <v>0.05</v>
      </c>
      <c r="G180" s="3280"/>
    </row>
    <row r="181" spans="1:7">
      <c r="A181" s="3273" t="s">
        <v>29</v>
      </c>
      <c r="B181" s="3262" t="s">
        <v>3197</v>
      </c>
      <c r="C181" s="3274"/>
      <c r="D181" s="3274"/>
      <c r="E181" s="3274"/>
      <c r="F181" s="3263">
        <v>0.05</v>
      </c>
      <c r="G181" s="3280"/>
    </row>
    <row r="182" spans="1:7">
      <c r="A182" s="3273" t="s">
        <v>29</v>
      </c>
      <c r="B182" s="3262" t="s">
        <v>3198</v>
      </c>
      <c r="C182" s="3274"/>
      <c r="D182" s="3274"/>
      <c r="E182" s="3274"/>
      <c r="F182" s="3263">
        <v>0.05</v>
      </c>
      <c r="G182" s="3280"/>
    </row>
    <row r="183" spans="1:7">
      <c r="A183" s="3273" t="s">
        <v>29</v>
      </c>
      <c r="B183" s="3262" t="s">
        <v>3199</v>
      </c>
      <c r="C183" s="3274"/>
      <c r="D183" s="3274"/>
      <c r="E183" s="3274"/>
      <c r="F183" s="3263">
        <v>0.05</v>
      </c>
      <c r="G183" s="3280"/>
    </row>
    <row r="184" spans="1:7">
      <c r="A184" s="3273" t="s">
        <v>29</v>
      </c>
      <c r="B184" s="3262" t="s">
        <v>3200</v>
      </c>
      <c r="C184" s="3274"/>
      <c r="D184" s="3274"/>
      <c r="E184" s="3274"/>
      <c r="F184" s="3263">
        <v>0.05</v>
      </c>
      <c r="G184" s="3280"/>
    </row>
    <row r="185" spans="1:7">
      <c r="A185" s="3273" t="s">
        <v>29</v>
      </c>
      <c r="B185" s="3262" t="s">
        <v>3201</v>
      </c>
      <c r="C185" s="3274"/>
      <c r="D185" s="3274"/>
      <c r="E185" s="3274"/>
      <c r="F185" s="3263">
        <v>0.05</v>
      </c>
      <c r="G185" s="3280"/>
    </row>
    <row r="186" spans="1:7">
      <c r="A186" s="3273" t="s">
        <v>29</v>
      </c>
      <c r="B186" s="3262" t="s">
        <v>3202</v>
      </c>
      <c r="C186" s="3274"/>
      <c r="D186" s="3274"/>
      <c r="E186" s="3274"/>
      <c r="F186" s="3263">
        <v>0.05</v>
      </c>
      <c r="G186" s="3280"/>
    </row>
    <row r="187" spans="1:7">
      <c r="A187" s="3273" t="s">
        <v>29</v>
      </c>
      <c r="B187" s="3262" t="s">
        <v>3203</v>
      </c>
      <c r="C187" s="3274"/>
      <c r="D187" s="3274"/>
      <c r="E187" s="3274"/>
      <c r="F187" s="3263">
        <v>0.05</v>
      </c>
      <c r="G187" s="3280"/>
    </row>
    <row r="188" spans="1:7">
      <c r="A188" s="3273" t="s">
        <v>29</v>
      </c>
      <c r="B188" s="3262" t="s">
        <v>3204</v>
      </c>
      <c r="C188" s="3274"/>
      <c r="D188" s="3274"/>
      <c r="E188" s="3274"/>
      <c r="F188" s="3263">
        <v>0.05</v>
      </c>
      <c r="G188" s="3280"/>
    </row>
    <row r="189" spans="1:7" ht="14.25" thickBot="1">
      <c r="A189" s="3276" t="s">
        <v>29</v>
      </c>
      <c r="B189" s="3266" t="s">
        <v>3205</v>
      </c>
      <c r="C189" s="3268"/>
      <c r="D189" s="3268"/>
      <c r="E189" s="3268"/>
      <c r="F189" s="3267">
        <v>0.05</v>
      </c>
      <c r="G189" s="3281"/>
    </row>
    <row r="190" spans="1:7">
      <c r="A190" s="3272" t="s">
        <v>304</v>
      </c>
      <c r="B190" s="3258" t="s">
        <v>2861</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2897</v>
      </c>
      <c r="C199" s="3263">
        <v>0.13</v>
      </c>
      <c r="D199" s="3263">
        <v>0.13</v>
      </c>
      <c r="E199" s="3263">
        <v>0.13</v>
      </c>
      <c r="F199" s="3263">
        <v>0.13</v>
      </c>
      <c r="G199" s="3264">
        <v>0.13</v>
      </c>
    </row>
    <row r="200" spans="1:7">
      <c r="A200" s="3273" t="s">
        <v>304</v>
      </c>
      <c r="B200" s="3262" t="s">
        <v>2900</v>
      </c>
      <c r="C200" s="3279"/>
      <c r="D200" s="3279"/>
      <c r="E200" s="3279"/>
      <c r="F200" s="3263">
        <v>0.13</v>
      </c>
      <c r="G200" s="3275"/>
    </row>
    <row r="201" spans="1:7">
      <c r="A201" s="3273" t="s">
        <v>304</v>
      </c>
      <c r="B201" s="3262" t="s">
        <v>2905</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2908</v>
      </c>
      <c r="C203" s="3263">
        <v>0.129</v>
      </c>
      <c r="D203" s="3263">
        <v>0.129</v>
      </c>
      <c r="E203" s="3263">
        <v>0.13</v>
      </c>
      <c r="F203" s="3263">
        <v>0.13</v>
      </c>
      <c r="G203" s="3264">
        <v>0.13</v>
      </c>
    </row>
    <row r="204" spans="1:7">
      <c r="A204" s="3273" t="s">
        <v>304</v>
      </c>
      <c r="B204" s="3262" t="s">
        <v>2911</v>
      </c>
      <c r="C204" s="3263">
        <v>0.129</v>
      </c>
      <c r="D204" s="3263">
        <v>0.129</v>
      </c>
      <c r="E204" s="3263">
        <v>0.123</v>
      </c>
      <c r="F204" s="3263">
        <v>0.13</v>
      </c>
      <c r="G204" s="3264">
        <v>0.13</v>
      </c>
    </row>
    <row r="205" spans="1:7">
      <c r="A205" s="3273" t="s">
        <v>304</v>
      </c>
      <c r="B205" s="3262" t="s">
        <v>2913</v>
      </c>
      <c r="C205" s="3263">
        <v>0.13</v>
      </c>
      <c r="D205" s="3263">
        <v>0.13</v>
      </c>
      <c r="E205" s="3263">
        <v>0.13</v>
      </c>
      <c r="F205" s="3263">
        <v>0.13</v>
      </c>
      <c r="G205" s="3264">
        <v>0.13</v>
      </c>
    </row>
    <row r="206" spans="1:7">
      <c r="A206" s="3273" t="s">
        <v>304</v>
      </c>
      <c r="B206" s="3262" t="s">
        <v>2916</v>
      </c>
      <c r="C206" s="3263">
        <v>0.13</v>
      </c>
      <c r="D206" s="3263">
        <v>0.13</v>
      </c>
      <c r="E206" s="3263">
        <v>0.13</v>
      </c>
      <c r="F206" s="3263">
        <v>0.128</v>
      </c>
      <c r="G206" s="3264">
        <v>0.13</v>
      </c>
    </row>
    <row r="207" spans="1:7">
      <c r="A207" s="3273" t="s">
        <v>304</v>
      </c>
      <c r="B207" s="3262" t="s">
        <v>2918</v>
      </c>
      <c r="C207" s="3263">
        <v>0.13</v>
      </c>
      <c r="D207" s="3263">
        <v>0.13</v>
      </c>
      <c r="E207" s="3263">
        <v>0.13</v>
      </c>
      <c r="F207" s="3263">
        <v>0.13</v>
      </c>
      <c r="G207" s="3264">
        <v>0.13</v>
      </c>
    </row>
    <row r="208" spans="1:7">
      <c r="A208" s="3273" t="s">
        <v>304</v>
      </c>
      <c r="B208" s="3262" t="s">
        <v>2921</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2928</v>
      </c>
      <c r="C210" s="3263">
        <v>0.121</v>
      </c>
      <c r="D210" s="3263">
        <v>0.121</v>
      </c>
      <c r="E210" s="3263">
        <v>0.125</v>
      </c>
      <c r="F210" s="3263">
        <v>0.13</v>
      </c>
      <c r="G210" s="3264">
        <v>0.123</v>
      </c>
    </row>
    <row r="211" spans="1:7">
      <c r="A211" s="3273" t="s">
        <v>304</v>
      </c>
      <c r="B211" s="3262" t="s">
        <v>2931</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2943</v>
      </c>
      <c r="C214" s="3263">
        <v>0.128</v>
      </c>
      <c r="D214" s="3263">
        <v>0.128</v>
      </c>
      <c r="E214" s="3263">
        <v>0.13</v>
      </c>
      <c r="F214" s="3263">
        <v>0.13</v>
      </c>
      <c r="G214" s="3264">
        <v>0.13</v>
      </c>
    </row>
    <row r="215" spans="1:7">
      <c r="A215" s="3273" t="s">
        <v>304</v>
      </c>
      <c r="B215" s="3262" t="s">
        <v>2947</v>
      </c>
      <c r="C215" s="3263">
        <v>0.13</v>
      </c>
      <c r="D215" s="3263">
        <v>0.13</v>
      </c>
      <c r="E215" s="3263">
        <v>0.13</v>
      </c>
      <c r="F215" s="3263">
        <v>0.129</v>
      </c>
      <c r="G215" s="3264">
        <v>0.13</v>
      </c>
    </row>
    <row r="216" spans="1:7">
      <c r="A216" s="3273" t="s">
        <v>304</v>
      </c>
      <c r="B216" s="3262" t="s">
        <v>2954</v>
      </c>
      <c r="C216" s="3263">
        <v>0.13</v>
      </c>
      <c r="D216" s="3263">
        <v>0.13</v>
      </c>
      <c r="E216" s="3263">
        <v>0.13</v>
      </c>
      <c r="F216" s="3263">
        <v>0.13</v>
      </c>
      <c r="G216" s="3264">
        <v>0.13</v>
      </c>
    </row>
    <row r="217" spans="1:7">
      <c r="A217" s="3273" t="s">
        <v>304</v>
      </c>
      <c r="B217" s="3262" t="s">
        <v>2961</v>
      </c>
      <c r="C217" s="3263">
        <v>0.129</v>
      </c>
      <c r="D217" s="3263">
        <v>0.129</v>
      </c>
      <c r="E217" s="3263">
        <v>0.13</v>
      </c>
      <c r="F217" s="3263">
        <v>0.13</v>
      </c>
      <c r="G217" s="3264">
        <v>0.13</v>
      </c>
    </row>
    <row r="218" spans="1:7">
      <c r="A218" s="3273" t="s">
        <v>304</v>
      </c>
      <c r="B218" s="3262" t="s">
        <v>2967</v>
      </c>
      <c r="C218" s="3274"/>
      <c r="D218" s="3274"/>
      <c r="E218" s="3274"/>
      <c r="F218" s="3263">
        <v>0.05</v>
      </c>
      <c r="G218" s="3280"/>
    </row>
    <row r="219" spans="1:7">
      <c r="A219" s="3273" t="s">
        <v>304</v>
      </c>
      <c r="B219" s="3262" t="s">
        <v>2974</v>
      </c>
      <c r="C219" s="3274"/>
      <c r="D219" s="3274"/>
      <c r="E219" s="3274"/>
      <c r="F219" s="3263">
        <v>0.05</v>
      </c>
      <c r="G219" s="3280"/>
    </row>
    <row r="220" spans="1:7">
      <c r="A220" s="3273" t="s">
        <v>304</v>
      </c>
      <c r="B220" s="3262" t="s">
        <v>2980</v>
      </c>
      <c r="C220" s="3274"/>
      <c r="D220" s="3274"/>
      <c r="E220" s="3274"/>
      <c r="F220" s="3263">
        <v>0.05</v>
      </c>
      <c r="G220" s="3280"/>
    </row>
    <row r="221" spans="1:7">
      <c r="A221" s="3273" t="s">
        <v>304</v>
      </c>
      <c r="B221" s="3262" t="s">
        <v>2985</v>
      </c>
      <c r="C221" s="3274"/>
      <c r="D221" s="3274"/>
      <c r="E221" s="3274"/>
      <c r="F221" s="3263">
        <v>0.05</v>
      </c>
      <c r="G221" s="3280"/>
    </row>
    <row r="222" spans="1:7">
      <c r="A222" s="3273" t="s">
        <v>304</v>
      </c>
      <c r="B222" s="3262" t="s">
        <v>2989</v>
      </c>
      <c r="C222" s="3274"/>
      <c r="D222" s="3274"/>
      <c r="E222" s="3274"/>
      <c r="F222" s="3263">
        <v>0.05</v>
      </c>
      <c r="G222" s="3280"/>
    </row>
    <row r="223" spans="1:7">
      <c r="A223" s="3273" t="s">
        <v>304</v>
      </c>
      <c r="B223" s="3262" t="s">
        <v>2994</v>
      </c>
      <c r="C223" s="3274"/>
      <c r="D223" s="3274"/>
      <c r="E223" s="3274"/>
      <c r="F223" s="3263">
        <v>0.05</v>
      </c>
      <c r="G223" s="3280"/>
    </row>
    <row r="224" spans="1:7">
      <c r="A224" s="3273" t="s">
        <v>304</v>
      </c>
      <c r="B224" s="3262" t="s">
        <v>2999</v>
      </c>
      <c r="C224" s="3274"/>
      <c r="D224" s="3274"/>
      <c r="E224" s="3274"/>
      <c r="F224" s="3263">
        <v>0.05</v>
      </c>
      <c r="G224" s="3280"/>
    </row>
    <row r="225" spans="1:7">
      <c r="A225" s="3273" t="s">
        <v>304</v>
      </c>
      <c r="B225" s="3262" t="s">
        <v>3004</v>
      </c>
      <c r="C225" s="3274"/>
      <c r="D225" s="3274"/>
      <c r="E225" s="3274"/>
      <c r="F225" s="3263">
        <v>0.05</v>
      </c>
      <c r="G225" s="3280"/>
    </row>
    <row r="226" spans="1:7">
      <c r="A226" s="3273" t="s">
        <v>304</v>
      </c>
      <c r="B226" s="3262" t="s">
        <v>3206</v>
      </c>
      <c r="C226" s="3274"/>
      <c r="D226" s="3274"/>
      <c r="E226" s="3274"/>
      <c r="F226" s="3263">
        <v>0.05</v>
      </c>
      <c r="G226" s="3280"/>
    </row>
    <row r="227" spans="1:7">
      <c r="A227" s="3273" t="s">
        <v>304</v>
      </c>
      <c r="B227" s="3262" t="s">
        <v>3207</v>
      </c>
      <c r="C227" s="3274"/>
      <c r="D227" s="3274"/>
      <c r="E227" s="3274"/>
      <c r="F227" s="3263">
        <v>0.05</v>
      </c>
      <c r="G227" s="3280"/>
    </row>
    <row r="228" spans="1:7">
      <c r="A228" s="3273" t="s">
        <v>304</v>
      </c>
      <c r="B228" s="3262" t="s">
        <v>3208</v>
      </c>
      <c r="C228" s="3274"/>
      <c r="D228" s="3274"/>
      <c r="E228" s="3274"/>
      <c r="F228" s="3263">
        <v>0.05</v>
      </c>
      <c r="G228" s="3280"/>
    </row>
    <row r="229" spans="1:7">
      <c r="A229" s="3273" t="s">
        <v>304</v>
      </c>
      <c r="B229" s="3262" t="s">
        <v>3209</v>
      </c>
      <c r="C229" s="3274"/>
      <c r="D229" s="3274"/>
      <c r="E229" s="3274"/>
      <c r="F229" s="3263">
        <v>0.05</v>
      </c>
      <c r="G229" s="3280"/>
    </row>
    <row r="230" spans="1:7">
      <c r="A230" s="3273" t="s">
        <v>304</v>
      </c>
      <c r="B230" s="3262" t="s">
        <v>3210</v>
      </c>
      <c r="C230" s="3274"/>
      <c r="D230" s="3274"/>
      <c r="E230" s="3274"/>
      <c r="F230" s="3263">
        <v>0.05</v>
      </c>
      <c r="G230" s="3280"/>
    </row>
    <row r="231" spans="1:7">
      <c r="A231" s="3273" t="s">
        <v>304</v>
      </c>
      <c r="B231" s="3262" t="s">
        <v>3211</v>
      </c>
      <c r="C231" s="3274"/>
      <c r="D231" s="3274"/>
      <c r="E231" s="3274"/>
      <c r="F231" s="3263">
        <v>0.05</v>
      </c>
      <c r="G231" s="3280"/>
    </row>
    <row r="232" spans="1:7">
      <c r="A232" s="3273" t="s">
        <v>304</v>
      </c>
      <c r="B232" s="3262" t="s">
        <v>3212</v>
      </c>
      <c r="C232" s="3274"/>
      <c r="D232" s="3274"/>
      <c r="E232" s="3274"/>
      <c r="F232" s="3263">
        <v>0.05</v>
      </c>
      <c r="G232" s="3280"/>
    </row>
    <row r="233" spans="1:7" ht="14.25" thickBot="1">
      <c r="A233" s="3276" t="s">
        <v>304</v>
      </c>
      <c r="B233" s="3266" t="s">
        <v>3213</v>
      </c>
      <c r="C233" s="3268"/>
      <c r="D233" s="3268"/>
      <c r="E233" s="3268"/>
      <c r="F233" s="3267">
        <v>0.05</v>
      </c>
      <c r="G233" s="3281"/>
    </row>
    <row r="234" spans="1:7">
      <c r="A234" s="3272" t="s">
        <v>305</v>
      </c>
      <c r="B234" s="3258" t="s">
        <v>2862</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2882</v>
      </c>
      <c r="C238" s="3263">
        <v>0.14899999999999999</v>
      </c>
      <c r="D238" s="3263">
        <v>0.14899999999999999</v>
      </c>
      <c r="E238" s="3263">
        <v>0.15</v>
      </c>
      <c r="F238" s="3263">
        <v>0.15</v>
      </c>
      <c r="G238" s="3264">
        <v>0.15</v>
      </c>
    </row>
    <row r="239" spans="1:7">
      <c r="A239" s="3273" t="s">
        <v>305</v>
      </c>
      <c r="B239" s="3262" t="s">
        <v>2886</v>
      </c>
      <c r="C239" s="3263">
        <v>0.15</v>
      </c>
      <c r="D239" s="3263">
        <v>0.15</v>
      </c>
      <c r="E239" s="3263">
        <v>0.15</v>
      </c>
      <c r="F239" s="3263">
        <v>0.15</v>
      </c>
      <c r="G239" s="3264">
        <v>0.15</v>
      </c>
    </row>
    <row r="240" spans="1:7">
      <c r="A240" s="3273" t="s">
        <v>305</v>
      </c>
      <c r="B240" s="3262" t="s">
        <v>2891</v>
      </c>
      <c r="C240" s="3263">
        <v>0.15</v>
      </c>
      <c r="D240" s="3263">
        <v>0.15</v>
      </c>
      <c r="E240" s="3263">
        <v>0.15</v>
      </c>
      <c r="F240" s="3263">
        <v>0.15</v>
      </c>
      <c r="G240" s="3264">
        <v>0.15</v>
      </c>
    </row>
    <row r="241" spans="1:7">
      <c r="A241" s="3273" t="s">
        <v>305</v>
      </c>
      <c r="B241" s="3262" t="s">
        <v>2895</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2901</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2909</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2914</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2922</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2935</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2944</v>
      </c>
      <c r="C258" s="3263">
        <v>0.14299999999999999</v>
      </c>
      <c r="D258" s="3263">
        <v>0.14299999999999999</v>
      </c>
      <c r="E258" s="3263">
        <v>0.15</v>
      </c>
      <c r="F258" s="3263">
        <v>0.14799999999999999</v>
      </c>
      <c r="G258" s="3264">
        <v>0.14599999999999999</v>
      </c>
    </row>
    <row r="259" spans="1:7">
      <c r="A259" s="3273" t="s">
        <v>305</v>
      </c>
      <c r="B259" s="3262" t="s">
        <v>2948</v>
      </c>
      <c r="C259" s="3263">
        <v>0.14399999999999999</v>
      </c>
      <c r="D259" s="3263">
        <v>0.14399999999999999</v>
      </c>
      <c r="E259" s="3263">
        <v>0.14899999999999999</v>
      </c>
      <c r="F259" s="3263">
        <v>0.14699999999999999</v>
      </c>
      <c r="G259" s="3264">
        <v>0.14599999999999999</v>
      </c>
    </row>
    <row r="260" spans="1:7">
      <c r="A260" s="3273" t="s">
        <v>305</v>
      </c>
      <c r="B260" s="3262" t="s">
        <v>2955</v>
      </c>
      <c r="C260" s="3263">
        <v>0.109</v>
      </c>
      <c r="D260" s="3263">
        <v>0.111</v>
      </c>
      <c r="E260" s="3263">
        <v>0.13100000000000001</v>
      </c>
      <c r="F260" s="3263">
        <v>0.126</v>
      </c>
      <c r="G260" s="3264">
        <v>0.11899999999999999</v>
      </c>
    </row>
    <row r="261" spans="1:7">
      <c r="A261" s="3273" t="s">
        <v>305</v>
      </c>
      <c r="B261" s="3262" t="s">
        <v>2962</v>
      </c>
      <c r="C261" s="3263">
        <v>0.1</v>
      </c>
      <c r="D261" s="3263">
        <v>0.1</v>
      </c>
      <c r="E261" s="3263">
        <v>0.11799999999999999</v>
      </c>
      <c r="F261" s="3263">
        <v>0.108</v>
      </c>
      <c r="G261" s="3264">
        <v>0.107</v>
      </c>
    </row>
    <row r="262" spans="1:7">
      <c r="A262" s="3273" t="s">
        <v>305</v>
      </c>
      <c r="B262" s="3262" t="s">
        <v>2968</v>
      </c>
      <c r="C262" s="3263">
        <v>0.1</v>
      </c>
      <c r="D262" s="3263">
        <v>0.1</v>
      </c>
      <c r="E262" s="3263">
        <v>0.1</v>
      </c>
      <c r="F262" s="3263">
        <v>0.14099999999999999</v>
      </c>
      <c r="G262" s="3264">
        <v>0.1</v>
      </c>
    </row>
    <row r="263" spans="1:7">
      <c r="A263" s="3273" t="s">
        <v>305</v>
      </c>
      <c r="B263" s="3262" t="s">
        <v>2975</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2986</v>
      </c>
      <c r="C265" s="3274"/>
      <c r="D265" s="3274"/>
      <c r="E265" s="3274"/>
      <c r="F265" s="3263">
        <v>0.05</v>
      </c>
      <c r="G265" s="3280"/>
    </row>
    <row r="266" spans="1:7">
      <c r="A266" s="3273" t="s">
        <v>305</v>
      </c>
      <c r="B266" s="3262" t="s">
        <v>2990</v>
      </c>
      <c r="C266" s="3274"/>
      <c r="D266" s="3274"/>
      <c r="E266" s="3274"/>
      <c r="F266" s="3263">
        <v>0.05</v>
      </c>
      <c r="G266" s="3280"/>
    </row>
    <row r="267" spans="1:7">
      <c r="A267" s="3273" t="s">
        <v>305</v>
      </c>
      <c r="B267" s="3262" t="s">
        <v>2995</v>
      </c>
      <c r="C267" s="3274"/>
      <c r="D267" s="3274"/>
      <c r="E267" s="3274"/>
      <c r="F267" s="3263">
        <v>0.05</v>
      </c>
      <c r="G267" s="3280"/>
    </row>
    <row r="268" spans="1:7">
      <c r="A268" s="3273" t="s">
        <v>305</v>
      </c>
      <c r="B268" s="3262" t="s">
        <v>3000</v>
      </c>
      <c r="C268" s="3274"/>
      <c r="D268" s="3274"/>
      <c r="E268" s="3274"/>
      <c r="F268" s="3263">
        <v>0.05</v>
      </c>
      <c r="G268" s="3280"/>
    </row>
    <row r="269" spans="1:7">
      <c r="A269" s="3273" t="s">
        <v>305</v>
      </c>
      <c r="B269" s="3262" t="s">
        <v>3005</v>
      </c>
      <c r="C269" s="3274"/>
      <c r="D269" s="3274"/>
      <c r="E269" s="3274"/>
      <c r="F269" s="3263">
        <v>0.05</v>
      </c>
      <c r="G269" s="3280"/>
    </row>
    <row r="270" spans="1:7">
      <c r="A270" s="3273" t="s">
        <v>305</v>
      </c>
      <c r="B270" s="3262" t="s">
        <v>3010</v>
      </c>
      <c r="C270" s="3274"/>
      <c r="D270" s="3274"/>
      <c r="E270" s="3274"/>
      <c r="F270" s="3263">
        <v>0.05</v>
      </c>
      <c r="G270" s="3280"/>
    </row>
    <row r="271" spans="1:7">
      <c r="A271" s="3273" t="s">
        <v>305</v>
      </c>
      <c r="B271" s="3262" t="s">
        <v>3214</v>
      </c>
      <c r="C271" s="3274"/>
      <c r="D271" s="3274"/>
      <c r="E271" s="3274"/>
      <c r="F271" s="3263">
        <v>0.05</v>
      </c>
      <c r="G271" s="3280"/>
    </row>
    <row r="272" spans="1:7">
      <c r="A272" s="3273" t="s">
        <v>305</v>
      </c>
      <c r="B272" s="3262" t="s">
        <v>3215</v>
      </c>
      <c r="C272" s="3274"/>
      <c r="D272" s="3274"/>
      <c r="E272" s="3274"/>
      <c r="F272" s="3263">
        <v>0.05</v>
      </c>
      <c r="G272" s="3280"/>
    </row>
    <row r="273" spans="1:7">
      <c r="A273" s="3273" t="s">
        <v>305</v>
      </c>
      <c r="B273" s="3262" t="s">
        <v>3216</v>
      </c>
      <c r="C273" s="3274"/>
      <c r="D273" s="3274"/>
      <c r="E273" s="3274"/>
      <c r="F273" s="3263">
        <v>0.05</v>
      </c>
      <c r="G273" s="3280"/>
    </row>
    <row r="274" spans="1:7">
      <c r="A274" s="3273" t="s">
        <v>305</v>
      </c>
      <c r="B274" s="3262" t="s">
        <v>3217</v>
      </c>
      <c r="C274" s="3274"/>
      <c r="D274" s="3274"/>
      <c r="E274" s="3274"/>
      <c r="F274" s="3263">
        <v>0.05</v>
      </c>
      <c r="G274" s="3280"/>
    </row>
    <row r="275" spans="1:7">
      <c r="A275" s="3273" t="s">
        <v>305</v>
      </c>
      <c r="B275" s="3262" t="s">
        <v>3218</v>
      </c>
      <c r="C275" s="3274"/>
      <c r="D275" s="3274"/>
      <c r="E275" s="3274"/>
      <c r="F275" s="3263">
        <v>0.05</v>
      </c>
      <c r="G275" s="3280"/>
    </row>
    <row r="276" spans="1:7" ht="14.25" thickBot="1">
      <c r="A276" s="3276" t="s">
        <v>305</v>
      </c>
      <c r="B276" s="3266" t="s">
        <v>3219</v>
      </c>
      <c r="C276" s="3268"/>
      <c r="D276" s="3268"/>
      <c r="E276" s="3268"/>
      <c r="F276" s="3267">
        <v>0.05</v>
      </c>
      <c r="G276" s="3281"/>
    </row>
    <row r="277" spans="1:7">
      <c r="A277" s="3272" t="s">
        <v>306</v>
      </c>
      <c r="B277" s="3258" t="s">
        <v>2863</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2875</v>
      </c>
      <c r="C279" s="3263">
        <v>0.15</v>
      </c>
      <c r="D279" s="3263">
        <v>0.15</v>
      </c>
      <c r="E279" s="3263">
        <v>0.15</v>
      </c>
      <c r="F279" s="3263">
        <v>0.15</v>
      </c>
      <c r="G279" s="3264">
        <v>0.15</v>
      </c>
    </row>
    <row r="280" spans="1:7">
      <c r="A280" s="3273" t="s">
        <v>306</v>
      </c>
      <c r="B280" s="3262" t="s">
        <v>2879</v>
      </c>
      <c r="C280" s="3263">
        <v>0.15</v>
      </c>
      <c r="D280" s="3263">
        <v>0.15</v>
      </c>
      <c r="E280" s="3263">
        <v>0.15</v>
      </c>
      <c r="F280" s="3263">
        <v>0.15</v>
      </c>
      <c r="G280" s="3264">
        <v>0.15</v>
      </c>
    </row>
    <row r="281" spans="1:7">
      <c r="A281" s="3273" t="s">
        <v>306</v>
      </c>
      <c r="B281" s="3262" t="s">
        <v>2883</v>
      </c>
      <c r="C281" s="3263">
        <v>0.15</v>
      </c>
      <c r="D281" s="3263">
        <v>0.15</v>
      </c>
      <c r="E281" s="3263">
        <v>0.15</v>
      </c>
      <c r="F281" s="3263">
        <v>0.15</v>
      </c>
      <c r="G281" s="3264">
        <v>0.15</v>
      </c>
    </row>
    <row r="282" spans="1:7">
      <c r="A282" s="3273" t="s">
        <v>306</v>
      </c>
      <c r="B282" s="3262" t="s">
        <v>2887</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2902</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2907</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2917</v>
      </c>
      <c r="C293" s="3263">
        <v>0.15</v>
      </c>
      <c r="D293" s="3263">
        <v>0.15</v>
      </c>
      <c r="E293" s="3263">
        <v>0.15</v>
      </c>
      <c r="F293" s="3263">
        <v>0.14499999999999999</v>
      </c>
      <c r="G293" s="3264">
        <v>0.15</v>
      </c>
    </row>
    <row r="294" spans="1:7">
      <c r="A294" s="3273" t="s">
        <v>306</v>
      </c>
      <c r="B294" s="3262" t="s">
        <v>2919</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2936</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2949</v>
      </c>
      <c r="C302" s="3263">
        <v>0.15</v>
      </c>
      <c r="D302" s="3263">
        <v>0.15</v>
      </c>
      <c r="E302" s="3263">
        <v>0.15</v>
      </c>
      <c r="F302" s="3263">
        <v>0.14699999999999999</v>
      </c>
      <c r="G302" s="3264">
        <v>0.15</v>
      </c>
    </row>
    <row r="303" spans="1:7">
      <c r="A303" s="3273" t="s">
        <v>306</v>
      </c>
      <c r="B303" s="3262" t="s">
        <v>2956</v>
      </c>
      <c r="C303" s="3263">
        <v>0.15</v>
      </c>
      <c r="D303" s="3263">
        <v>0.15</v>
      </c>
      <c r="E303" s="3263">
        <v>0.15</v>
      </c>
      <c r="F303" s="3263">
        <v>0.14199999999999999</v>
      </c>
      <c r="G303" s="3264">
        <v>0.15</v>
      </c>
    </row>
    <row r="304" spans="1:7">
      <c r="A304" s="3273" t="s">
        <v>306</v>
      </c>
      <c r="B304" s="3262" t="s">
        <v>2963</v>
      </c>
      <c r="C304" s="3263">
        <v>0.15</v>
      </c>
      <c r="D304" s="3263">
        <v>0.15</v>
      </c>
      <c r="E304" s="3263">
        <v>0.15</v>
      </c>
      <c r="F304" s="3263">
        <v>0.14499999999999999</v>
      </c>
      <c r="G304" s="3264">
        <v>0.15</v>
      </c>
    </row>
    <row r="305" spans="1:7">
      <c r="A305" s="3273" t="s">
        <v>306</v>
      </c>
      <c r="B305" s="3262" t="s">
        <v>2969</v>
      </c>
      <c r="C305" s="3263">
        <v>0.15</v>
      </c>
      <c r="D305" s="3263">
        <v>0.15</v>
      </c>
      <c r="E305" s="3263">
        <v>0.15</v>
      </c>
      <c r="F305" s="3263">
        <v>0.111</v>
      </c>
      <c r="G305" s="3264">
        <v>0.15</v>
      </c>
    </row>
    <row r="306" spans="1:7">
      <c r="A306" s="3273" t="s">
        <v>306</v>
      </c>
      <c r="B306" s="3262" t="s">
        <v>2976</v>
      </c>
      <c r="C306" s="3263">
        <v>0.15</v>
      </c>
      <c r="D306" s="3263">
        <v>0.15</v>
      </c>
      <c r="E306" s="3263">
        <v>0.15</v>
      </c>
      <c r="F306" s="3263">
        <v>0.126</v>
      </c>
      <c r="G306" s="3264">
        <v>0.15</v>
      </c>
    </row>
    <row r="307" spans="1:7">
      <c r="A307" s="3273" t="s">
        <v>306</v>
      </c>
      <c r="B307" s="3262" t="s">
        <v>2981</v>
      </c>
      <c r="C307" s="3263">
        <v>0.15</v>
      </c>
      <c r="D307" s="3263">
        <v>0.15</v>
      </c>
      <c r="E307" s="3263">
        <v>0.15</v>
      </c>
      <c r="F307" s="3263">
        <v>0.12</v>
      </c>
      <c r="G307" s="3264">
        <v>0.15</v>
      </c>
    </row>
    <row r="308" spans="1:7">
      <c r="A308" s="3273" t="s">
        <v>306</v>
      </c>
      <c r="B308" s="3262" t="s">
        <v>2987</v>
      </c>
      <c r="C308" s="3263">
        <v>0.15</v>
      </c>
      <c r="D308" s="3263">
        <v>0.15</v>
      </c>
      <c r="E308" s="3263">
        <v>0.15</v>
      </c>
      <c r="F308" s="3263">
        <v>0.13</v>
      </c>
      <c r="G308" s="3264">
        <v>0.15</v>
      </c>
    </row>
    <row r="309" spans="1:7">
      <c r="A309" s="3273" t="s">
        <v>306</v>
      </c>
      <c r="B309" s="3262" t="s">
        <v>2991</v>
      </c>
      <c r="C309" s="3263">
        <v>0.15</v>
      </c>
      <c r="D309" s="3263">
        <v>0.15</v>
      </c>
      <c r="E309" s="3263">
        <v>0.15</v>
      </c>
      <c r="F309" s="3263">
        <v>0.14099999999999999</v>
      </c>
      <c r="G309" s="3264">
        <v>0.15</v>
      </c>
    </row>
    <row r="310" spans="1:7">
      <c r="A310" s="3273" t="s">
        <v>306</v>
      </c>
      <c r="B310" s="3262" t="s">
        <v>2996</v>
      </c>
      <c r="C310" s="3263">
        <v>0.15</v>
      </c>
      <c r="D310" s="3263">
        <v>0.15</v>
      </c>
      <c r="E310" s="3263">
        <v>0.15</v>
      </c>
      <c r="F310" s="3263">
        <v>0.15</v>
      </c>
      <c r="G310" s="3264">
        <v>0.15</v>
      </c>
    </row>
    <row r="311" spans="1:7">
      <c r="A311" s="3273" t="s">
        <v>306</v>
      </c>
      <c r="B311" s="3262" t="s">
        <v>3001</v>
      </c>
      <c r="C311" s="3263">
        <v>0.13200000000000001</v>
      </c>
      <c r="D311" s="3263">
        <v>0.13300000000000001</v>
      </c>
      <c r="E311" s="3263">
        <v>0.14499999999999999</v>
      </c>
      <c r="F311" s="3263">
        <v>0.14199999999999999</v>
      </c>
      <c r="G311" s="3264">
        <v>0.14000000000000001</v>
      </c>
    </row>
    <row r="312" spans="1:7">
      <c r="A312" s="3273" t="s">
        <v>306</v>
      </c>
      <c r="B312" s="3262" t="s">
        <v>3006</v>
      </c>
      <c r="C312" s="3263">
        <v>0.13800000000000001</v>
      </c>
      <c r="D312" s="3263">
        <v>0.14000000000000001</v>
      </c>
      <c r="E312" s="3263">
        <v>0.14599999999999999</v>
      </c>
      <c r="F312" s="3263">
        <v>0.14899999999999999</v>
      </c>
      <c r="G312" s="3264">
        <v>0.14199999999999999</v>
      </c>
    </row>
    <row r="313" spans="1:7">
      <c r="A313" s="3273" t="s">
        <v>306</v>
      </c>
      <c r="B313" s="3262" t="s">
        <v>3011</v>
      </c>
      <c r="C313" s="3263">
        <v>0.125</v>
      </c>
      <c r="D313" s="3263">
        <v>0.127</v>
      </c>
      <c r="E313" s="3263">
        <v>0.14399999999999999</v>
      </c>
      <c r="F313" s="3263">
        <v>0.115</v>
      </c>
      <c r="G313" s="3264">
        <v>0.13600000000000001</v>
      </c>
    </row>
    <row r="314" spans="1:7">
      <c r="A314" s="3273" t="s">
        <v>306</v>
      </c>
      <c r="B314" s="3262" t="s">
        <v>3220</v>
      </c>
      <c r="C314" s="3279"/>
      <c r="D314" s="3279"/>
      <c r="E314" s="3279"/>
      <c r="F314" s="3263">
        <v>0.05</v>
      </c>
      <c r="G314" s="3280"/>
    </row>
    <row r="315" spans="1:7">
      <c r="A315" s="3273" t="s">
        <v>306</v>
      </c>
      <c r="B315" s="3262" t="s">
        <v>3221</v>
      </c>
      <c r="C315" s="3279"/>
      <c r="D315" s="3279"/>
      <c r="E315" s="3279"/>
      <c r="F315" s="3263">
        <v>0.05</v>
      </c>
      <c r="G315" s="3280"/>
    </row>
    <row r="316" spans="1:7">
      <c r="A316" s="3273" t="s">
        <v>306</v>
      </c>
      <c r="B316" s="3262" t="s">
        <v>3222</v>
      </c>
      <c r="C316" s="3274"/>
      <c r="D316" s="3274"/>
      <c r="E316" s="3274"/>
      <c r="F316" s="3263">
        <v>0.05</v>
      </c>
      <c r="G316" s="3280"/>
    </row>
    <row r="317" spans="1:7">
      <c r="A317" s="3273" t="s">
        <v>306</v>
      </c>
      <c r="B317" s="3262" t="s">
        <v>3223</v>
      </c>
      <c r="C317" s="3274"/>
      <c r="D317" s="3274"/>
      <c r="E317" s="3274"/>
      <c r="F317" s="3263">
        <v>0.05</v>
      </c>
      <c r="G317" s="3280"/>
    </row>
    <row r="318" spans="1:7">
      <c r="A318" s="3273" t="s">
        <v>306</v>
      </c>
      <c r="B318" s="3262" t="s">
        <v>3224</v>
      </c>
      <c r="C318" s="3274"/>
      <c r="D318" s="3274"/>
      <c r="E318" s="3274"/>
      <c r="F318" s="3263">
        <v>0.05</v>
      </c>
      <c r="G318" s="3280"/>
    </row>
    <row r="319" spans="1:7">
      <c r="A319" s="3273" t="s">
        <v>306</v>
      </c>
      <c r="B319" s="3262" t="s">
        <v>3225</v>
      </c>
      <c r="C319" s="3274"/>
      <c r="D319" s="3274"/>
      <c r="E319" s="3274"/>
      <c r="F319" s="3263">
        <v>0.05</v>
      </c>
      <c r="G319" s="3280"/>
    </row>
    <row r="320" spans="1:7">
      <c r="A320" s="3273" t="s">
        <v>306</v>
      </c>
      <c r="B320" s="3262" t="s">
        <v>3226</v>
      </c>
      <c r="C320" s="3274"/>
      <c r="D320" s="3274"/>
      <c r="E320" s="3274"/>
      <c r="F320" s="3263">
        <v>0.05</v>
      </c>
      <c r="G320" s="3280"/>
    </row>
    <row r="321" spans="1:7">
      <c r="A321" s="3273" t="s">
        <v>306</v>
      </c>
      <c r="B321" s="3262" t="s">
        <v>3227</v>
      </c>
      <c r="C321" s="3274"/>
      <c r="D321" s="3274"/>
      <c r="E321" s="3274"/>
      <c r="F321" s="3263">
        <v>0.05</v>
      </c>
      <c r="G321" s="3280"/>
    </row>
    <row r="322" spans="1:7">
      <c r="A322" s="3273" t="s">
        <v>306</v>
      </c>
      <c r="B322" s="3262" t="s">
        <v>3228</v>
      </c>
      <c r="C322" s="3274"/>
      <c r="D322" s="3274"/>
      <c r="E322" s="3274"/>
      <c r="F322" s="3263">
        <v>0.05</v>
      </c>
      <c r="G322" s="3280"/>
    </row>
    <row r="323" spans="1:7">
      <c r="A323" s="3273" t="s">
        <v>306</v>
      </c>
      <c r="B323" s="3262" t="s">
        <v>3229</v>
      </c>
      <c r="C323" s="3274"/>
      <c r="D323" s="3274"/>
      <c r="E323" s="3274"/>
      <c r="F323" s="3263">
        <v>0.05</v>
      </c>
      <c r="G323" s="3280"/>
    </row>
    <row r="324" spans="1:7">
      <c r="A324" s="3273" t="s">
        <v>306</v>
      </c>
      <c r="B324" s="3262" t="s">
        <v>3230</v>
      </c>
      <c r="C324" s="3274"/>
      <c r="D324" s="3274"/>
      <c r="E324" s="3274"/>
      <c r="F324" s="3263">
        <v>0.05</v>
      </c>
      <c r="G324" s="3280"/>
    </row>
    <row r="325" spans="1:7">
      <c r="A325" s="3273" t="s">
        <v>306</v>
      </c>
      <c r="B325" s="3262" t="s">
        <v>3231</v>
      </c>
      <c r="C325" s="3274"/>
      <c r="D325" s="3274"/>
      <c r="E325" s="3274"/>
      <c r="F325" s="3263">
        <v>0.05</v>
      </c>
      <c r="G325" s="3280"/>
    </row>
    <row r="326" spans="1:7" ht="14.25" thickBot="1">
      <c r="A326" s="3276" t="s">
        <v>306</v>
      </c>
      <c r="B326" s="3266" t="s">
        <v>3232</v>
      </c>
      <c r="C326" s="3268"/>
      <c r="D326" s="3268"/>
      <c r="E326" s="3268"/>
      <c r="F326" s="3267">
        <v>0.05</v>
      </c>
      <c r="G326" s="3281"/>
    </row>
    <row r="327" spans="1:7">
      <c r="A327" s="3272" t="s">
        <v>307</v>
      </c>
      <c r="B327" s="3258" t="s">
        <v>2864</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2876</v>
      </c>
      <c r="C329" s="3263">
        <v>0.15</v>
      </c>
      <c r="D329" s="3263">
        <v>0.15</v>
      </c>
      <c r="E329" s="3263">
        <v>0.15</v>
      </c>
      <c r="F329" s="3263">
        <v>0.15</v>
      </c>
      <c r="G329" s="3264">
        <v>0.15</v>
      </c>
    </row>
    <row r="330" spans="1:7">
      <c r="A330" s="3273" t="s">
        <v>307</v>
      </c>
      <c r="B330" s="3262" t="s">
        <v>2880</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2888</v>
      </c>
      <c r="C332" s="3263">
        <v>0.15</v>
      </c>
      <c r="D332" s="3263">
        <v>0.15</v>
      </c>
      <c r="E332" s="3263">
        <v>0.15</v>
      </c>
      <c r="F332" s="3263">
        <v>0.15</v>
      </c>
      <c r="G332" s="3264">
        <v>0.15</v>
      </c>
    </row>
    <row r="333" spans="1:7">
      <c r="A333" s="3273" t="s">
        <v>307</v>
      </c>
      <c r="B333" s="3262" t="s">
        <v>2892</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2898</v>
      </c>
      <c r="C336" s="3263">
        <v>0.15</v>
      </c>
      <c r="D336" s="3263">
        <v>0.15</v>
      </c>
      <c r="E336" s="3263">
        <v>0.15</v>
      </c>
      <c r="F336" s="3263">
        <v>0.14199999999999999</v>
      </c>
      <c r="G336" s="3264">
        <v>0.15</v>
      </c>
    </row>
    <row r="337" spans="1:7">
      <c r="A337" s="3273" t="s">
        <v>307</v>
      </c>
      <c r="B337" s="3262" t="s">
        <v>2903</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2910</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2915</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2923</v>
      </c>
      <c r="C345" s="3263">
        <v>0.15</v>
      </c>
      <c r="D345" s="3263">
        <v>0.15</v>
      </c>
      <c r="E345" s="3263">
        <v>0.15</v>
      </c>
      <c r="F345" s="3263">
        <v>0.13800000000000001</v>
      </c>
      <c r="G345" s="3264">
        <v>0.15</v>
      </c>
    </row>
    <row r="346" spans="1:7">
      <c r="A346" s="3273" t="s">
        <v>307</v>
      </c>
      <c r="B346" s="3262" t="s">
        <v>2925</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2932</v>
      </c>
      <c r="C348" s="3263">
        <v>0.15</v>
      </c>
      <c r="D348" s="3263">
        <v>0.15</v>
      </c>
      <c r="E348" s="3263">
        <v>0.15</v>
      </c>
      <c r="F348" s="3263">
        <v>0.14399999999999999</v>
      </c>
      <c r="G348" s="3264">
        <v>0.15</v>
      </c>
    </row>
    <row r="349" spans="1:7">
      <c r="A349" s="3273" t="s">
        <v>307</v>
      </c>
      <c r="B349" s="3262" t="s">
        <v>2937</v>
      </c>
      <c r="C349" s="3263">
        <v>0.15</v>
      </c>
      <c r="D349" s="3263">
        <v>0.15</v>
      </c>
      <c r="E349" s="3263">
        <v>0.15</v>
      </c>
      <c r="F349" s="3263">
        <v>0.15</v>
      </c>
      <c r="G349" s="3264">
        <v>0.15</v>
      </c>
    </row>
    <row r="350" spans="1:7">
      <c r="A350" s="3273" t="s">
        <v>307</v>
      </c>
      <c r="B350" s="3262" t="s">
        <v>2940</v>
      </c>
      <c r="C350" s="3263">
        <v>0.15</v>
      </c>
      <c r="D350" s="3263">
        <v>0.15</v>
      </c>
      <c r="E350" s="3263">
        <v>0.15</v>
      </c>
      <c r="F350" s="3263">
        <v>0.14699999999999999</v>
      </c>
      <c r="G350" s="3264">
        <v>0.15</v>
      </c>
    </row>
    <row r="351" spans="1:7">
      <c r="A351" s="3273" t="s">
        <v>307</v>
      </c>
      <c r="B351" s="3262" t="s">
        <v>2945</v>
      </c>
      <c r="C351" s="3263">
        <v>0.15</v>
      </c>
      <c r="D351" s="3263">
        <v>0.15</v>
      </c>
      <c r="E351" s="3263">
        <v>0.15</v>
      </c>
      <c r="F351" s="3263">
        <v>0.13</v>
      </c>
      <c r="G351" s="3264">
        <v>0.15</v>
      </c>
    </row>
    <row r="352" spans="1:7">
      <c r="A352" s="3273" t="s">
        <v>307</v>
      </c>
      <c r="B352" s="3262" t="s">
        <v>2950</v>
      </c>
      <c r="C352" s="3263">
        <v>0.15</v>
      </c>
      <c r="D352" s="3263">
        <v>0.15</v>
      </c>
      <c r="E352" s="3263">
        <v>0.15</v>
      </c>
      <c r="F352" s="3263">
        <v>0.14599999999999999</v>
      </c>
      <c r="G352" s="3264">
        <v>0.15</v>
      </c>
    </row>
    <row r="353" spans="1:7">
      <c r="A353" s="3273" t="s">
        <v>307</v>
      </c>
      <c r="B353" s="3262" t="s">
        <v>2957</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2970</v>
      </c>
      <c r="C355" s="3263">
        <v>0.15</v>
      </c>
      <c r="D355" s="3263">
        <v>0.15</v>
      </c>
      <c r="E355" s="3263">
        <v>0.15</v>
      </c>
      <c r="F355" s="3263">
        <v>0.15</v>
      </c>
      <c r="G355" s="3264">
        <v>0.15</v>
      </c>
    </row>
    <row r="356" spans="1:7">
      <c r="A356" s="3273" t="s">
        <v>307</v>
      </c>
      <c r="B356" s="3262" t="s">
        <v>2977</v>
      </c>
      <c r="C356" s="3263">
        <v>0.15</v>
      </c>
      <c r="D356" s="3263">
        <v>0.15</v>
      </c>
      <c r="E356" s="3263">
        <v>0.15</v>
      </c>
      <c r="F356" s="3263">
        <v>0.15</v>
      </c>
      <c r="G356" s="3264">
        <v>0.15</v>
      </c>
    </row>
    <row r="357" spans="1:7" ht="14.25" thickBot="1">
      <c r="A357" s="3276" t="s">
        <v>307</v>
      </c>
      <c r="B357" s="3266" t="s">
        <v>2982</v>
      </c>
      <c r="C357" s="3267">
        <v>0.126</v>
      </c>
      <c r="D357" s="3267">
        <v>0.127</v>
      </c>
      <c r="E357" s="3267">
        <v>0.14299999999999999</v>
      </c>
      <c r="F357" s="3267">
        <v>0.125</v>
      </c>
      <c r="G357" s="3269">
        <v>0.129</v>
      </c>
    </row>
    <row r="358" spans="1:7">
      <c r="A358" s="3272" t="s">
        <v>2851</v>
      </c>
      <c r="B358" s="3258" t="s">
        <v>2865</v>
      </c>
      <c r="C358" s="3259">
        <v>0.15</v>
      </c>
      <c r="D358" s="3259">
        <v>0.15</v>
      </c>
      <c r="E358" s="3259">
        <v>0.15</v>
      </c>
      <c r="F358" s="3259">
        <v>0.15</v>
      </c>
      <c r="G358" s="3260">
        <v>0.15</v>
      </c>
    </row>
    <row r="359" spans="1:7">
      <c r="A359" s="3273" t="s">
        <v>2851</v>
      </c>
      <c r="B359" s="3262" t="s">
        <v>2871</v>
      </c>
      <c r="C359" s="3263">
        <v>0.1</v>
      </c>
      <c r="D359" s="3263">
        <v>0.1</v>
      </c>
      <c r="E359" s="3263">
        <v>0.1</v>
      </c>
      <c r="F359" s="3263">
        <v>0.1</v>
      </c>
      <c r="G359" s="3264">
        <v>0.1</v>
      </c>
    </row>
    <row r="360" spans="1:7">
      <c r="A360" s="3273" t="s">
        <v>2851</v>
      </c>
      <c r="B360" s="3262" t="s">
        <v>2877</v>
      </c>
      <c r="C360" s="3263">
        <v>0.15</v>
      </c>
      <c r="D360" s="3263">
        <v>0.15</v>
      </c>
      <c r="E360" s="3263">
        <v>0.15</v>
      </c>
      <c r="F360" s="3263">
        <v>0.14899999999999999</v>
      </c>
      <c r="G360" s="3264">
        <v>0.15</v>
      </c>
    </row>
    <row r="361" spans="1:7">
      <c r="A361" s="3273" t="s">
        <v>2851</v>
      </c>
      <c r="B361" s="3262" t="s">
        <v>153</v>
      </c>
      <c r="C361" s="3263">
        <v>0.15</v>
      </c>
      <c r="D361" s="3263">
        <v>0.15</v>
      </c>
      <c r="E361" s="3263">
        <v>0.15</v>
      </c>
      <c r="F361" s="3263">
        <v>0.115</v>
      </c>
      <c r="G361" s="3264">
        <v>0.15</v>
      </c>
    </row>
    <row r="362" spans="1:7">
      <c r="A362" s="3273" t="s">
        <v>2851</v>
      </c>
      <c r="B362" s="3262" t="s">
        <v>2884</v>
      </c>
      <c r="C362" s="3263">
        <v>0.15</v>
      </c>
      <c r="D362" s="3263">
        <v>0.15</v>
      </c>
      <c r="E362" s="3263">
        <v>0.15</v>
      </c>
      <c r="F362" s="3263">
        <v>0.106</v>
      </c>
      <c r="G362" s="3264">
        <v>0.15</v>
      </c>
    </row>
    <row r="363" spans="1:7">
      <c r="A363" s="3273" t="s">
        <v>2851</v>
      </c>
      <c r="B363" s="3262" t="s">
        <v>2889</v>
      </c>
      <c r="C363" s="3263">
        <v>0.15</v>
      </c>
      <c r="D363" s="3263">
        <v>0.15</v>
      </c>
      <c r="E363" s="3263">
        <v>0.15</v>
      </c>
      <c r="F363" s="3263">
        <v>0.14699999999999999</v>
      </c>
      <c r="G363" s="3264">
        <v>0.15</v>
      </c>
    </row>
    <row r="364" spans="1:7">
      <c r="A364" s="3273" t="s">
        <v>2851</v>
      </c>
      <c r="B364" s="3262" t="s">
        <v>2893</v>
      </c>
      <c r="C364" s="3263">
        <v>0.15</v>
      </c>
      <c r="D364" s="3263">
        <v>0.15</v>
      </c>
      <c r="E364" s="3263">
        <v>0.15</v>
      </c>
      <c r="F364" s="3263">
        <v>0.14799999999999999</v>
      </c>
      <c r="G364" s="3264">
        <v>0.15</v>
      </c>
    </row>
    <row r="365" spans="1:7">
      <c r="A365" s="3273" t="s">
        <v>2851</v>
      </c>
      <c r="B365" s="3262" t="s">
        <v>200</v>
      </c>
      <c r="C365" s="3263">
        <v>0.15</v>
      </c>
      <c r="D365" s="3263">
        <v>0.15</v>
      </c>
      <c r="E365" s="3263">
        <v>0.15</v>
      </c>
      <c r="F365" s="3263">
        <v>0.15</v>
      </c>
      <c r="G365" s="3264">
        <v>0.15</v>
      </c>
    </row>
    <row r="366" spans="1:7">
      <c r="A366" s="3273" t="s">
        <v>2851</v>
      </c>
      <c r="B366" s="3262" t="s">
        <v>2896</v>
      </c>
      <c r="C366" s="3263">
        <v>0.15</v>
      </c>
      <c r="D366" s="3263">
        <v>0.15</v>
      </c>
      <c r="E366" s="3263">
        <v>0.15</v>
      </c>
      <c r="F366" s="3263">
        <v>0.15</v>
      </c>
      <c r="G366" s="3264">
        <v>0.15</v>
      </c>
    </row>
    <row r="367" spans="1:7">
      <c r="A367" s="3273" t="s">
        <v>2851</v>
      </c>
      <c r="B367" s="3262" t="s">
        <v>2899</v>
      </c>
      <c r="C367" s="3263">
        <v>0.15</v>
      </c>
      <c r="D367" s="3263">
        <v>0.15</v>
      </c>
      <c r="E367" s="3263">
        <v>0.15</v>
      </c>
      <c r="F367" s="3263">
        <v>0.14699999999999999</v>
      </c>
      <c r="G367" s="3264">
        <v>0.15</v>
      </c>
    </row>
    <row r="368" spans="1:7">
      <c r="A368" s="3273" t="s">
        <v>2851</v>
      </c>
      <c r="B368" s="3262" t="s">
        <v>2904</v>
      </c>
      <c r="C368" s="3263">
        <v>0.15</v>
      </c>
      <c r="D368" s="3263">
        <v>0.15</v>
      </c>
      <c r="E368" s="3263">
        <v>0.15</v>
      </c>
      <c r="F368" s="3263">
        <v>0.13600000000000001</v>
      </c>
      <c r="G368" s="3264">
        <v>0.15</v>
      </c>
    </row>
    <row r="369" spans="1:7">
      <c r="A369" s="3273" t="s">
        <v>2851</v>
      </c>
      <c r="B369" s="3262" t="s">
        <v>214</v>
      </c>
      <c r="C369" s="3263">
        <v>0.15</v>
      </c>
      <c r="D369" s="3263">
        <v>0.15</v>
      </c>
      <c r="E369" s="3263">
        <v>0.15</v>
      </c>
      <c r="F369" s="3263">
        <v>0.14399999999999999</v>
      </c>
      <c r="G369" s="3264">
        <v>0.15</v>
      </c>
    </row>
    <row r="370" spans="1:7">
      <c r="A370" s="3273" t="s">
        <v>2851</v>
      </c>
      <c r="B370" s="3262" t="s">
        <v>221</v>
      </c>
      <c r="C370" s="3263">
        <v>0.15</v>
      </c>
      <c r="D370" s="3263">
        <v>0.15</v>
      </c>
      <c r="E370" s="3263">
        <v>0.15</v>
      </c>
      <c r="F370" s="3263">
        <v>0.14599999999999999</v>
      </c>
      <c r="G370" s="3264">
        <v>0.15</v>
      </c>
    </row>
    <row r="371" spans="1:7">
      <c r="A371" s="3273" t="s">
        <v>2851</v>
      </c>
      <c r="B371" s="3262" t="s">
        <v>229</v>
      </c>
      <c r="C371" s="3263">
        <v>0.15</v>
      </c>
      <c r="D371" s="3263">
        <v>0.15</v>
      </c>
      <c r="E371" s="3263">
        <v>0.15</v>
      </c>
      <c r="F371" s="3263">
        <v>0.12</v>
      </c>
      <c r="G371" s="3264">
        <v>0.15</v>
      </c>
    </row>
    <row r="372" spans="1:7">
      <c r="A372" s="3273" t="s">
        <v>2851</v>
      </c>
      <c r="B372" s="3262" t="s">
        <v>2912</v>
      </c>
      <c r="C372" s="3263">
        <v>0.15</v>
      </c>
      <c r="D372" s="3263">
        <v>0.15</v>
      </c>
      <c r="E372" s="3263">
        <v>0.15</v>
      </c>
      <c r="F372" s="3263">
        <v>0.14299999999999999</v>
      </c>
      <c r="G372" s="3264">
        <v>0.15</v>
      </c>
    </row>
    <row r="373" spans="1:7">
      <c r="A373" s="3273" t="s">
        <v>2851</v>
      </c>
      <c r="B373" s="3262" t="s">
        <v>258</v>
      </c>
      <c r="C373" s="3263">
        <v>0.15</v>
      </c>
      <c r="D373" s="3263">
        <v>0.15</v>
      </c>
      <c r="E373" s="3263">
        <v>0.15</v>
      </c>
      <c r="F373" s="3263">
        <v>0.14599999999999999</v>
      </c>
      <c r="G373" s="3264">
        <v>0.15</v>
      </c>
    </row>
    <row r="374" spans="1:7">
      <c r="A374" s="3273" t="s">
        <v>2851</v>
      </c>
      <c r="B374" s="3262" t="s">
        <v>266</v>
      </c>
      <c r="C374" s="3263">
        <v>0.15</v>
      </c>
      <c r="D374" s="3263">
        <v>0.15</v>
      </c>
      <c r="E374" s="3263">
        <v>0.15</v>
      </c>
      <c r="F374" s="3263">
        <v>0.14399999999999999</v>
      </c>
      <c r="G374" s="3264">
        <v>0.15</v>
      </c>
    </row>
    <row r="375" spans="1:7">
      <c r="A375" s="3273" t="s">
        <v>2851</v>
      </c>
      <c r="B375" s="3262" t="s">
        <v>2920</v>
      </c>
      <c r="C375" s="3263">
        <v>0.15</v>
      </c>
      <c r="D375" s="3263">
        <v>0.15</v>
      </c>
      <c r="E375" s="3263">
        <v>0.15</v>
      </c>
      <c r="F375" s="3263">
        <v>0.13</v>
      </c>
      <c r="G375" s="3264">
        <v>0.15</v>
      </c>
    </row>
    <row r="376" spans="1:7">
      <c r="A376" s="3273" t="s">
        <v>2851</v>
      </c>
      <c r="B376" s="3262" t="s">
        <v>277</v>
      </c>
      <c r="C376" s="3263">
        <v>0.15</v>
      </c>
      <c r="D376" s="3263">
        <v>0.15</v>
      </c>
      <c r="E376" s="3263">
        <v>0.15</v>
      </c>
      <c r="F376" s="3263">
        <v>0.14199999999999999</v>
      </c>
      <c r="G376" s="3264">
        <v>0.15</v>
      </c>
    </row>
    <row r="377" spans="1:7" ht="14.25" thickBot="1">
      <c r="A377" s="3276" t="s">
        <v>2851</v>
      </c>
      <c r="B377" s="3266" t="s">
        <v>2926</v>
      </c>
      <c r="C377" s="3267">
        <v>0.15</v>
      </c>
      <c r="D377" s="3267">
        <v>0.15</v>
      </c>
      <c r="E377" s="3267">
        <v>0.15</v>
      </c>
      <c r="F377" s="3267">
        <v>0.14000000000000001</v>
      </c>
      <c r="G377" s="3269">
        <v>0.15</v>
      </c>
    </row>
    <row r="378" spans="1:7">
      <c r="A378" s="3272" t="s">
        <v>2852</v>
      </c>
      <c r="B378" s="3258" t="s">
        <v>2866</v>
      </c>
      <c r="C378" s="3259">
        <v>0.15</v>
      </c>
      <c r="D378" s="3259">
        <v>0.15</v>
      </c>
      <c r="E378" s="3259">
        <v>0.15</v>
      </c>
      <c r="F378" s="3259">
        <v>0.107</v>
      </c>
      <c r="G378" s="3260">
        <v>0.15</v>
      </c>
    </row>
    <row r="379" spans="1:7">
      <c r="A379" s="3273" t="s">
        <v>2852</v>
      </c>
      <c r="B379" s="3262" t="s">
        <v>2872</v>
      </c>
      <c r="C379" s="3263">
        <v>0.15</v>
      </c>
      <c r="D379" s="3263">
        <v>0.15</v>
      </c>
      <c r="E379" s="3263">
        <v>0.15</v>
      </c>
      <c r="F379" s="3263">
        <v>0.115</v>
      </c>
      <c r="G379" s="3264">
        <v>0.14899999999999999</v>
      </c>
    </row>
    <row r="380" spans="1:7">
      <c r="A380" s="3273" t="s">
        <v>2852</v>
      </c>
      <c r="B380" s="3262" t="s">
        <v>2878</v>
      </c>
      <c r="C380" s="3263">
        <v>0.15</v>
      </c>
      <c r="D380" s="3263">
        <v>0.15</v>
      </c>
      <c r="E380" s="3263">
        <v>0.15</v>
      </c>
      <c r="F380" s="3263">
        <v>0.1</v>
      </c>
      <c r="G380" s="3264">
        <v>0.14799999999999999</v>
      </c>
    </row>
    <row r="381" spans="1:7">
      <c r="A381" s="3273" t="s">
        <v>2852</v>
      </c>
      <c r="B381" s="3262" t="s">
        <v>2881</v>
      </c>
      <c r="C381" s="3263">
        <v>0.15</v>
      </c>
      <c r="D381" s="3263">
        <v>0.15</v>
      </c>
      <c r="E381" s="3263">
        <v>0.15</v>
      </c>
      <c r="F381" s="3263">
        <v>0.126</v>
      </c>
      <c r="G381" s="3264">
        <v>0.15</v>
      </c>
    </row>
    <row r="382" spans="1:7">
      <c r="A382" s="3273" t="s">
        <v>2852</v>
      </c>
      <c r="B382" s="3262" t="s">
        <v>2885</v>
      </c>
      <c r="C382" s="3263">
        <v>0.15</v>
      </c>
      <c r="D382" s="3263">
        <v>0.15</v>
      </c>
      <c r="E382" s="3263">
        <v>0.15</v>
      </c>
      <c r="F382" s="3263">
        <v>0.15</v>
      </c>
      <c r="G382" s="3264">
        <v>0.15</v>
      </c>
    </row>
    <row r="383" spans="1:7">
      <c r="A383" s="3273" t="s">
        <v>2852</v>
      </c>
      <c r="B383" s="3262" t="s">
        <v>2890</v>
      </c>
      <c r="C383" s="3263">
        <v>0.15</v>
      </c>
      <c r="D383" s="3263">
        <v>0.15</v>
      </c>
      <c r="E383" s="3263">
        <v>0.15</v>
      </c>
      <c r="F383" s="3263">
        <v>0.14699999999999999</v>
      </c>
      <c r="G383" s="3264">
        <v>0.15</v>
      </c>
    </row>
    <row r="384" spans="1:7" ht="14.25" thickBot="1">
      <c r="A384" s="3283" t="s">
        <v>2852</v>
      </c>
      <c r="B384" s="3284" t="s">
        <v>2894</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803" t="s">
        <v>3233</v>
      </c>
      <c r="B1" s="3803"/>
      <c r="C1" s="3803"/>
      <c r="D1" s="3803"/>
      <c r="E1" s="3803"/>
      <c r="F1" s="3804"/>
    </row>
    <row r="2" spans="1:6">
      <c r="A2" s="3289" t="s">
        <v>3234</v>
      </c>
      <c r="B2" s="3290"/>
      <c r="C2" s="3290"/>
      <c r="D2" s="3290"/>
      <c r="E2" s="3290"/>
      <c r="F2" s="3290"/>
    </row>
    <row r="3" spans="1:6">
      <c r="A3" s="3289" t="s">
        <v>3235</v>
      </c>
      <c r="B3" s="3290"/>
      <c r="C3" s="3290"/>
      <c r="D3" s="3290"/>
      <c r="E3" s="3290"/>
      <c r="F3" s="3291" t="s">
        <v>3236</v>
      </c>
    </row>
    <row r="4" spans="1:6">
      <c r="A4" s="3292" t="s">
        <v>672</v>
      </c>
      <c r="B4" s="3292" t="s">
        <v>673</v>
      </c>
      <c r="C4" s="3292" t="s">
        <v>21</v>
      </c>
      <c r="D4" s="3292" t="s">
        <v>674</v>
      </c>
      <c r="E4" s="3292" t="s">
        <v>3</v>
      </c>
      <c r="F4" s="3292" t="s">
        <v>3237</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80" zoomScaleNormal="80" workbookViewId="0">
      <selection activeCell="H50" sqref="H50"/>
    </sheetView>
  </sheetViews>
  <sheetFormatPr defaultRowHeight="13.5"/>
  <cols>
    <col min="1" max="1" width="13.875" customWidth="1"/>
    <col min="11" max="17" width="0" hidden="1" customWidth="1"/>
    <col min="25" max="30" width="0" hidden="1" customWidth="1"/>
  </cols>
  <sheetData>
    <row r="1" spans="1:30">
      <c r="A1" s="3219">
        <f>基准地价修正!G23</f>
        <v>45581</v>
      </c>
      <c r="B1" s="3208" t="s">
        <v>3371</v>
      </c>
      <c r="C1" s="3209"/>
      <c r="D1" s="3209"/>
      <c r="E1" s="3209"/>
      <c r="F1" s="3209"/>
      <c r="G1" s="3209"/>
      <c r="H1" s="3209"/>
      <c r="I1" s="3209"/>
      <c r="J1" s="3163"/>
      <c r="K1" s="3209" t="s">
        <v>454</v>
      </c>
      <c r="L1" s="3209"/>
      <c r="M1" s="3209"/>
      <c r="N1" s="3209"/>
      <c r="O1" s="3209"/>
      <c r="P1" s="3209"/>
      <c r="Q1" s="3163"/>
      <c r="R1" s="3805" t="s">
        <v>456</v>
      </c>
      <c r="S1" s="3806"/>
      <c r="T1" s="3806"/>
      <c r="U1" s="3806"/>
      <c r="V1" s="3806"/>
      <c r="W1" s="3806"/>
      <c r="X1" s="3163"/>
      <c r="Y1" s="3805" t="s">
        <v>457</v>
      </c>
      <c r="Z1" s="3806"/>
      <c r="AA1" s="3806"/>
      <c r="AB1" s="3806"/>
      <c r="AC1" s="3806"/>
      <c r="AD1" s="3806"/>
    </row>
    <row r="2" spans="1:30" s="3141" customFormat="1" ht="14.25" thickBot="1">
      <c r="B2" s="3142"/>
      <c r="C2" s="3143"/>
      <c r="D2" s="3144" t="s">
        <v>2811</v>
      </c>
      <c r="E2" s="3145" t="s">
        <v>2812</v>
      </c>
      <c r="F2" s="3145" t="s">
        <v>2813</v>
      </c>
      <c r="G2" s="3145" t="s">
        <v>2814</v>
      </c>
      <c r="H2" s="3145" t="s">
        <v>2815</v>
      </c>
      <c r="I2" s="3145" t="s">
        <v>2632</v>
      </c>
      <c r="J2" s="3146"/>
      <c r="K2" s="3144" t="s">
        <v>2811</v>
      </c>
      <c r="L2" s="3145" t="s">
        <v>2812</v>
      </c>
      <c r="M2" s="3145" t="s">
        <v>2813</v>
      </c>
      <c r="N2" s="3145" t="s">
        <v>2814</v>
      </c>
      <c r="O2" s="3145" t="s">
        <v>2816</v>
      </c>
      <c r="P2" s="3145" t="s">
        <v>2632</v>
      </c>
      <c r="Q2" s="3146"/>
      <c r="R2" s="3144" t="s">
        <v>2811</v>
      </c>
      <c r="S2" s="3145" t="s">
        <v>2812</v>
      </c>
      <c r="T2" s="3145" t="s">
        <v>2813</v>
      </c>
      <c r="U2" s="3145" t="s">
        <v>2817</v>
      </c>
      <c r="V2" s="3145" t="s">
        <v>2818</v>
      </c>
      <c r="W2" s="3145" t="s">
        <v>2632</v>
      </c>
      <c r="X2" s="3146"/>
      <c r="Y2" s="3144" t="s">
        <v>2811</v>
      </c>
      <c r="Z2" s="3145" t="s">
        <v>2812</v>
      </c>
      <c r="AA2" s="3145" t="s">
        <v>2813</v>
      </c>
      <c r="AB2" s="3145" t="s">
        <v>2819</v>
      </c>
      <c r="AC2" s="3145" t="s">
        <v>2818</v>
      </c>
      <c r="AD2" s="3145" t="s">
        <v>2632</v>
      </c>
    </row>
    <row r="3" spans="1:30" s="3159" customFormat="1" ht="12.75">
      <c r="A3" s="3147" t="s">
        <v>2820</v>
      </c>
      <c r="B3" s="3148"/>
      <c r="C3" s="3149"/>
      <c r="D3" s="3149">
        <f>ROUND(AVERAGEIF(D4:D21,"&lt;&gt;0"),2)</f>
        <v>0.59</v>
      </c>
      <c r="E3" s="3149">
        <f t="shared" ref="E3:H3" si="0">ROUND(AVERAGEIF(E4:E21,"&lt;&gt;0"),2)</f>
        <v>0.36</v>
      </c>
      <c r="F3" s="3149">
        <f t="shared" si="0"/>
        <v>0.06</v>
      </c>
      <c r="G3" s="3149">
        <f t="shared" si="0"/>
        <v>0.6</v>
      </c>
      <c r="H3" s="3149">
        <f t="shared" si="0"/>
        <v>0.6</v>
      </c>
      <c r="I3" s="3149">
        <f>F3</f>
        <v>0.06</v>
      </c>
      <c r="J3" s="3150"/>
      <c r="K3" s="3151">
        <f>ROUND(AVERAGEIF(K4:K21,"&lt;&gt;0"),4)</f>
        <v>5.8999999999999999E-3</v>
      </c>
      <c r="L3" s="3152">
        <f t="shared" ref="L3:O3" si="1">ROUND(AVERAGEIF(L4:L21,"&lt;&gt;0"),4)</f>
        <v>3.5999999999999999E-3</v>
      </c>
      <c r="M3" s="3152">
        <f t="shared" si="1"/>
        <v>5.9999999999999995E-4</v>
      </c>
      <c r="N3" s="3152">
        <f t="shared" si="1"/>
        <v>6.0000000000000001E-3</v>
      </c>
      <c r="O3" s="3152">
        <f t="shared" si="1"/>
        <v>6.0000000000000001E-3</v>
      </c>
      <c r="P3" s="3152">
        <f>M3</f>
        <v>5.9999999999999995E-4</v>
      </c>
      <c r="Q3" s="3150"/>
      <c r="R3" s="3153">
        <f>ROUND(SUMPRODUCT(PRODUCT(1+K4:K21)),4)</f>
        <v>1.0852999999999999</v>
      </c>
      <c r="S3" s="3154">
        <f t="shared" ref="S3:V3" si="2">ROUND(SUMPRODUCT(PRODUCT(1+L4:L21)),4)</f>
        <v>1.0513999999999999</v>
      </c>
      <c r="T3" s="3154">
        <f t="shared" si="2"/>
        <v>1.0083</v>
      </c>
      <c r="U3" s="3154">
        <f t="shared" si="2"/>
        <v>1.0871999999999999</v>
      </c>
      <c r="V3" s="3154">
        <f t="shared" si="2"/>
        <v>1.0880000000000001</v>
      </c>
      <c r="W3" s="3153">
        <f>T3</f>
        <v>1.0083</v>
      </c>
      <c r="X3" s="3150"/>
      <c r="Y3" s="3155">
        <f>ROUND(AVERAGEIF(Y8:Y21,"&lt;&gt;0"),4)</f>
        <v>8.3999999999999995E-3</v>
      </c>
      <c r="Z3" s="3156">
        <f t="shared" ref="Z3:AC3" si="3">ROUND(AVERAGEIF(Z8:Z21,"&lt;&gt;0"),4)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3382</v>
      </c>
      <c r="B5" s="3175">
        <v>2025</v>
      </c>
      <c r="C5" s="3176">
        <v>1</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ROUND(IF(项目基本情况!$B$8="出让",SUMPRODUCT(PRODUCT(1+K5:$K$21)),SUMPRODUCT(PRODUCT(1+K5:$K$20))),4)</f>
        <v>1.0748</v>
      </c>
      <c r="S5" s="3181">
        <f>ROUND(IF(项目基本情况!$B$8="出让",SUMPRODUCT(PRODUCT(1+L5:$L$21)),SUMPRODUCT(PRODUCT(1+L5:$L$20))),4)</f>
        <v>1.0498000000000001</v>
      </c>
      <c r="T5" s="3181">
        <f>ROUND(IF(项目基本情况!$B$8="出让",SUMPRODUCT(PRODUCT(1+M5:$M$21)),SUMPRODUCT(PRODUCT(1+M5:$M$20))),4)</f>
        <v>1.0107999999999999</v>
      </c>
      <c r="U5" s="3181">
        <f>ROUND(IF(项目基本情况!$B$8="出让",SUMPRODUCT(PRODUCT(1+N5:$N$21)),SUMPRODUCT(PRODUCT(1+N5:$N$20))),4)</f>
        <v>1.0752999999999999</v>
      </c>
      <c r="V5" s="3181">
        <f>ROUND(IF(项目基本情况!$B$8="出让",SUMPRODUCT(PRODUCT(1+O5:$O$21)),SUMPRODUCT(PRODUCT(1+O5:$O$20))),4)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3383</v>
      </c>
      <c r="B6" s="3185">
        <v>2024</v>
      </c>
      <c r="C6" s="3186">
        <v>4</v>
      </c>
      <c r="D6" s="3187">
        <v>0</v>
      </c>
      <c r="E6" s="3187">
        <v>0</v>
      </c>
      <c r="F6" s="3187">
        <v>0</v>
      </c>
      <c r="G6" s="3187">
        <v>0</v>
      </c>
      <c r="H6" s="3188">
        <v>0</v>
      </c>
      <c r="I6" s="3189">
        <f t="shared" ref="I6" si="15">F6</f>
        <v>0</v>
      </c>
      <c r="J6" s="3190"/>
      <c r="K6" s="3191">
        <f t="shared" ref="K6" si="16">D6/100</f>
        <v>0</v>
      </c>
      <c r="L6" s="3192">
        <f t="shared" ref="L6" si="17">E6/100</f>
        <v>0</v>
      </c>
      <c r="M6" s="3192">
        <f t="shared" ref="M6" si="18">F6/100</f>
        <v>0</v>
      </c>
      <c r="N6" s="3192">
        <f t="shared" ref="N6" si="19">G6/100</f>
        <v>0</v>
      </c>
      <c r="O6" s="3192">
        <f t="shared" ref="O6" si="20">H6/100</f>
        <v>0</v>
      </c>
      <c r="P6" s="3192">
        <f>M6</f>
        <v>0</v>
      </c>
      <c r="Q6" s="3190"/>
      <c r="R6" s="3190">
        <f>ROUND(IF(项目基本情况!$B$8="出让",SUMPRODUCT(PRODUCT(1+K6:$K$21)),SUMPRODUCT(PRODUCT(1+K6:$K$20))),4)</f>
        <v>1.0748</v>
      </c>
      <c r="S6" s="3190">
        <f>ROUND(IF(项目基本情况!$B$8="出让",SUMPRODUCT(PRODUCT(1+L6:$L$21)),SUMPRODUCT(PRODUCT(1+L6:$L$20))),4)</f>
        <v>1.0498000000000001</v>
      </c>
      <c r="T6" s="3190">
        <f>ROUND(IF(项目基本情况!$B$8="出让",SUMPRODUCT(PRODUCT(1+M6:$M$21)),SUMPRODUCT(PRODUCT(1+M6:$M$20))),4)</f>
        <v>1.0107999999999999</v>
      </c>
      <c r="U6" s="3190">
        <f>ROUND(IF(项目基本情况!$B$8="出让",SUMPRODUCT(PRODUCT(1+N6:$N$21)),SUMPRODUCT(PRODUCT(1+N6:$N$20))),4)</f>
        <v>1.0752999999999999</v>
      </c>
      <c r="V6" s="3190">
        <f>ROUND(IF(项目基本情况!$B$8="出让",SUMPRODUCT(PRODUCT(1+O6:$O$21)),SUMPRODUCT(PRODUCT(1+O6:$O$20))),4)</f>
        <v>1.0841000000000001</v>
      </c>
      <c r="W6" s="3190">
        <f>T6</f>
        <v>1.0107999999999999</v>
      </c>
      <c r="X6" s="3190"/>
      <c r="Y6" s="3192">
        <f>IF(D6=0,0,ROUND(AVERAGE(D6:D19)/100,4))</f>
        <v>0</v>
      </c>
      <c r="Z6" s="3192">
        <f t="shared" ref="Z6" si="21">IF(E6=0,0,ROUND(AVERAGE(E6:E19)/100,4))</f>
        <v>0</v>
      </c>
      <c r="AA6" s="3192">
        <f t="shared" ref="AA6" si="22">IF(F6=0,0,ROUND(AVERAGE(F6:F19)/100,4))</f>
        <v>0</v>
      </c>
      <c r="AB6" s="3192">
        <f t="shared" ref="AB6" si="23">IF(G6=0,0,ROUND(AVERAGE(G6:G19)/100,4))</f>
        <v>0</v>
      </c>
      <c r="AC6" s="3192">
        <f t="shared" ref="AC6" si="24">IF(H6=0,0,ROUND(AVERAGE(H6:H19)/100,4))</f>
        <v>0</v>
      </c>
      <c r="AD6" s="3192">
        <f t="shared" ref="AD6" si="25">AA6</f>
        <v>0</v>
      </c>
    </row>
    <row r="7" spans="1:30" s="3183" customFormat="1" ht="12.75">
      <c r="A7" s="2203" t="s">
        <v>3377</v>
      </c>
      <c r="B7" s="3175">
        <v>2024</v>
      </c>
      <c r="C7" s="3176">
        <v>3</v>
      </c>
      <c r="D7" s="3177">
        <v>0</v>
      </c>
      <c r="E7" s="3177">
        <v>0</v>
      </c>
      <c r="F7" s="3177">
        <v>0</v>
      </c>
      <c r="G7" s="3177">
        <v>0</v>
      </c>
      <c r="H7" s="3177">
        <v>0</v>
      </c>
      <c r="I7" s="3178">
        <f t="shared" ref="I7" si="26">F7</f>
        <v>0</v>
      </c>
      <c r="J7" s="3179"/>
      <c r="K7" s="3180">
        <f t="shared" ref="K7" si="27">D7/100</f>
        <v>0</v>
      </c>
      <c r="L7" s="3170">
        <f t="shared" ref="L7" si="28">E7/100</f>
        <v>0</v>
      </c>
      <c r="M7" s="3170">
        <f t="shared" ref="M7" si="29">F7/100</f>
        <v>0</v>
      </c>
      <c r="N7" s="3170">
        <f t="shared" ref="N7" si="30">G7/100</f>
        <v>0</v>
      </c>
      <c r="O7" s="3170">
        <f t="shared" ref="O7" si="31">H7/100</f>
        <v>0</v>
      </c>
      <c r="P7" s="3170">
        <f>M7</f>
        <v>0</v>
      </c>
      <c r="Q7" s="3179"/>
      <c r="R7" s="3181">
        <f>ROUND(IF(项目基本情况!$B$8="出让",SUMPRODUCT(PRODUCT(1+K7:$K$21)),SUMPRODUCT(PRODUCT(1+K7:$K$20))),4)</f>
        <v>1.0748</v>
      </c>
      <c r="S7" s="3181">
        <f>ROUND(IF(项目基本情况!$B$8="出让",SUMPRODUCT(PRODUCT(1+L7:$L$21)),SUMPRODUCT(PRODUCT(1+L7:$L$20))),4)</f>
        <v>1.0498000000000001</v>
      </c>
      <c r="T7" s="3181">
        <f>ROUND(IF(项目基本情况!$B$8="出让",SUMPRODUCT(PRODUCT(1+M7:$M$21)),SUMPRODUCT(PRODUCT(1+M7:$M$20))),4)</f>
        <v>1.0107999999999999</v>
      </c>
      <c r="U7" s="3181">
        <f>ROUND(IF(项目基本情况!$B$8="出让",SUMPRODUCT(PRODUCT(1+N7:$N$21)),SUMPRODUCT(PRODUCT(1+N7:$N$20))),4)</f>
        <v>1.0752999999999999</v>
      </c>
      <c r="V7" s="3181">
        <f>ROUND(IF(项目基本情况!$B$8="出让",SUMPRODUCT(PRODUCT(1+O7:$O$21)),SUMPRODUCT(PRODUCT(1+O7:$O$20))),4)</f>
        <v>1.0841000000000001</v>
      </c>
      <c r="W7" s="3181">
        <f>T7</f>
        <v>1.0107999999999999</v>
      </c>
      <c r="X7" s="3179"/>
      <c r="Y7" s="3182">
        <f>IF(D7=0,0,ROUND(AVERAGE(D7:D20)/100,4))</f>
        <v>0</v>
      </c>
      <c r="Z7" s="3182">
        <f t="shared" ref="Z7" si="32">IF(E7=0,0,ROUND(AVERAGE(E7:E20)/100,4))</f>
        <v>0</v>
      </c>
      <c r="AA7" s="3182">
        <f t="shared" ref="AA7" si="33">IF(F7=0,0,ROUND(AVERAGE(F7:F20)/100,4))</f>
        <v>0</v>
      </c>
      <c r="AB7" s="3182">
        <f t="shared" ref="AB7" si="34">IF(G7=0,0,ROUND(AVERAGE(G7:G20)/100,4))</f>
        <v>0</v>
      </c>
      <c r="AC7" s="3182">
        <f t="shared" ref="AC7" si="35">IF(H7=0,0,ROUND(AVERAGE(H7:H20)/100,4))</f>
        <v>0</v>
      </c>
      <c r="AD7" s="3182">
        <f t="shared" ref="AD7" si="36">AA7</f>
        <v>0</v>
      </c>
    </row>
    <row r="8" spans="1:30" s="3183" customFormat="1" ht="12.75">
      <c r="A8" s="3174" t="s">
        <v>3384</v>
      </c>
      <c r="B8" s="3175">
        <v>2024</v>
      </c>
      <c r="C8" s="3176">
        <v>2</v>
      </c>
      <c r="D8" s="3177">
        <v>-0.59</v>
      </c>
      <c r="E8" s="3177">
        <v>-0.21</v>
      </c>
      <c r="F8" s="3177">
        <v>-1.38</v>
      </c>
      <c r="G8" s="3177">
        <v>-1.24</v>
      </c>
      <c r="H8" s="3194">
        <v>0.34</v>
      </c>
      <c r="I8" s="3178">
        <f t="shared" ref="I8:I21" si="37">F8</f>
        <v>-1.38</v>
      </c>
      <c r="J8" s="3179"/>
      <c r="K8" s="3180">
        <f t="shared" ref="K8:O21" si="38">D8/100</f>
        <v>-5.8999999999999999E-3</v>
      </c>
      <c r="L8" s="3170">
        <f t="shared" si="38"/>
        <v>-2.0999999999999999E-3</v>
      </c>
      <c r="M8" s="3170">
        <f t="shared" si="38"/>
        <v>-1.38E-2</v>
      </c>
      <c r="N8" s="3170">
        <f t="shared" si="38"/>
        <v>-1.24E-2</v>
      </c>
      <c r="O8" s="3170">
        <f t="shared" si="38"/>
        <v>3.4000000000000002E-3</v>
      </c>
      <c r="P8" s="3170">
        <f>M8</f>
        <v>-1.38E-2</v>
      </c>
      <c r="Q8" s="3179"/>
      <c r="R8" s="3181">
        <f>ROUND(IF(项目基本情况!$B$8="出让",SUMPRODUCT(PRODUCT(1+K8:$K$21)),SUMPRODUCT(PRODUCT(1+K8:$K$20))),4)</f>
        <v>1.0748</v>
      </c>
      <c r="S8" s="3181">
        <f>ROUND(IF(项目基本情况!$B$8="出让",SUMPRODUCT(PRODUCT(1+L8:$L$21)),SUMPRODUCT(PRODUCT(1+L8:$L$20))),4)</f>
        <v>1.0498000000000001</v>
      </c>
      <c r="T8" s="3181">
        <f>ROUND(IF(项目基本情况!$B$8="出让",SUMPRODUCT(PRODUCT(1+M8:$M$21)),SUMPRODUCT(PRODUCT(1+M8:$M$20))),4)</f>
        <v>1.0107999999999999</v>
      </c>
      <c r="U8" s="3181">
        <f>ROUND(IF(项目基本情况!$B$8="出让",SUMPRODUCT(PRODUCT(1+N8:$N$21)),SUMPRODUCT(PRODUCT(1+N8:$N$20))),4)</f>
        <v>1.0752999999999999</v>
      </c>
      <c r="V8" s="3181">
        <f>ROUND(IF(项目基本情况!$B$8="出让",SUMPRODUCT(PRODUCT(1+O8:$O$21)),SUMPRODUCT(PRODUCT(1+O8:$O$20))),4)</f>
        <v>1.0841000000000001</v>
      </c>
      <c r="W8" s="3181">
        <f>T8</f>
        <v>1.0107999999999999</v>
      </c>
      <c r="X8" s="3179"/>
      <c r="Y8" s="3182">
        <f>IF(D8=0,0,ROUND(AVERAGE(D8:D21)/100,4))</f>
        <v>5.8999999999999999E-3</v>
      </c>
      <c r="Z8" s="3182">
        <f t="shared" ref="Z8:AC8" si="39">IF(E8=0,0,ROUND(AVERAGE(E8:E21)/100,4))</f>
        <v>3.5999999999999999E-3</v>
      </c>
      <c r="AA8" s="3182">
        <f t="shared" si="39"/>
        <v>5.9999999999999995E-4</v>
      </c>
      <c r="AB8" s="3182">
        <f t="shared" si="39"/>
        <v>6.0000000000000001E-3</v>
      </c>
      <c r="AC8" s="3182">
        <f t="shared" si="39"/>
        <v>6.0000000000000001E-3</v>
      </c>
      <c r="AD8" s="3182">
        <f t="shared" ref="AD8:AD20" si="40">AA8</f>
        <v>5.9999999999999995E-4</v>
      </c>
    </row>
    <row r="9" spans="1:30" s="3183" customFormat="1" ht="12.75">
      <c r="A9" s="3174" t="s">
        <v>3379</v>
      </c>
      <c r="B9" s="3175">
        <v>2024</v>
      </c>
      <c r="C9" s="3176">
        <v>1</v>
      </c>
      <c r="D9" s="3177">
        <v>0.08</v>
      </c>
      <c r="E9" s="3177">
        <v>0.46</v>
      </c>
      <c r="F9" s="3177">
        <v>-0.16</v>
      </c>
      <c r="G9" s="3177">
        <v>0.26</v>
      </c>
      <c r="H9" s="3194">
        <v>0.59</v>
      </c>
      <c r="I9" s="3178">
        <v>0</v>
      </c>
      <c r="J9" s="3179"/>
      <c r="K9" s="3180">
        <f t="shared" ref="K9" si="41">D9/100</f>
        <v>8.0000000000000004E-4</v>
      </c>
      <c r="L9" s="3170">
        <f t="shared" ref="L9" si="42">E9/100</f>
        <v>4.5999999999999999E-3</v>
      </c>
      <c r="M9" s="3170">
        <f t="shared" ref="M9" si="43">F9/100</f>
        <v>-1.6000000000000001E-3</v>
      </c>
      <c r="N9" s="3170">
        <f t="shared" ref="N9" si="44">G9/100</f>
        <v>2.5999999999999999E-3</v>
      </c>
      <c r="O9" s="3170">
        <f t="shared" ref="O9" si="45">H9/100</f>
        <v>5.8999999999999999E-3</v>
      </c>
      <c r="P9" s="3170">
        <f t="shared" ref="P9" si="46">M9</f>
        <v>-1.6000000000000001E-3</v>
      </c>
      <c r="Q9" s="3179"/>
      <c r="R9" s="3181">
        <f>ROUND(IF(项目基本情况!$B$8="出让",SUMPRODUCT(PRODUCT(1+K9:$K$21)),SUMPRODUCT(PRODUCT(1+K9:$K$20))),4)</f>
        <v>1.0811999999999999</v>
      </c>
      <c r="S9" s="3181">
        <f>ROUND(IF(项目基本情况!$B$8="出让",SUMPRODUCT(PRODUCT(1+L9:$L$21)),SUMPRODUCT(PRODUCT(1+L9:$L$20))),4)</f>
        <v>1.052</v>
      </c>
      <c r="T9" s="3181">
        <f>ROUND(IF(项目基本情况!$B$8="出让",SUMPRODUCT(PRODUCT(1+M9:$M$21)),SUMPRODUCT(PRODUCT(1+M9:$M$20))),4)</f>
        <v>1.0249999999999999</v>
      </c>
      <c r="U9" s="3181">
        <f>ROUND(IF(项目基本情况!$B$8="出让",SUMPRODUCT(PRODUCT(1+N9:$N$21)),SUMPRODUCT(PRODUCT(1+N9:$N$20))),4)</f>
        <v>1.0888</v>
      </c>
      <c r="V9" s="3181">
        <f>ROUND(IF(项目基本情况!$B$8="出让",SUMPRODUCT(PRODUCT(1+O9:$O$21)),SUMPRODUCT(PRODUCT(1+O9:$O$20))),4)</f>
        <v>1.0804</v>
      </c>
      <c r="W9" s="3181">
        <f t="shared" ref="W9" si="47">T9</f>
        <v>1.0249999999999999</v>
      </c>
      <c r="X9" s="3179"/>
      <c r="Y9" s="3182"/>
      <c r="Z9" s="3182"/>
      <c r="AA9" s="3182"/>
      <c r="AB9" s="3182"/>
      <c r="AC9" s="3182"/>
      <c r="AD9" s="3182"/>
    </row>
    <row r="10" spans="1:30" s="3183" customFormat="1" ht="12.75">
      <c r="A10" s="3174" t="s">
        <v>3375</v>
      </c>
      <c r="B10" s="3175">
        <v>2023</v>
      </c>
      <c r="C10" s="3176">
        <v>4</v>
      </c>
      <c r="D10" s="3177">
        <v>0.19</v>
      </c>
      <c r="E10" s="3177">
        <v>0.24</v>
      </c>
      <c r="F10" s="3177">
        <v>-0.16</v>
      </c>
      <c r="G10" s="3177">
        <v>0.17</v>
      </c>
      <c r="H10" s="3194">
        <v>0.61</v>
      </c>
      <c r="I10" s="3178">
        <f>F10</f>
        <v>-0.16</v>
      </c>
      <c r="J10" s="3179"/>
      <c r="K10" s="3180">
        <f t="shared" si="38"/>
        <v>1.9E-3</v>
      </c>
      <c r="L10" s="3170">
        <f t="shared" si="38"/>
        <v>2.3999999999999998E-3</v>
      </c>
      <c r="M10" s="3170">
        <f t="shared" si="38"/>
        <v>-1.6000000000000001E-3</v>
      </c>
      <c r="N10" s="3170">
        <f t="shared" si="38"/>
        <v>1.7000000000000001E-3</v>
      </c>
      <c r="O10" s="3170">
        <f t="shared" si="38"/>
        <v>6.0999999999999995E-3</v>
      </c>
      <c r="P10" s="3170">
        <f t="shared" ref="P10" si="48">M10</f>
        <v>-1.6000000000000001E-3</v>
      </c>
      <c r="Q10" s="3179"/>
      <c r="R10" s="3181">
        <f>ROUND(IF(项目基本情况!$B$8="出让",SUMPRODUCT(PRODUCT(1+K10:$K$21)),SUMPRODUCT(PRODUCT(1+K10:$K$20))),4)</f>
        <v>1.0804</v>
      </c>
      <c r="S10" s="3181">
        <f>ROUND(IF(项目基本情况!$B$8="出让",SUMPRODUCT(PRODUCT(1+L10:$L$21)),SUMPRODUCT(PRODUCT(1+L10:$L$20))),4)</f>
        <v>1.0471999999999999</v>
      </c>
      <c r="T10" s="3181">
        <f>ROUND(IF(项目基本情况!$B$8="出让",SUMPRODUCT(PRODUCT(1+M10:$M$21)),SUMPRODUCT(PRODUCT(1+M10:$M$20))),4)</f>
        <v>1.0266</v>
      </c>
      <c r="U10" s="3181">
        <f>ROUND(IF(项目基本情况!$B$8="出让",SUMPRODUCT(PRODUCT(1+N10:$N$21)),SUMPRODUCT(PRODUCT(1+N10:$N$20))),4)</f>
        <v>1.0859000000000001</v>
      </c>
      <c r="V10" s="3181">
        <f>ROUND(IF(项目基本情况!$B$8="出让",SUMPRODUCT(PRODUCT(1+O10:$O$21)),SUMPRODUCT(PRODUCT(1+O10:$O$20))),4)</f>
        <v>1.0741000000000001</v>
      </c>
      <c r="W10" s="3181">
        <f t="shared" ref="W10" si="49">T10</f>
        <v>1.0266</v>
      </c>
      <c r="X10" s="3179"/>
      <c r="Y10" s="3182"/>
      <c r="Z10" s="3182"/>
      <c r="AA10" s="3182"/>
      <c r="AB10" s="3182"/>
      <c r="AC10" s="3182"/>
      <c r="AD10" s="3182"/>
    </row>
    <row r="11" spans="1:30" s="3183" customFormat="1" ht="12.75">
      <c r="A11" s="3174" t="s">
        <v>3374</v>
      </c>
      <c r="B11" s="3175">
        <v>2023</v>
      </c>
      <c r="C11" s="3176">
        <v>3</v>
      </c>
      <c r="D11" s="3177">
        <v>0.25</v>
      </c>
      <c r="E11" s="3177">
        <v>0.5</v>
      </c>
      <c r="F11" s="3177">
        <v>0.31</v>
      </c>
      <c r="G11" s="3177">
        <v>0.21</v>
      </c>
      <c r="H11" s="3194">
        <v>0.43</v>
      </c>
      <c r="I11" s="3178">
        <f t="shared" si="37"/>
        <v>0.31</v>
      </c>
      <c r="J11" s="3179"/>
      <c r="K11" s="3180">
        <f t="shared" ref="K11:K13" si="50">D11/100</f>
        <v>2.5000000000000001E-3</v>
      </c>
      <c r="L11" s="3170">
        <f t="shared" ref="L11:L13" si="51">E11/100</f>
        <v>5.0000000000000001E-3</v>
      </c>
      <c r="M11" s="3170">
        <f t="shared" ref="M11:M13" si="52">F11/100</f>
        <v>3.0999999999999999E-3</v>
      </c>
      <c r="N11" s="3170">
        <f t="shared" ref="N11:N13" si="53">G11/100</f>
        <v>2.0999999999999999E-3</v>
      </c>
      <c r="O11" s="3170">
        <f t="shared" ref="O11:O13" si="54">H11/100</f>
        <v>4.3E-3</v>
      </c>
      <c r="P11" s="3170">
        <f t="shared" ref="P11:P13" si="55">M11</f>
        <v>3.0999999999999999E-3</v>
      </c>
      <c r="Q11" s="3179"/>
      <c r="R11" s="3181">
        <f>ROUND(IF(项目基本情况!$B$8="出让",SUMPRODUCT(PRODUCT(1+K11:$K$21)),SUMPRODUCT(PRODUCT(1+K11:$K$20))),4)</f>
        <v>1.0783</v>
      </c>
      <c r="S11" s="3181">
        <f>ROUND(IF(项目基本情况!$B$8="出让",SUMPRODUCT(PRODUCT(1+L11:$L$21)),SUMPRODUCT(PRODUCT(1+L11:$L$20))),4)</f>
        <v>1.0447</v>
      </c>
      <c r="T11" s="3181">
        <f>ROUND(IF(项目基本情况!$B$8="出让",SUMPRODUCT(PRODUCT(1+M11:$M$21)),SUMPRODUCT(PRODUCT(1+M11:$M$20))),4)</f>
        <v>1.0282</v>
      </c>
      <c r="U11" s="3181">
        <f>ROUND(IF(项目基本情况!$B$8="出让",SUMPRODUCT(PRODUCT(1+N11:$N$21)),SUMPRODUCT(PRODUCT(1+N11:$N$20))),4)</f>
        <v>1.0841000000000001</v>
      </c>
      <c r="V11" s="3181">
        <f>ROUND(IF(项目基本情况!$B$8="出让",SUMPRODUCT(PRODUCT(1+O11:$O$21)),SUMPRODUCT(PRODUCT(1+O11:$O$20))),4)</f>
        <v>1.0674999999999999</v>
      </c>
      <c r="W11" s="3181">
        <f t="shared" ref="W11:W12" si="56">T11</f>
        <v>1.0282</v>
      </c>
      <c r="X11" s="3179"/>
      <c r="Y11" s="3182"/>
      <c r="Z11" s="3182"/>
      <c r="AA11" s="3182"/>
      <c r="AB11" s="3182"/>
      <c r="AC11" s="3182"/>
      <c r="AD11" s="3182"/>
    </row>
    <row r="12" spans="1:30" s="3183" customFormat="1" ht="12.75">
      <c r="A12" s="3174" t="s">
        <v>3370</v>
      </c>
      <c r="B12" s="3175">
        <v>2023</v>
      </c>
      <c r="C12" s="3176">
        <v>2</v>
      </c>
      <c r="D12" s="3177">
        <v>0.91</v>
      </c>
      <c r="E12" s="3177">
        <v>0.66</v>
      </c>
      <c r="F12" s="3177">
        <v>0.47</v>
      </c>
      <c r="G12" s="3177">
        <v>0.96</v>
      </c>
      <c r="H12" s="3194">
        <v>0.71</v>
      </c>
      <c r="I12" s="3178">
        <f t="shared" si="37"/>
        <v>0.47</v>
      </c>
      <c r="J12" s="3179"/>
      <c r="K12" s="3180">
        <f t="shared" si="50"/>
        <v>9.1000000000000004E-3</v>
      </c>
      <c r="L12" s="3170">
        <f t="shared" si="51"/>
        <v>6.6E-3</v>
      </c>
      <c r="M12" s="3170">
        <f t="shared" si="52"/>
        <v>4.6999999999999993E-3</v>
      </c>
      <c r="N12" s="3170">
        <f t="shared" si="53"/>
        <v>9.5999999999999992E-3</v>
      </c>
      <c r="O12" s="3170">
        <f t="shared" si="54"/>
        <v>7.0999999999999995E-3</v>
      </c>
      <c r="P12" s="3170">
        <f t="shared" si="55"/>
        <v>4.6999999999999993E-3</v>
      </c>
      <c r="Q12" s="3179"/>
      <c r="R12" s="3181">
        <f>ROUND(IF(项目基本情况!$B$8="出让",SUMPRODUCT(PRODUCT(1+K12:$K$21)),SUMPRODUCT(PRODUCT(1+K12:$K$20))),4)</f>
        <v>1.0755999999999999</v>
      </c>
      <c r="S12" s="3181">
        <f>ROUND(IF(项目基本情况!$B$8="出让",SUMPRODUCT(PRODUCT(1+L12:$L$21)),SUMPRODUCT(PRODUCT(1+L12:$L$20))),4)</f>
        <v>1.0395000000000001</v>
      </c>
      <c r="T12" s="3181">
        <f>ROUND(IF(项目基本情况!$B$8="出让",SUMPRODUCT(PRODUCT(1+M12:$M$21)),SUMPRODUCT(PRODUCT(1+M12:$M$20))),4)</f>
        <v>1.0250999999999999</v>
      </c>
      <c r="U12" s="3181">
        <f>ROUND(IF(项目基本情况!$B$8="出让",SUMPRODUCT(PRODUCT(1+N12:$N$21)),SUMPRODUCT(PRODUCT(1+N12:$N$20))),4)</f>
        <v>1.0818000000000001</v>
      </c>
      <c r="V12" s="3181">
        <f>ROUND(IF(项目基本情况!$B$8="出让",SUMPRODUCT(PRODUCT(1+O12:$O$21)),SUMPRODUCT(PRODUCT(1+O12:$O$20))),4)</f>
        <v>1.0629999999999999</v>
      </c>
      <c r="W12" s="3181">
        <f t="shared" si="56"/>
        <v>1.0250999999999999</v>
      </c>
      <c r="X12" s="3179"/>
      <c r="Y12" s="3182"/>
      <c r="Z12" s="3182"/>
      <c r="AA12" s="3182"/>
      <c r="AB12" s="3182"/>
      <c r="AC12" s="3182"/>
      <c r="AD12" s="3182"/>
    </row>
    <row r="13" spans="1:30" s="3183" customFormat="1" ht="12.75">
      <c r="A13" s="3174" t="s">
        <v>3369</v>
      </c>
      <c r="B13" s="3175">
        <v>2023</v>
      </c>
      <c r="C13" s="3176">
        <v>1</v>
      </c>
      <c r="D13" s="3177">
        <v>0.89</v>
      </c>
      <c r="E13" s="3177">
        <v>0.74</v>
      </c>
      <c r="F13" s="3177">
        <v>0.56999999999999995</v>
      </c>
      <c r="G13" s="3177">
        <v>0.92</v>
      </c>
      <c r="H13" s="3194">
        <v>0.5</v>
      </c>
      <c r="I13" s="3178">
        <f t="shared" si="37"/>
        <v>0.56999999999999995</v>
      </c>
      <c r="J13" s="3179"/>
      <c r="K13" s="3180">
        <f t="shared" si="50"/>
        <v>8.8999999999999999E-3</v>
      </c>
      <c r="L13" s="3170">
        <f t="shared" si="51"/>
        <v>7.4000000000000003E-3</v>
      </c>
      <c r="M13" s="3170">
        <f t="shared" si="52"/>
        <v>5.6999999999999993E-3</v>
      </c>
      <c r="N13" s="3170">
        <f t="shared" si="53"/>
        <v>9.1999999999999998E-3</v>
      </c>
      <c r="O13" s="3170">
        <f t="shared" si="54"/>
        <v>5.0000000000000001E-3</v>
      </c>
      <c r="P13" s="3170">
        <f t="shared" si="55"/>
        <v>5.6999999999999993E-3</v>
      </c>
      <c r="Q13" s="3179"/>
      <c r="R13" s="3181">
        <f>ROUND(IF(项目基本情况!$B$8="出让",SUMPRODUCT(PRODUCT(1+K13:$K$21)),SUMPRODUCT(PRODUCT(1+K13:$K$20))),4)</f>
        <v>1.0659000000000001</v>
      </c>
      <c r="S13" s="3181">
        <f>ROUND(IF(项目基本情况!$B$8="出让",SUMPRODUCT(PRODUCT(1+L13:$L$21)),SUMPRODUCT(PRODUCT(1+L13:$L$20))),4)</f>
        <v>1.0326</v>
      </c>
      <c r="T13" s="3181">
        <f>ROUND(IF(项目基本情况!$B$8="出让",SUMPRODUCT(PRODUCT(1+M13:$M$21)),SUMPRODUCT(PRODUCT(1+M13:$M$20))),4)</f>
        <v>1.0203</v>
      </c>
      <c r="U13" s="3181">
        <f>ROUND(IF(项目基本情况!$B$8="出让",SUMPRODUCT(PRODUCT(1+N13:$N$21)),SUMPRODUCT(PRODUCT(1+N13:$N$20))),4)</f>
        <v>1.0714999999999999</v>
      </c>
      <c r="V13" s="3181">
        <f>ROUND(IF(项目基本情况!$B$8="出让",SUMPRODUCT(PRODUCT(1+O13:$O$21)),SUMPRODUCT(PRODUCT(1+O13:$O$20))),4)</f>
        <v>1.0555000000000001</v>
      </c>
      <c r="W13" s="3181">
        <f t="shared" ref="W13:W20" si="57">T13</f>
        <v>1.0203</v>
      </c>
      <c r="X13" s="3179"/>
      <c r="Y13" s="3182"/>
      <c r="Z13" s="3182"/>
      <c r="AA13" s="3182"/>
      <c r="AB13" s="3182"/>
      <c r="AC13" s="3182"/>
      <c r="AD13" s="3182"/>
    </row>
    <row r="14" spans="1:30" s="3183" customFormat="1" ht="12.75">
      <c r="A14" s="3174" t="s">
        <v>3368</v>
      </c>
      <c r="B14" s="3175">
        <v>2022</v>
      </c>
      <c r="C14" s="3176">
        <v>4</v>
      </c>
      <c r="D14" s="3177">
        <v>0.62</v>
      </c>
      <c r="E14" s="3177">
        <v>0.2</v>
      </c>
      <c r="F14" s="3177">
        <v>0.11</v>
      </c>
      <c r="G14" s="3177">
        <v>0.69</v>
      </c>
      <c r="H14" s="3194">
        <v>0.53</v>
      </c>
      <c r="I14" s="3178">
        <f t="shared" si="37"/>
        <v>0.11</v>
      </c>
      <c r="J14" s="3179"/>
      <c r="K14" s="3180">
        <f t="shared" si="38"/>
        <v>6.1999999999999998E-3</v>
      </c>
      <c r="L14" s="3170">
        <f t="shared" si="38"/>
        <v>2E-3</v>
      </c>
      <c r="M14" s="3170">
        <f t="shared" si="38"/>
        <v>1.1000000000000001E-3</v>
      </c>
      <c r="N14" s="3170">
        <f t="shared" si="38"/>
        <v>6.8999999999999999E-3</v>
      </c>
      <c r="O14" s="3170">
        <f t="shared" si="38"/>
        <v>5.3E-3</v>
      </c>
      <c r="P14" s="3170">
        <f t="shared" ref="P14:P21" si="58">M14</f>
        <v>1.1000000000000001E-3</v>
      </c>
      <c r="Q14" s="3179"/>
      <c r="R14" s="3181">
        <f>ROUND(IF(项目基本情况!$B$8="出让",SUMPRODUCT(PRODUCT(1+K14:$K$21)),SUMPRODUCT(PRODUCT(1+K14:$K$20))),4)</f>
        <v>1.0565</v>
      </c>
      <c r="S14" s="3181">
        <f>ROUND(IF(项目基本情况!$B$8="出让",SUMPRODUCT(PRODUCT(1+L14:$L$21)),SUMPRODUCT(PRODUCT(1+L14:$L$20))),4)</f>
        <v>1.0250999999999999</v>
      </c>
      <c r="T14" s="3181">
        <f>ROUND(IF(项目基本情况!$B$8="出让",SUMPRODUCT(PRODUCT(1+M14:$M$21)),SUMPRODUCT(PRODUCT(1+M14:$M$20))),4)</f>
        <v>1.0145</v>
      </c>
      <c r="U14" s="3181">
        <f>ROUND(IF(项目基本情况!$B$8="出让",SUMPRODUCT(PRODUCT(1+N14:$N$21)),SUMPRODUCT(PRODUCT(1+N14:$N$20))),4)</f>
        <v>1.0618000000000001</v>
      </c>
      <c r="V14" s="3181">
        <f>ROUND(IF(项目基本情况!$B$8="出让",SUMPRODUCT(PRODUCT(1+O14:$O$21)),SUMPRODUCT(PRODUCT(1+O14:$O$20))),4)</f>
        <v>1.0502</v>
      </c>
      <c r="W14" s="3181">
        <f t="shared" si="57"/>
        <v>1.0145</v>
      </c>
      <c r="X14" s="3179"/>
      <c r="Y14" s="3182">
        <f>IF(D14=0,0,ROUND(AVERAGE(D14:D22)/100,4))</f>
        <v>8.0999999999999996E-3</v>
      </c>
      <c r="Z14" s="3182">
        <f t="shared" ref="Z14:AC14" si="59">IF(E14=0,0,ROUND(AVERAGE(E14:E21)/100,4))</f>
        <v>3.3E-3</v>
      </c>
      <c r="AA14" s="3182">
        <f t="shared" si="59"/>
        <v>1.5E-3</v>
      </c>
      <c r="AB14" s="3182">
        <f t="shared" si="59"/>
        <v>8.8999999999999999E-3</v>
      </c>
      <c r="AC14" s="3182">
        <f t="shared" si="59"/>
        <v>6.6E-3</v>
      </c>
      <c r="AD14" s="3182">
        <f t="shared" si="40"/>
        <v>1.5E-3</v>
      </c>
    </row>
    <row r="15" spans="1:30" s="3183" customFormat="1" ht="12.75">
      <c r="A15" s="3174" t="s">
        <v>3364</v>
      </c>
      <c r="B15" s="3175">
        <v>2022</v>
      </c>
      <c r="C15" s="3176">
        <v>3</v>
      </c>
      <c r="D15" s="3177">
        <v>0.66</v>
      </c>
      <c r="E15" s="3177">
        <v>0.32</v>
      </c>
      <c r="F15" s="3177">
        <v>0.23</v>
      </c>
      <c r="G15" s="3177">
        <v>0.72</v>
      </c>
      <c r="H15" s="3194">
        <v>0.63</v>
      </c>
      <c r="I15" s="3178">
        <f t="shared" si="37"/>
        <v>0.23</v>
      </c>
      <c r="J15" s="3179"/>
      <c r="K15" s="3180">
        <f t="shared" si="38"/>
        <v>6.6E-3</v>
      </c>
      <c r="L15" s="3170">
        <f t="shared" si="38"/>
        <v>3.2000000000000002E-3</v>
      </c>
      <c r="M15" s="3170">
        <f t="shared" si="38"/>
        <v>2.3E-3</v>
      </c>
      <c r="N15" s="3170">
        <f t="shared" si="38"/>
        <v>7.1999999999999998E-3</v>
      </c>
      <c r="O15" s="3170">
        <f t="shared" si="38"/>
        <v>6.3E-3</v>
      </c>
      <c r="P15" s="3170">
        <f t="shared" si="58"/>
        <v>2.3E-3</v>
      </c>
      <c r="Q15" s="3179"/>
      <c r="R15" s="3181">
        <f>ROUND(IF(项目基本情况!$B$8="出让",SUMPRODUCT(PRODUCT(1+K15:$K$21)),SUMPRODUCT(PRODUCT(1+K15:$K$20))),4)</f>
        <v>1.05</v>
      </c>
      <c r="S15" s="3181">
        <f>ROUND(IF(项目基本情况!$B$8="出让",SUMPRODUCT(PRODUCT(1+L15:$L$21)),SUMPRODUCT(PRODUCT(1+L15:$L$20))),4)</f>
        <v>1.0229999999999999</v>
      </c>
      <c r="T15" s="3181">
        <f>ROUND(IF(项目基本情况!$B$8="出让",SUMPRODUCT(PRODUCT(1+M15:$M$21)),SUMPRODUCT(PRODUCT(1+M15:$M$20))),4)</f>
        <v>1.0134000000000001</v>
      </c>
      <c r="U15" s="3181">
        <f>ROUND(IF(项目基本情况!$B$8="出让",SUMPRODUCT(PRODUCT(1+N15:$N$21)),SUMPRODUCT(PRODUCT(1+N15:$N$20))),4)</f>
        <v>1.0545</v>
      </c>
      <c r="V15" s="3181">
        <f>ROUND(IF(项目基本情况!$B$8="出让",SUMPRODUCT(PRODUCT(1+O15:$O$21)),SUMPRODUCT(PRODUCT(1+O15:$O$20))),4)</f>
        <v>1.0447</v>
      </c>
      <c r="W15" s="3181">
        <f t="shared" si="57"/>
        <v>1.0134000000000001</v>
      </c>
      <c r="X15" s="3179"/>
      <c r="Y15" s="3182">
        <f>IF(D15=0,0,ROUND(AVERAGE(D15:D21)/100,4))</f>
        <v>8.3999999999999995E-3</v>
      </c>
      <c r="Z15" s="3182">
        <f t="shared" ref="Z15:AC15" si="60">IF(E15=0,0,ROUND(AVERAGE(E15:E21)/100,4))</f>
        <v>3.5000000000000001E-3</v>
      </c>
      <c r="AA15" s="3182">
        <f t="shared" si="60"/>
        <v>1.5E-3</v>
      </c>
      <c r="AB15" s="3182">
        <f t="shared" si="60"/>
        <v>9.1999999999999998E-3</v>
      </c>
      <c r="AC15" s="3182">
        <f t="shared" si="60"/>
        <v>6.7999999999999996E-3</v>
      </c>
      <c r="AD15" s="3182">
        <f t="shared" si="40"/>
        <v>1.5E-3</v>
      </c>
    </row>
    <row r="16" spans="1:30" s="3183" customFormat="1" ht="12.75">
      <c r="A16" s="3174" t="s">
        <v>3355</v>
      </c>
      <c r="B16" s="3175">
        <v>2022</v>
      </c>
      <c r="C16" s="3176">
        <v>2</v>
      </c>
      <c r="D16" s="3177">
        <v>0.93</v>
      </c>
      <c r="E16" s="3177">
        <v>0.15</v>
      </c>
      <c r="F16" s="3177">
        <v>0.01</v>
      </c>
      <c r="G16" s="3177">
        <v>1.05</v>
      </c>
      <c r="H16" s="3194">
        <v>1.08</v>
      </c>
      <c r="I16" s="3178">
        <f t="shared" si="37"/>
        <v>0.01</v>
      </c>
      <c r="J16" s="3179"/>
      <c r="K16" s="3180">
        <f t="shared" si="38"/>
        <v>9.300000000000001E-3</v>
      </c>
      <c r="L16" s="3170">
        <f t="shared" si="38"/>
        <v>1.5E-3</v>
      </c>
      <c r="M16" s="3170">
        <f t="shared" si="38"/>
        <v>1E-4</v>
      </c>
      <c r="N16" s="3170">
        <f t="shared" si="38"/>
        <v>1.0500000000000001E-2</v>
      </c>
      <c r="O16" s="3170">
        <f t="shared" si="38"/>
        <v>1.0800000000000001E-2</v>
      </c>
      <c r="P16" s="3170">
        <f t="shared" si="58"/>
        <v>1E-4</v>
      </c>
      <c r="Q16" s="3179"/>
      <c r="R16" s="3181">
        <f>ROUND(IF(项目基本情况!$B$8="出让",SUMPRODUCT(PRODUCT(1+K16:$K$21)),SUMPRODUCT(PRODUCT(1+K16:$K$20))),4)</f>
        <v>1.0430999999999999</v>
      </c>
      <c r="S16" s="3181">
        <f>ROUND(IF(项目基本情况!$B$8="出让",SUMPRODUCT(PRODUCT(1+L16:$L$21)),SUMPRODUCT(PRODUCT(1+L16:$L$20))),4)</f>
        <v>1.0197000000000001</v>
      </c>
      <c r="T16" s="3181">
        <f>ROUND(IF(项目基本情况!$B$8="出让",SUMPRODUCT(PRODUCT(1+M16:$M$21)),SUMPRODUCT(PRODUCT(1+M16:$M$20))),4)</f>
        <v>1.0109999999999999</v>
      </c>
      <c r="U16" s="3181">
        <f>ROUND(IF(项目基本情况!$B$8="出让",SUMPRODUCT(PRODUCT(1+N16:$N$21)),SUMPRODUCT(PRODUCT(1+N16:$N$20))),4)</f>
        <v>1.0468999999999999</v>
      </c>
      <c r="V16" s="3181">
        <f>ROUND(IF(项目基本情况!$B$8="出让",SUMPRODUCT(PRODUCT(1+O16:$O$21)),SUMPRODUCT(PRODUCT(1+O16:$O$20))),4)</f>
        <v>1.0382</v>
      </c>
      <c r="W16" s="3181">
        <f t="shared" si="57"/>
        <v>1.0109999999999999</v>
      </c>
      <c r="X16" s="3179"/>
      <c r="Y16" s="3182">
        <f>IF(D16=0,0,ROUND(AVERAGE(D16:D21)/100,4))</f>
        <v>8.6999999999999994E-3</v>
      </c>
      <c r="Z16" s="3182">
        <f t="shared" ref="Z16:AC16" si="61">IF(E16=0,0,ROUND(AVERAGE(E16:E21)/100,4))</f>
        <v>3.5000000000000001E-3</v>
      </c>
      <c r="AA16" s="3182">
        <f t="shared" si="61"/>
        <v>1.4E-3</v>
      </c>
      <c r="AB16" s="3182">
        <f t="shared" si="61"/>
        <v>9.4999999999999998E-3</v>
      </c>
      <c r="AC16" s="3182">
        <f t="shared" si="61"/>
        <v>6.8999999999999999E-3</v>
      </c>
      <c r="AD16" s="3182">
        <f t="shared" si="40"/>
        <v>1.4E-3</v>
      </c>
    </row>
    <row r="17" spans="1:30" s="3183" customFormat="1" ht="12.75">
      <c r="A17" s="3174" t="s">
        <v>2821</v>
      </c>
      <c r="B17" s="3175">
        <v>2022</v>
      </c>
      <c r="C17" s="3176">
        <v>1</v>
      </c>
      <c r="D17" s="3177">
        <v>0.89</v>
      </c>
      <c r="E17" s="3177">
        <v>0.44</v>
      </c>
      <c r="F17" s="3177">
        <v>0.37</v>
      </c>
      <c r="G17" s="3177">
        <v>0.96</v>
      </c>
      <c r="H17" s="3194">
        <v>0.64</v>
      </c>
      <c r="I17" s="3178">
        <f t="shared" si="37"/>
        <v>0.37</v>
      </c>
      <c r="J17" s="3179"/>
      <c r="K17" s="3180">
        <f t="shared" si="38"/>
        <v>8.8999999999999999E-3</v>
      </c>
      <c r="L17" s="3170">
        <f t="shared" si="38"/>
        <v>4.4000000000000003E-3</v>
      </c>
      <c r="M17" s="3170">
        <f t="shared" si="38"/>
        <v>3.7000000000000002E-3</v>
      </c>
      <c r="N17" s="3170">
        <f t="shared" si="38"/>
        <v>9.5999999999999992E-3</v>
      </c>
      <c r="O17" s="3170">
        <f t="shared" si="38"/>
        <v>6.4000000000000003E-3</v>
      </c>
      <c r="P17" s="3170">
        <f t="shared" si="58"/>
        <v>3.7000000000000002E-3</v>
      </c>
      <c r="Q17" s="3179"/>
      <c r="R17" s="3181">
        <f>ROUND(IF(项目基本情况!$B$8="出让",SUMPRODUCT(PRODUCT(1+K17:$K$21)),SUMPRODUCT(PRODUCT(1+K17:$K$20))),4)</f>
        <v>1.0335000000000001</v>
      </c>
      <c r="S17" s="3181">
        <f>ROUND(IF(项目基本情况!$B$8="出让",SUMPRODUCT(PRODUCT(1+L17:$L$21)),SUMPRODUCT(PRODUCT(1+L17:$L$20))),4)</f>
        <v>1.0182</v>
      </c>
      <c r="T17" s="3181">
        <f>ROUND(IF(项目基本情况!$B$8="出让",SUMPRODUCT(PRODUCT(1+M17:$M$21)),SUMPRODUCT(PRODUCT(1+M17:$M$20))),4)</f>
        <v>1.0108999999999999</v>
      </c>
      <c r="U17" s="3181">
        <f>ROUND(IF(项目基本情况!$B$8="出让",SUMPRODUCT(PRODUCT(1+N17:$N$21)),SUMPRODUCT(PRODUCT(1+N17:$N$20))),4)</f>
        <v>1.0361</v>
      </c>
      <c r="V17" s="3181">
        <f>ROUND(IF(项目基本情况!$B$8="出让",SUMPRODUCT(PRODUCT(1+O17:$O$21)),SUMPRODUCT(PRODUCT(1+O17:$O$20))),4)</f>
        <v>1.0270999999999999</v>
      </c>
      <c r="W17" s="3181">
        <f t="shared" si="57"/>
        <v>1.0108999999999999</v>
      </c>
      <c r="X17" s="3179"/>
      <c r="Y17" s="3182">
        <f>IF(D17=0,0,ROUND(AVERAGE(D17:D21)/100,4))</f>
        <v>8.6E-3</v>
      </c>
      <c r="Z17" s="3182">
        <f t="shared" ref="Z17:AC17" si="62">IF(E17=0,0,ROUND(AVERAGE(E17:E21)/100,4))</f>
        <v>3.8999999999999998E-3</v>
      </c>
      <c r="AA17" s="3182">
        <f t="shared" si="62"/>
        <v>1.6999999999999999E-3</v>
      </c>
      <c r="AB17" s="3182">
        <f t="shared" si="62"/>
        <v>9.2999999999999992E-3</v>
      </c>
      <c r="AC17" s="3182">
        <f t="shared" si="62"/>
        <v>6.1000000000000004E-3</v>
      </c>
      <c r="AD17" s="3182">
        <f t="shared" si="40"/>
        <v>1.6999999999999999E-3</v>
      </c>
    </row>
    <row r="18" spans="1:30" s="3183" customFormat="1" ht="12.75">
      <c r="A18" s="3174" t="s">
        <v>2822</v>
      </c>
      <c r="B18" s="3175">
        <v>2021</v>
      </c>
      <c r="C18" s="3176">
        <v>4</v>
      </c>
      <c r="D18" s="3177">
        <v>1.03</v>
      </c>
      <c r="E18" s="3177">
        <v>0.24</v>
      </c>
      <c r="F18" s="3177">
        <v>7.0000000000000007E-2</v>
      </c>
      <c r="G18" s="3177">
        <v>1.17</v>
      </c>
      <c r="H18" s="3194">
        <v>0.55000000000000004</v>
      </c>
      <c r="I18" s="3178">
        <f t="shared" si="37"/>
        <v>7.0000000000000007E-2</v>
      </c>
      <c r="J18" s="3179"/>
      <c r="K18" s="3180">
        <f t="shared" si="38"/>
        <v>1.03E-2</v>
      </c>
      <c r="L18" s="3170">
        <f t="shared" si="38"/>
        <v>2.3999999999999998E-3</v>
      </c>
      <c r="M18" s="3170">
        <f t="shared" si="38"/>
        <v>7.000000000000001E-4</v>
      </c>
      <c r="N18" s="3170">
        <f t="shared" si="38"/>
        <v>1.1699999999999999E-2</v>
      </c>
      <c r="O18" s="3170">
        <f t="shared" si="38"/>
        <v>5.5000000000000005E-3</v>
      </c>
      <c r="P18" s="3170">
        <f t="shared" si="58"/>
        <v>7.000000000000001E-4</v>
      </c>
      <c r="Q18" s="3179"/>
      <c r="R18" s="3181">
        <f>ROUND(IF(项目基本情况!$B$8="出让",SUMPRODUCT(PRODUCT(1+K18:$K$21)),SUMPRODUCT(PRODUCT(1+K18:$K$20))),4)</f>
        <v>1.0244</v>
      </c>
      <c r="S18" s="3181">
        <f>ROUND(IF(项目基本情况!$B$8="出让",SUMPRODUCT(PRODUCT(1+L18:$L$21)),SUMPRODUCT(PRODUCT(1+L18:$L$20))),4)</f>
        <v>1.0138</v>
      </c>
      <c r="T18" s="3181">
        <f>ROUND(IF(项目基本情况!$B$8="出让",SUMPRODUCT(PRODUCT(1+M18:$M$21)),SUMPRODUCT(PRODUCT(1+M18:$M$20))),4)</f>
        <v>1.0072000000000001</v>
      </c>
      <c r="U18" s="3181">
        <f>ROUND(IF(项目基本情况!$B$8="出让",SUMPRODUCT(PRODUCT(1+N18:$N$21)),SUMPRODUCT(PRODUCT(1+N18:$N$20))),4)</f>
        <v>1.0262</v>
      </c>
      <c r="V18" s="3181">
        <f>ROUND(IF(项目基本情况!$B$8="出让",SUMPRODUCT(PRODUCT(1+O18:$O$21)),SUMPRODUCT(PRODUCT(1+O18:$O$20))),4)</f>
        <v>1.0205</v>
      </c>
      <c r="W18" s="3181">
        <f t="shared" si="57"/>
        <v>1.0072000000000001</v>
      </c>
      <c r="X18" s="3179"/>
      <c r="Y18" s="3182">
        <f>IF(D18=0,0,ROUND(AVERAGE(D18:D21)/100,4))</f>
        <v>8.5000000000000006E-3</v>
      </c>
      <c r="Z18" s="3182">
        <f t="shared" ref="Z18:AC18" si="63">IF(E18=0,0,ROUND(AVERAGE(E18:E21)/100,4))</f>
        <v>3.8E-3</v>
      </c>
      <c r="AA18" s="3182">
        <f t="shared" si="63"/>
        <v>1.1999999999999999E-3</v>
      </c>
      <c r="AB18" s="3182">
        <f t="shared" si="63"/>
        <v>9.2999999999999992E-3</v>
      </c>
      <c r="AC18" s="3182">
        <f t="shared" si="63"/>
        <v>6.0000000000000001E-3</v>
      </c>
      <c r="AD18" s="3182">
        <f t="shared" si="40"/>
        <v>1.1999999999999999E-3</v>
      </c>
    </row>
    <row r="19" spans="1:30" s="3183" customFormat="1" ht="12.75">
      <c r="A19" s="3174" t="s">
        <v>2823</v>
      </c>
      <c r="B19" s="3175">
        <v>2021</v>
      </c>
      <c r="C19" s="3176">
        <v>3</v>
      </c>
      <c r="D19" s="3177">
        <v>0.47</v>
      </c>
      <c r="E19" s="3177">
        <v>0.41</v>
      </c>
      <c r="F19" s="3177">
        <v>0.24</v>
      </c>
      <c r="G19" s="3177">
        <v>0.48</v>
      </c>
      <c r="H19" s="3194">
        <v>0.48</v>
      </c>
      <c r="I19" s="3178">
        <f t="shared" si="37"/>
        <v>0.24</v>
      </c>
      <c r="J19" s="3179"/>
      <c r="K19" s="3180">
        <f t="shared" si="38"/>
        <v>4.6999999999999993E-3</v>
      </c>
      <c r="L19" s="3170">
        <f t="shared" si="38"/>
        <v>4.0999999999999995E-3</v>
      </c>
      <c r="M19" s="3170">
        <f t="shared" si="38"/>
        <v>2.3999999999999998E-3</v>
      </c>
      <c r="N19" s="3170">
        <f t="shared" si="38"/>
        <v>4.7999999999999996E-3</v>
      </c>
      <c r="O19" s="3170">
        <f t="shared" si="38"/>
        <v>4.7999999999999996E-3</v>
      </c>
      <c r="P19" s="3170">
        <f t="shared" si="58"/>
        <v>2.3999999999999998E-3</v>
      </c>
      <c r="Q19" s="3179"/>
      <c r="R19" s="3181">
        <f>ROUND(IF(项目基本情况!$B$8="出让",SUMPRODUCT(PRODUCT(1+K19:$K$21)),SUMPRODUCT(PRODUCT(1+K19:$K$20))),4)</f>
        <v>1.0139</v>
      </c>
      <c r="S19" s="3181">
        <f>ROUND(IF(项目基本情况!$B$8="出让",SUMPRODUCT(PRODUCT(1+L19:$L$21)),SUMPRODUCT(PRODUCT(1+L19:$L$20))),4)</f>
        <v>1.0113000000000001</v>
      </c>
      <c r="T19" s="3181">
        <f>ROUND(IF(项目基本情况!$B$8="出让",SUMPRODUCT(PRODUCT(1+M19:$M$21)),SUMPRODUCT(PRODUCT(1+M19:$M$20))),4)</f>
        <v>1.0065</v>
      </c>
      <c r="U19" s="3181">
        <f>ROUND(IF(项目基本情况!$B$8="出让",SUMPRODUCT(PRODUCT(1+N19:$N$21)),SUMPRODUCT(PRODUCT(1+N19:$N$20))),4)</f>
        <v>1.0143</v>
      </c>
      <c r="V19" s="3181">
        <f>ROUND(IF(项目基本情况!$B$8="出让",SUMPRODUCT(PRODUCT(1+O19:$O$21)),SUMPRODUCT(PRODUCT(1+O19:$O$20))),4)</f>
        <v>1.0148999999999999</v>
      </c>
      <c r="W19" s="3181">
        <f t="shared" si="57"/>
        <v>1.0065</v>
      </c>
      <c r="X19" s="3179"/>
      <c r="Y19" s="3182">
        <f>IF(D19=0,0,ROUND(AVERAGE(D19:D21)/100,4))</f>
        <v>7.9000000000000008E-3</v>
      </c>
      <c r="Z19" s="3182">
        <f>IF(E19=0,0,ROUND(AVERAGE(E19:E21)/100,4))</f>
        <v>4.3E-3</v>
      </c>
      <c r="AA19" s="3182">
        <f>IF(F19=0,0,ROUND(AVERAGE(F19:F21)/100,4))</f>
        <v>1.2999999999999999E-3</v>
      </c>
      <c r="AB19" s="3182">
        <f>IF(G19=0,0,ROUND(AVERAGE(G19:G21)/100,4))</f>
        <v>8.5000000000000006E-3</v>
      </c>
      <c r="AC19" s="3182">
        <f>IF(H19=0,0,ROUND(AVERAGE(H19:H21)/100,4))</f>
        <v>6.1999999999999998E-3</v>
      </c>
      <c r="AD19" s="3182">
        <f t="shared" si="40"/>
        <v>1.2999999999999999E-3</v>
      </c>
    </row>
    <row r="20" spans="1:30" s="3183" customFormat="1" ht="12.75">
      <c r="A20" s="3174" t="s">
        <v>2824</v>
      </c>
      <c r="B20" s="3175">
        <v>2021</v>
      </c>
      <c r="C20" s="3176">
        <v>2</v>
      </c>
      <c r="D20" s="3177">
        <v>0.92</v>
      </c>
      <c r="E20" s="3177">
        <v>0.72</v>
      </c>
      <c r="F20" s="3177">
        <v>0.41</v>
      </c>
      <c r="G20" s="3177">
        <v>0.95</v>
      </c>
      <c r="H20" s="3194">
        <v>1.01</v>
      </c>
      <c r="I20" s="3178">
        <f t="shared" si="37"/>
        <v>0.41</v>
      </c>
      <c r="J20" s="3179"/>
      <c r="K20" s="3180">
        <f t="shared" si="38"/>
        <v>9.1999999999999998E-3</v>
      </c>
      <c r="L20" s="3170">
        <f t="shared" si="38"/>
        <v>7.1999999999999998E-3</v>
      </c>
      <c r="M20" s="3170">
        <f t="shared" si="38"/>
        <v>4.0999999999999995E-3</v>
      </c>
      <c r="N20" s="3170">
        <f t="shared" si="38"/>
        <v>9.4999999999999998E-3</v>
      </c>
      <c r="O20" s="3170">
        <f t="shared" si="38"/>
        <v>1.01E-2</v>
      </c>
      <c r="P20" s="3170">
        <f t="shared" si="58"/>
        <v>4.0999999999999995E-3</v>
      </c>
      <c r="Q20" s="3179"/>
      <c r="R20" s="3181">
        <f>ROUND(IF(项目基本情况!$B$8="出让",SUMPRODUCT(PRODUCT(1+K20:$K$21)),SUMPRODUCT(PRODUCT(1+K20:$K$20))),4)</f>
        <v>1.0092000000000001</v>
      </c>
      <c r="S20" s="3181">
        <f>ROUND(IF(项目基本情况!$B$8="出让",SUMPRODUCT(PRODUCT(1+L20:$L$21)),SUMPRODUCT(PRODUCT(1+L20:$L$20))),4)</f>
        <v>1.0072000000000001</v>
      </c>
      <c r="T20" s="3181">
        <f>ROUND(IF(项目基本情况!$B$8="出让",SUMPRODUCT(PRODUCT(1+M20:$M$21)),SUMPRODUCT(PRODUCT(1+M20:$M$20))),4)</f>
        <v>1.0041</v>
      </c>
      <c r="U20" s="3181">
        <f>ROUND(IF(项目基本情况!$B$8="出让",SUMPRODUCT(PRODUCT(1+N20:$N$21)),SUMPRODUCT(PRODUCT(1+N20:$N$20))),4)</f>
        <v>1.0095000000000001</v>
      </c>
      <c r="V20" s="3181">
        <f>ROUND(IF(项目基本情况!$B$8="出让",SUMPRODUCT(PRODUCT(1+O20:$O$21)),SUMPRODUCT(PRODUCT(1+O20:$O$20))),4)</f>
        <v>1.0101</v>
      </c>
      <c r="W20" s="3181">
        <f t="shared" si="57"/>
        <v>1.0041</v>
      </c>
      <c r="X20" s="3179"/>
      <c r="Y20" s="3182">
        <f>IF(D20=0,0,ROUND(AVERAGE(D20:D21)/100,4))</f>
        <v>9.4999999999999998E-3</v>
      </c>
      <c r="Z20" s="3182">
        <f>IF(E20=0,0,ROUND(AVERAGE(E20:E21)/100,4))</f>
        <v>4.4000000000000003E-3</v>
      </c>
      <c r="AA20" s="3182">
        <f>IF(F20=0,0,ROUND(AVERAGE(F20:F21)/100,4))</f>
        <v>8.0000000000000004E-4</v>
      </c>
      <c r="AB20" s="3182">
        <f>IF(G20=0,0,ROUND(AVERAGE(G20:G21)/100,4))</f>
        <v>1.03E-2</v>
      </c>
      <c r="AC20" s="3182">
        <f>IF(H20=0,0,ROUND(AVERAGE(H20:H21)/100,4))</f>
        <v>6.8999999999999999E-3</v>
      </c>
      <c r="AD20" s="3182">
        <f t="shared" si="40"/>
        <v>8.0000000000000004E-4</v>
      </c>
    </row>
    <row r="21" spans="1:30" s="3205" customFormat="1" thickBot="1">
      <c r="A21" s="3195" t="s">
        <v>2825</v>
      </c>
      <c r="B21" s="3196">
        <v>2021</v>
      </c>
      <c r="C21" s="3197">
        <v>1</v>
      </c>
      <c r="D21" s="3198">
        <v>0.97</v>
      </c>
      <c r="E21" s="3198">
        <v>0.16</v>
      </c>
      <c r="F21" s="3198">
        <v>-0.25</v>
      </c>
      <c r="G21" s="3198">
        <v>1.1100000000000001</v>
      </c>
      <c r="H21" s="3199">
        <v>0.36</v>
      </c>
      <c r="I21" s="3200">
        <f t="shared" si="37"/>
        <v>-0.25</v>
      </c>
      <c r="J21" s="3201"/>
      <c r="K21" s="3202">
        <f t="shared" si="38"/>
        <v>9.7000000000000003E-3</v>
      </c>
      <c r="L21" s="3203">
        <f t="shared" si="38"/>
        <v>1.6000000000000001E-3</v>
      </c>
      <c r="M21" s="3203">
        <f>F21/100</f>
        <v>-2.5000000000000001E-3</v>
      </c>
      <c r="N21" s="3203">
        <f t="shared" si="38"/>
        <v>1.11E-2</v>
      </c>
      <c r="O21" s="3203">
        <f t="shared" si="38"/>
        <v>3.5999999999999999E-3</v>
      </c>
      <c r="P21" s="3203">
        <f t="shared" si="58"/>
        <v>-2.5000000000000001E-3</v>
      </c>
      <c r="Q21" s="3201"/>
      <c r="R21" s="3204">
        <v>1</v>
      </c>
      <c r="S21" s="3204">
        <v>1</v>
      </c>
      <c r="T21" s="3204">
        <v>1</v>
      </c>
      <c r="U21" s="3204">
        <v>1</v>
      </c>
      <c r="V21" s="3204">
        <v>1</v>
      </c>
      <c r="W21" s="3204">
        <f t="shared" ref="W21" si="64">T21</f>
        <v>1</v>
      </c>
      <c r="X21" s="3201"/>
      <c r="Y21" s="3203">
        <f>IF(D21=0,0,ROUND(AVERAGE(D21:D21)/100,4))</f>
        <v>9.7000000000000003E-3</v>
      </c>
      <c r="Z21" s="3203">
        <f>IF(E21=0,0,ROUND(AVERAGE(E21:E21)/100,4))</f>
        <v>1.6000000000000001E-3</v>
      </c>
      <c r="AA21" s="3203">
        <f>IF(F21=0,0,ROUND(AVERAGE(F21:F21)/100,4))</f>
        <v>-2.5000000000000001E-3</v>
      </c>
      <c r="AB21" s="3203">
        <f>IF(G21=0,0,ROUND(AVERAGE(G21:G21)/100,4))</f>
        <v>1.11E-2</v>
      </c>
      <c r="AC21" s="3203">
        <f>IF(H21=0,0,ROUND(AVERAGE(H21:H21)/100,4))</f>
        <v>3.5999999999999999E-3</v>
      </c>
      <c r="AD21" s="3203">
        <f>AA21</f>
        <v>-2.5000000000000001E-3</v>
      </c>
    </row>
    <row r="22" spans="1:30" s="3007" customFormat="1" ht="14.25" thickTop="1"/>
    <row r="23" spans="1:30" s="3007" customFormat="1">
      <c r="A23" s="3446" t="s">
        <v>3366</v>
      </c>
    </row>
    <row r="24" spans="1:30" s="3007" customFormat="1">
      <c r="I24" s="3206" t="s">
        <v>2826</v>
      </c>
    </row>
    <row r="25" spans="1:30" s="3007" customFormat="1"/>
    <row r="26" spans="1:30" s="3207" customFormat="1" ht="12.75">
      <c r="B26" s="3208" t="s">
        <v>3372</v>
      </c>
      <c r="C26" s="3209"/>
      <c r="D26" s="3209"/>
      <c r="E26" s="3209"/>
      <c r="F26" s="3209"/>
      <c r="G26" s="3209"/>
      <c r="H26" s="3209"/>
      <c r="I26" s="3209"/>
      <c r="J26" s="3163"/>
      <c r="K26" s="3209" t="s">
        <v>2827</v>
      </c>
      <c r="L26" s="3209"/>
      <c r="M26" s="3209"/>
      <c r="N26" s="3209"/>
      <c r="O26" s="3209"/>
      <c r="P26" s="3209"/>
      <c r="Q26" s="3163"/>
      <c r="R26" s="3805" t="s">
        <v>2828</v>
      </c>
      <c r="S26" s="3806"/>
      <c r="T26" s="3806"/>
      <c r="U26" s="3806"/>
      <c r="V26" s="3806"/>
      <c r="W26" s="3806"/>
      <c r="X26" s="3163"/>
      <c r="Y26" s="3805" t="s">
        <v>2829</v>
      </c>
      <c r="Z26" s="3806"/>
      <c r="AA26" s="3806"/>
      <c r="AB26" s="3806"/>
      <c r="AC26" s="3806"/>
      <c r="AD26" s="3806"/>
    </row>
    <row r="27" spans="1:30" s="3141" customFormat="1" ht="14.25" thickBot="1">
      <c r="B27" s="3142"/>
      <c r="C27" s="3143"/>
      <c r="D27" s="3144" t="s">
        <v>2830</v>
      </c>
      <c r="E27" s="3145" t="s">
        <v>2831</v>
      </c>
      <c r="F27" s="3145" t="s">
        <v>2832</v>
      </c>
      <c r="G27" s="3145" t="s">
        <v>2833</v>
      </c>
      <c r="H27" s="3145"/>
      <c r="I27" s="3145" t="s">
        <v>2834</v>
      </c>
      <c r="J27" s="3146"/>
      <c r="K27" s="3144" t="s">
        <v>2830</v>
      </c>
      <c r="L27" s="3145" t="s">
        <v>2831</v>
      </c>
      <c r="M27" s="3145" t="s">
        <v>2832</v>
      </c>
      <c r="N27" s="3145" t="s">
        <v>2833</v>
      </c>
      <c r="O27" s="3145"/>
      <c r="P27" s="3145" t="s">
        <v>2834</v>
      </c>
      <c r="Q27" s="3146"/>
      <c r="R27" s="3144" t="s">
        <v>2830</v>
      </c>
      <c r="S27" s="3145" t="s">
        <v>2831</v>
      </c>
      <c r="T27" s="3145" t="s">
        <v>2832</v>
      </c>
      <c r="U27" s="3145" t="s">
        <v>2833</v>
      </c>
      <c r="V27" s="3145"/>
      <c r="W27" s="3145" t="s">
        <v>2834</v>
      </c>
      <c r="X27" s="3146"/>
      <c r="Y27" s="3144" t="s">
        <v>2830</v>
      </c>
      <c r="Z27" s="3145" t="s">
        <v>2831</v>
      </c>
      <c r="AA27" s="3145" t="s">
        <v>2832</v>
      </c>
      <c r="AB27" s="3145" t="s">
        <v>2833</v>
      </c>
      <c r="AC27" s="3145"/>
      <c r="AD27" s="3145" t="s">
        <v>2834</v>
      </c>
    </row>
    <row r="28" spans="1:30" s="3159" customFormat="1" ht="12.75">
      <c r="A28" s="3147" t="s">
        <v>2835</v>
      </c>
      <c r="B28" s="3148"/>
      <c r="C28" s="3149"/>
      <c r="D28" s="3149"/>
      <c r="E28" s="3149">
        <f t="shared" ref="E28:G28" si="65">ROUND(AVERAGEIF(E29:E46,"&lt;&gt;0"),2)</f>
        <v>0.33</v>
      </c>
      <c r="F28" s="3149">
        <f t="shared" si="65"/>
        <v>0.24</v>
      </c>
      <c r="G28" s="3149">
        <f t="shared" si="65"/>
        <v>0.62</v>
      </c>
      <c r="H28" s="3149"/>
      <c r="I28" s="3149">
        <f>F28</f>
        <v>0.24</v>
      </c>
      <c r="J28" s="3150"/>
      <c r="K28" s="3151"/>
      <c r="L28" s="3152">
        <f t="shared" ref="L28:N28" si="66">ROUND(AVERAGEIF(L29:L46,"&lt;&gt;0"),4)</f>
        <v>3.3E-3</v>
      </c>
      <c r="M28" s="3152">
        <f t="shared" si="66"/>
        <v>2.3999999999999998E-3</v>
      </c>
      <c r="N28" s="3152">
        <f t="shared" si="66"/>
        <v>6.1999999999999998E-3</v>
      </c>
      <c r="O28" s="3152"/>
      <c r="P28" s="3152">
        <f>M28</f>
        <v>2.3999999999999998E-3</v>
      </c>
      <c r="Q28" s="3150"/>
      <c r="R28" s="3153"/>
      <c r="S28" s="3154">
        <f>ROUND(SUMPRODUCT(PRODUCT(1+L29:L46)),4)</f>
        <v>1.0468999999999999</v>
      </c>
      <c r="T28" s="3154">
        <f t="shared" ref="T28:U28" si="67">ROUND(SUMPRODUCT(PRODUCT(1+M29:M46)),4)</f>
        <v>1.0347</v>
      </c>
      <c r="U28" s="3154">
        <f t="shared" si="67"/>
        <v>1.0895999999999999</v>
      </c>
      <c r="V28" s="3154"/>
      <c r="W28" s="3153">
        <f>T28</f>
        <v>1.0347</v>
      </c>
      <c r="X28" s="3150"/>
      <c r="Y28" s="3155"/>
      <c r="Z28" s="3156">
        <f t="shared" ref="Z28:AB28" si="68">ROUND(AVERAGEIF(Z29:Z46,"&lt;&gt;0"),4)</f>
        <v>4.1999999999999997E-3</v>
      </c>
      <c r="AA28" s="3157">
        <f t="shared" si="68"/>
        <v>3.3999999999999998E-3</v>
      </c>
      <c r="AB28" s="3155">
        <f t="shared" si="68"/>
        <v>8.6E-3</v>
      </c>
      <c r="AC28" s="3158"/>
      <c r="AD28" s="3155">
        <f>AA28</f>
        <v>3.3999999999999998E-3</v>
      </c>
    </row>
    <row r="29" spans="1:30" s="3160" customFormat="1" ht="12.75">
      <c r="B29" s="3161"/>
      <c r="C29" s="3162"/>
      <c r="D29" s="3162"/>
      <c r="E29" s="3162"/>
      <c r="F29" s="3162"/>
      <c r="G29" s="3162"/>
      <c r="H29" s="3162"/>
      <c r="I29" s="3162"/>
      <c r="J29" s="3163"/>
      <c r="K29" s="3164"/>
      <c r="L29" s="3165"/>
      <c r="M29" s="3165"/>
      <c r="N29" s="3165"/>
      <c r="O29" s="3165"/>
      <c r="P29" s="3165"/>
      <c r="Q29" s="3163"/>
      <c r="R29" s="3166"/>
      <c r="S29" s="3167"/>
      <c r="T29" s="3168"/>
      <c r="U29" s="3166"/>
      <c r="V29" s="3169"/>
      <c r="W29" s="3166"/>
      <c r="X29" s="3163"/>
      <c r="Y29" s="3170"/>
      <c r="Z29" s="3171"/>
      <c r="AA29" s="3172"/>
      <c r="AB29" s="3170"/>
      <c r="AC29" s="3173"/>
      <c r="AD29" s="3170"/>
    </row>
    <row r="30" spans="1:30" s="3183" customFormat="1" ht="12.75">
      <c r="A30" s="2203" t="s">
        <v>3382</v>
      </c>
      <c r="B30" s="3175">
        <v>2025</v>
      </c>
      <c r="C30" s="3176">
        <v>1</v>
      </c>
      <c r="D30" s="3177"/>
      <c r="E30" s="3177">
        <v>0</v>
      </c>
      <c r="F30" s="3177">
        <v>0</v>
      </c>
      <c r="G30" s="3177">
        <v>0</v>
      </c>
      <c r="H30" s="3177"/>
      <c r="I30" s="3178">
        <f t="shared" ref="I30" si="69">F30</f>
        <v>0</v>
      </c>
      <c r="J30" s="3179"/>
      <c r="K30" s="3180"/>
      <c r="L30" s="3170">
        <f t="shared" ref="L30" si="70">E30/100</f>
        <v>0</v>
      </c>
      <c r="M30" s="3170">
        <f t="shared" ref="M30" si="71">F30/100</f>
        <v>0</v>
      </c>
      <c r="N30" s="3170">
        <f t="shared" ref="N30" si="72">G30/100</f>
        <v>0</v>
      </c>
      <c r="O30" s="3170"/>
      <c r="P30" s="3170">
        <f>M30</f>
        <v>0</v>
      </c>
      <c r="Q30" s="3179"/>
      <c r="R30" s="3181"/>
      <c r="S30" s="3181">
        <f>ROUND(IF(项目基本情况!$B$8="出让",SUMPRODUCT(PRODUCT(1+L30:L$46)),SUMPRODUCT(PRODUCT(1+L30:L$45))),4)</f>
        <v>1.0432999999999999</v>
      </c>
      <c r="T30" s="3181">
        <f>ROUND(IF(项目基本情况!$B$8="出让",SUMPRODUCT(PRODUCT(1+M30:M$46)),SUMPRODUCT(PRODUCT(1+M30:M$45))),4)</f>
        <v>1.0298</v>
      </c>
      <c r="U30" s="3181">
        <f>ROUND(IF(项目基本情况!$B$8="出让",SUMPRODUCT(PRODUCT(1+N30:N$46)),SUMPRODUCT(PRODUCT(1+N30:N$45))),4)</f>
        <v>1.079</v>
      </c>
      <c r="V30" s="3181"/>
      <c r="W30" s="3181">
        <f>T30</f>
        <v>1.0298</v>
      </c>
      <c r="X30" s="3179"/>
      <c r="Y30" s="3182"/>
      <c r="Z30" s="3210">
        <f t="shared" ref="Z30" si="73">IF(E30=0,0,ROUND(AVERAGE(E30:E43)/100,4))</f>
        <v>0</v>
      </c>
      <c r="AA30" s="3210">
        <f t="shared" ref="AA30" si="74">IF(F30=0,0,ROUND(AVERAGE(F30:F43)/100,4))</f>
        <v>0</v>
      </c>
      <c r="AB30" s="3210">
        <f t="shared" ref="AB30" si="75">IF(G30=0,0,ROUND(AVERAGE(G30:G43)/100,4))</f>
        <v>0</v>
      </c>
      <c r="AC30" s="3211"/>
      <c r="AD30" s="3182">
        <f>IF(I30=0,0,ROUND(AVERAGE(I30:I43)/100,4))</f>
        <v>0</v>
      </c>
    </row>
    <row r="31" spans="1:30" s="3193" customFormat="1" ht="12.75">
      <c r="A31" s="3184" t="s">
        <v>3385</v>
      </c>
      <c r="B31" s="3185">
        <v>2024</v>
      </c>
      <c r="C31" s="3186">
        <v>4</v>
      </c>
      <c r="D31" s="3187"/>
      <c r="E31" s="3187">
        <v>0</v>
      </c>
      <c r="F31" s="3187">
        <v>0</v>
      </c>
      <c r="G31" s="3187">
        <v>0</v>
      </c>
      <c r="H31" s="3188"/>
      <c r="I31" s="3189">
        <f t="shared" ref="I31" si="76">F31</f>
        <v>0</v>
      </c>
      <c r="J31" s="3190"/>
      <c r="K31" s="3191"/>
      <c r="L31" s="3192">
        <f t="shared" ref="L31" si="77">E31/100</f>
        <v>0</v>
      </c>
      <c r="M31" s="3192">
        <f t="shared" ref="M31" si="78">F31/100</f>
        <v>0</v>
      </c>
      <c r="N31" s="3192">
        <f t="shared" ref="N31" si="79">G31/100</f>
        <v>0</v>
      </c>
      <c r="O31" s="3192"/>
      <c r="P31" s="3192">
        <f>M31</f>
        <v>0</v>
      </c>
      <c r="Q31" s="3190"/>
      <c r="R31" s="3190"/>
      <c r="S31" s="3190">
        <f>ROUND(IF(项目基本情况!$B$8="出让",SUMPRODUCT(PRODUCT(1+L31:L$46)),SUMPRODUCT(PRODUCT(1+L31:L$45))),4)</f>
        <v>1.0432999999999999</v>
      </c>
      <c r="T31" s="3190">
        <f>ROUND(IF(项目基本情况!$B$8="出让",SUMPRODUCT(PRODUCT(1+M31:M$46)),SUMPRODUCT(PRODUCT(1+M31:M$45))),4)</f>
        <v>1.0298</v>
      </c>
      <c r="U31" s="3190">
        <f>ROUND(IF(项目基本情况!$B$8="出让",SUMPRODUCT(PRODUCT(1+N31:N$46)),SUMPRODUCT(PRODUCT(1+N31:N$45))),4)</f>
        <v>1.079</v>
      </c>
      <c r="V31" s="3190"/>
      <c r="W31" s="3190">
        <f>T31</f>
        <v>1.0298</v>
      </c>
      <c r="X31" s="3190"/>
      <c r="Y31" s="3192"/>
      <c r="Z31" s="3213">
        <f t="shared" ref="Z31" si="80">IF(E31=0,0,ROUND(AVERAGE(E31:E44)/100,4))</f>
        <v>0</v>
      </c>
      <c r="AA31" s="3214">
        <f t="shared" ref="AA31" si="81">IF(F31=0,0,ROUND(AVERAGE(F31:F44)/100,4))</f>
        <v>0</v>
      </c>
      <c r="AB31" s="3192">
        <f t="shared" ref="AB31" si="82">IF(G31=0,0,ROUND(AVERAGE(G31:G44)/100,4))</f>
        <v>0</v>
      </c>
      <c r="AC31" s="3215"/>
      <c r="AD31" s="3192">
        <f>IF(I31=0,0,ROUND(AVERAGE(I31:I44)/100,4))</f>
        <v>0</v>
      </c>
    </row>
    <row r="32" spans="1:30" s="3183" customFormat="1" ht="12.75">
      <c r="A32" s="2203" t="s">
        <v>3377</v>
      </c>
      <c r="B32" s="3175">
        <v>2024</v>
      </c>
      <c r="C32" s="3176">
        <v>3</v>
      </c>
      <c r="D32" s="3177"/>
      <c r="E32" s="3177">
        <v>0</v>
      </c>
      <c r="F32" s="3177">
        <v>0</v>
      </c>
      <c r="G32" s="3177">
        <v>0</v>
      </c>
      <c r="H32" s="3177"/>
      <c r="I32" s="3178">
        <f t="shared" ref="I32" si="83">F32</f>
        <v>0</v>
      </c>
      <c r="J32" s="3179"/>
      <c r="K32" s="3180"/>
      <c r="L32" s="3170">
        <f t="shared" ref="L32" si="84">E32/100</f>
        <v>0</v>
      </c>
      <c r="M32" s="3170">
        <f t="shared" ref="M32" si="85">F32/100</f>
        <v>0</v>
      </c>
      <c r="N32" s="3170">
        <f t="shared" ref="N32" si="86">G32/100</f>
        <v>0</v>
      </c>
      <c r="O32" s="3170"/>
      <c r="P32" s="3170">
        <f>M32</f>
        <v>0</v>
      </c>
      <c r="Q32" s="3179"/>
      <c r="R32" s="3181"/>
      <c r="S32" s="3181">
        <f>ROUND(IF(项目基本情况!$B$8="出让",SUMPRODUCT(PRODUCT(1+L32:L$46)),SUMPRODUCT(PRODUCT(1+L32:L$45))),4)</f>
        <v>1.0432999999999999</v>
      </c>
      <c r="T32" s="3181">
        <f>ROUND(IF(项目基本情况!$B$8="出让",SUMPRODUCT(PRODUCT(1+M32:M$46)),SUMPRODUCT(PRODUCT(1+M32:M$45))),4)</f>
        <v>1.0298</v>
      </c>
      <c r="U32" s="3181">
        <f>ROUND(IF(项目基本情况!$B$8="出让",SUMPRODUCT(PRODUCT(1+N32:N$46)),SUMPRODUCT(PRODUCT(1+N32:N$45))),4)</f>
        <v>1.079</v>
      </c>
      <c r="V32" s="3181"/>
      <c r="W32" s="3181">
        <f>T32</f>
        <v>1.0298</v>
      </c>
      <c r="X32" s="3179"/>
      <c r="Y32" s="3182"/>
      <c r="Z32" s="3210">
        <f t="shared" ref="Z32:AB33" si="87">IF(E32=0,0,ROUND(AVERAGE(E32:E45)/100,4))</f>
        <v>0</v>
      </c>
      <c r="AA32" s="3210">
        <f t="shared" si="87"/>
        <v>0</v>
      </c>
      <c r="AB32" s="3210">
        <f t="shared" si="87"/>
        <v>0</v>
      </c>
      <c r="AC32" s="3211"/>
      <c r="AD32" s="3182">
        <f>IF(I32=0,0,ROUND(AVERAGE(I32:I45)/100,4))</f>
        <v>0</v>
      </c>
    </row>
    <row r="33" spans="1:30" s="3183" customFormat="1" ht="12.75">
      <c r="A33" s="3174" t="s">
        <v>3386</v>
      </c>
      <c r="B33" s="3175">
        <v>2024</v>
      </c>
      <c r="C33" s="3176">
        <v>2</v>
      </c>
      <c r="D33" s="3177"/>
      <c r="E33" s="3177">
        <v>-0.31</v>
      </c>
      <c r="F33" s="3177">
        <v>-0.39</v>
      </c>
      <c r="G33" s="3177">
        <v>1.23</v>
      </c>
      <c r="H33" s="3194"/>
      <c r="I33" s="3178">
        <f t="shared" ref="I33:I46" si="88">F33</f>
        <v>-0.39</v>
      </c>
      <c r="J33" s="3179"/>
      <c r="K33" s="3180"/>
      <c r="L33" s="3170">
        <f t="shared" ref="L33:N46" si="89">E33/100</f>
        <v>-3.0999999999999999E-3</v>
      </c>
      <c r="M33" s="3170">
        <f t="shared" si="89"/>
        <v>-3.9000000000000003E-3</v>
      </c>
      <c r="N33" s="3170">
        <f t="shared" si="89"/>
        <v>1.23E-2</v>
      </c>
      <c r="O33" s="3170"/>
      <c r="P33" s="3170">
        <f>M33</f>
        <v>-3.9000000000000003E-3</v>
      </c>
      <c r="Q33" s="3179"/>
      <c r="R33" s="3181"/>
      <c r="S33" s="3181">
        <f>ROUND(IF(项目基本情况!$B$8="出让",SUMPRODUCT(PRODUCT(1+L33:L$46)),SUMPRODUCT(PRODUCT(1+L33:L$45))),4)</f>
        <v>1.0432999999999999</v>
      </c>
      <c r="T33" s="3181">
        <f>ROUND(IF(项目基本情况!$B$8="出让",SUMPRODUCT(PRODUCT(1+M33:M$46)),SUMPRODUCT(PRODUCT(1+M33:M$45))),4)</f>
        <v>1.0298</v>
      </c>
      <c r="U33" s="3181">
        <f>ROUND(IF(项目基本情况!$B$8="出让",SUMPRODUCT(PRODUCT(1+N33:N$46)),SUMPRODUCT(PRODUCT(1+N33:N$45))),4)</f>
        <v>1.079</v>
      </c>
      <c r="V33" s="3181"/>
      <c r="W33" s="3181">
        <f>T33</f>
        <v>1.0298</v>
      </c>
      <c r="X33" s="3179"/>
      <c r="Y33" s="3182"/>
      <c r="Z33" s="3210">
        <f t="shared" si="87"/>
        <v>3.3E-3</v>
      </c>
      <c r="AA33" s="3212">
        <f t="shared" si="87"/>
        <v>2.3999999999999998E-3</v>
      </c>
      <c r="AB33" s="3182">
        <f t="shared" si="87"/>
        <v>6.1999999999999998E-3</v>
      </c>
      <c r="AC33" s="3211"/>
      <c r="AD33" s="3182">
        <f>IF(I33=0,0,ROUND(AVERAGE(I33:I46)/100,4))</f>
        <v>2.3999999999999998E-3</v>
      </c>
    </row>
    <row r="34" spans="1:30" s="3183" customFormat="1" ht="12.75">
      <c r="A34" s="3174" t="s">
        <v>3378</v>
      </c>
      <c r="B34" s="3175">
        <v>2024</v>
      </c>
      <c r="C34" s="3176">
        <v>1</v>
      </c>
      <c r="D34" s="3177"/>
      <c r="E34" s="3177">
        <v>0.25</v>
      </c>
      <c r="F34" s="3177">
        <v>0.4</v>
      </c>
      <c r="G34" s="3177">
        <v>-0.63</v>
      </c>
      <c r="H34" s="3194"/>
      <c r="I34" s="3178">
        <f t="shared" ref="I34:I35" si="90">F34</f>
        <v>0.4</v>
      </c>
      <c r="J34" s="3179"/>
      <c r="K34" s="3180"/>
      <c r="L34" s="3170">
        <f t="shared" ref="L34" si="91">E34/100</f>
        <v>2.5000000000000001E-3</v>
      </c>
      <c r="M34" s="3170">
        <f t="shared" ref="M34" si="92">F34/100</f>
        <v>4.0000000000000001E-3</v>
      </c>
      <c r="N34" s="3170">
        <f t="shared" ref="N34" si="93">G34/100</f>
        <v>-6.3E-3</v>
      </c>
      <c r="O34" s="3170"/>
      <c r="P34" s="3170">
        <f t="shared" ref="P34" si="94">M34</f>
        <v>4.0000000000000001E-3</v>
      </c>
      <c r="Q34" s="3179"/>
      <c r="R34" s="3181"/>
      <c r="S34" s="3181">
        <f>ROUND(IF(项目基本情况!$B$8="出让",SUMPRODUCT(PRODUCT(1+L34:L$46)),SUMPRODUCT(PRODUCT(1+L34:L$45))),4)</f>
        <v>1.0465</v>
      </c>
      <c r="T34" s="3181">
        <f>ROUND(IF(项目基本情况!$B$8="出让",SUMPRODUCT(PRODUCT(1+M34:M$46)),SUMPRODUCT(PRODUCT(1+M34:M$45))),4)</f>
        <v>1.0338000000000001</v>
      </c>
      <c r="U34" s="3181">
        <f>ROUND(IF(项目基本情况!$B$8="出让",SUMPRODUCT(PRODUCT(1+N34:N$46)),SUMPRODUCT(PRODUCT(1+N34:N$45))),4)</f>
        <v>1.0659000000000001</v>
      </c>
      <c r="V34" s="3181"/>
      <c r="W34" s="3181">
        <f t="shared" ref="W34" si="95">T34</f>
        <v>1.0338000000000001</v>
      </c>
      <c r="X34" s="3179"/>
      <c r="Y34" s="3182"/>
      <c r="Z34" s="3210"/>
      <c r="AA34" s="3212"/>
      <c r="AB34" s="3182"/>
      <c r="AC34" s="3211"/>
      <c r="AD34" s="3182"/>
    </row>
    <row r="35" spans="1:30" s="3183" customFormat="1" ht="12.75">
      <c r="A35" s="3174" t="s">
        <v>3376</v>
      </c>
      <c r="B35" s="3175">
        <v>2023</v>
      </c>
      <c r="C35" s="3176">
        <v>4</v>
      </c>
      <c r="D35" s="3177"/>
      <c r="E35" s="3177">
        <v>7.0000000000000007E-2</v>
      </c>
      <c r="F35" s="3177">
        <v>0.09</v>
      </c>
      <c r="G35" s="3177">
        <v>0.03</v>
      </c>
      <c r="H35" s="3194"/>
      <c r="I35" s="3178">
        <f t="shared" si="90"/>
        <v>0.09</v>
      </c>
      <c r="J35" s="3179"/>
      <c r="K35" s="3180"/>
      <c r="L35" s="3170">
        <f t="shared" si="89"/>
        <v>7.000000000000001E-4</v>
      </c>
      <c r="M35" s="3170">
        <f t="shared" si="89"/>
        <v>8.9999999999999998E-4</v>
      </c>
      <c r="N35" s="3170">
        <f t="shared" si="89"/>
        <v>2.9999999999999997E-4</v>
      </c>
      <c r="O35" s="3170"/>
      <c r="P35" s="3170">
        <f t="shared" ref="P35" si="96">M35</f>
        <v>8.9999999999999998E-4</v>
      </c>
      <c r="Q35" s="3179"/>
      <c r="R35" s="3181"/>
      <c r="S35" s="3181">
        <f>ROUND(IF(项目基本情况!$B$8="出让",SUMPRODUCT(PRODUCT(1+L35:L$46)),SUMPRODUCT(PRODUCT(1+L35:L$45))),4)</f>
        <v>1.0439000000000001</v>
      </c>
      <c r="T35" s="3181">
        <f>ROUND(IF(项目基本情况!$B$8="出让",SUMPRODUCT(PRODUCT(1+M35:M$46)),SUMPRODUCT(PRODUCT(1+M35:M$45))),4)</f>
        <v>1.0297000000000001</v>
      </c>
      <c r="U35" s="3181">
        <f>ROUND(IF(项目基本情况!$B$8="出让",SUMPRODUCT(PRODUCT(1+N35:N$46)),SUMPRODUCT(PRODUCT(1+N35:N$45))),4)</f>
        <v>1.0727</v>
      </c>
      <c r="V35" s="3181"/>
      <c r="W35" s="3181">
        <f t="shared" ref="W35" si="97">T35</f>
        <v>1.0297000000000001</v>
      </c>
      <c r="X35" s="3179"/>
      <c r="Y35" s="3182"/>
      <c r="Z35" s="3210"/>
      <c r="AA35" s="3212"/>
      <c r="AB35" s="3182"/>
      <c r="AC35" s="3211"/>
      <c r="AD35" s="3182"/>
    </row>
    <row r="36" spans="1:30" s="3183" customFormat="1" ht="12.75">
      <c r="A36" s="3174" t="s">
        <v>3374</v>
      </c>
      <c r="B36" s="3175">
        <v>2023</v>
      </c>
      <c r="C36" s="3176">
        <v>3</v>
      </c>
      <c r="D36" s="3177"/>
      <c r="E36" s="3177">
        <v>0.35</v>
      </c>
      <c r="F36" s="3177">
        <v>0.17</v>
      </c>
      <c r="G36" s="3177">
        <v>0.52</v>
      </c>
      <c r="H36" s="3194"/>
      <c r="I36" s="3178">
        <f t="shared" si="88"/>
        <v>0.17</v>
      </c>
      <c r="J36" s="3179"/>
      <c r="K36" s="3180"/>
      <c r="L36" s="3170">
        <f t="shared" ref="L36:L38" si="98">E36/100</f>
        <v>3.4999999999999996E-3</v>
      </c>
      <c r="M36" s="3170">
        <f t="shared" ref="M36:M38" si="99">F36/100</f>
        <v>1.7000000000000001E-3</v>
      </c>
      <c r="N36" s="3170">
        <f t="shared" ref="N36:N38" si="100">G36/100</f>
        <v>5.1999999999999998E-3</v>
      </c>
      <c r="O36" s="3170"/>
      <c r="P36" s="3170">
        <f t="shared" ref="P36:P38" si="101">M36</f>
        <v>1.7000000000000001E-3</v>
      </c>
      <c r="Q36" s="3179"/>
      <c r="R36" s="3181"/>
      <c r="S36" s="3181">
        <f>ROUND(IF(项目基本情况!$B$8="出让",SUMPRODUCT(PRODUCT(1+L36:L$46)),SUMPRODUCT(PRODUCT(1+L36:L$45))),4)</f>
        <v>1.0431999999999999</v>
      </c>
      <c r="T36" s="3181">
        <f>ROUND(IF(项目基本情况!$B$8="出让",SUMPRODUCT(PRODUCT(1+M36:M$46)),SUMPRODUCT(PRODUCT(1+M36:M$45))),4)</f>
        <v>1.0286999999999999</v>
      </c>
      <c r="U36" s="3181">
        <f>ROUND(IF(项目基本情况!$B$8="出让",SUMPRODUCT(PRODUCT(1+N36:N$46)),SUMPRODUCT(PRODUCT(1+N36:N$45))),4)</f>
        <v>1.0723</v>
      </c>
      <c r="V36" s="3181"/>
      <c r="W36" s="3181">
        <f t="shared" ref="W36:W38" si="102">T36</f>
        <v>1.0286999999999999</v>
      </c>
      <c r="X36" s="3179"/>
      <c r="Y36" s="3182"/>
      <c r="Z36" s="3210"/>
      <c r="AA36" s="3212"/>
      <c r="AB36" s="3182"/>
      <c r="AC36" s="3211"/>
      <c r="AD36" s="3182"/>
    </row>
    <row r="37" spans="1:30" s="3183" customFormat="1" ht="12.75">
      <c r="A37" s="3174" t="s">
        <v>3373</v>
      </c>
      <c r="B37" s="3175">
        <v>2023</v>
      </c>
      <c r="C37" s="3176">
        <v>2</v>
      </c>
      <c r="D37" s="3177"/>
      <c r="E37" s="3177">
        <v>0.5</v>
      </c>
      <c r="F37" s="3177">
        <v>0.45</v>
      </c>
      <c r="G37" s="3177">
        <v>0.89</v>
      </c>
      <c r="H37" s="3194"/>
      <c r="I37" s="3178">
        <f t="shared" si="88"/>
        <v>0.45</v>
      </c>
      <c r="J37" s="3179"/>
      <c r="K37" s="3180"/>
      <c r="L37" s="3170">
        <f t="shared" si="98"/>
        <v>5.0000000000000001E-3</v>
      </c>
      <c r="M37" s="3170">
        <f t="shared" si="99"/>
        <v>4.5000000000000005E-3</v>
      </c>
      <c r="N37" s="3170">
        <f t="shared" si="100"/>
        <v>8.8999999999999999E-3</v>
      </c>
      <c r="O37" s="3170"/>
      <c r="P37" s="3170">
        <f t="shared" si="101"/>
        <v>4.5000000000000005E-3</v>
      </c>
      <c r="Q37" s="3179"/>
      <c r="R37" s="3181"/>
      <c r="S37" s="3181">
        <f>ROUND(IF(项目基本情况!$B$8="出让",SUMPRODUCT(PRODUCT(1+L37:L$46)),SUMPRODUCT(PRODUCT(1+L37:L$45))),4)</f>
        <v>1.0396000000000001</v>
      </c>
      <c r="T37" s="3181">
        <f>ROUND(IF(项目基本情况!$B$8="出让",SUMPRODUCT(PRODUCT(1+M37:M$46)),SUMPRODUCT(PRODUCT(1+M37:M$45))),4)</f>
        <v>1.0269999999999999</v>
      </c>
      <c r="U37" s="3181">
        <f>ROUND(IF(项目基本情况!$B$8="出让",SUMPRODUCT(PRODUCT(1+N37:N$46)),SUMPRODUCT(PRODUCT(1+N37:N$45))),4)</f>
        <v>1.0668</v>
      </c>
      <c r="V37" s="3181"/>
      <c r="W37" s="3181">
        <f t="shared" si="102"/>
        <v>1.0269999999999999</v>
      </c>
      <c r="X37" s="3179"/>
      <c r="Y37" s="3182"/>
      <c r="Z37" s="3210"/>
      <c r="AA37" s="3212"/>
      <c r="AB37" s="3182"/>
      <c r="AC37" s="3211"/>
      <c r="AD37" s="3182"/>
    </row>
    <row r="38" spans="1:30" s="3183" customFormat="1" ht="12.75">
      <c r="A38" s="3174" t="s">
        <v>3369</v>
      </c>
      <c r="B38" s="3175">
        <v>2023</v>
      </c>
      <c r="C38" s="3176">
        <v>1</v>
      </c>
      <c r="D38" s="3177"/>
      <c r="E38" s="3177">
        <v>0.55000000000000004</v>
      </c>
      <c r="F38" s="3177">
        <v>0.59</v>
      </c>
      <c r="G38" s="3177">
        <v>0.64</v>
      </c>
      <c r="H38" s="3194"/>
      <c r="I38" s="3178">
        <f t="shared" si="88"/>
        <v>0.59</v>
      </c>
      <c r="J38" s="3179"/>
      <c r="K38" s="3180"/>
      <c r="L38" s="3170">
        <f t="shared" si="98"/>
        <v>5.5000000000000005E-3</v>
      </c>
      <c r="M38" s="3170">
        <f t="shared" si="99"/>
        <v>5.8999999999999999E-3</v>
      </c>
      <c r="N38" s="3170">
        <f t="shared" si="100"/>
        <v>6.4000000000000003E-3</v>
      </c>
      <c r="O38" s="3170"/>
      <c r="P38" s="3170">
        <f t="shared" si="101"/>
        <v>5.8999999999999999E-3</v>
      </c>
      <c r="Q38" s="3179"/>
      <c r="R38" s="3181"/>
      <c r="S38" s="3181">
        <f>ROUND(IF(项目基本情况!$B$8="出让",SUMPRODUCT(PRODUCT(1+L38:L$46)),SUMPRODUCT(PRODUCT(1+L38:L$45))),4)</f>
        <v>1.0344</v>
      </c>
      <c r="T38" s="3181">
        <f>ROUND(IF(项目基本情况!$B$8="出让",SUMPRODUCT(PRODUCT(1+M38:M$46)),SUMPRODUCT(PRODUCT(1+M38:M$45))),4)</f>
        <v>1.0224</v>
      </c>
      <c r="U38" s="3181">
        <f>ROUND(IF(项目基本情况!$B$8="出让",SUMPRODUCT(PRODUCT(1+N38:N$46)),SUMPRODUCT(PRODUCT(1+N38:N$45))),4)</f>
        <v>1.0573999999999999</v>
      </c>
      <c r="V38" s="3181"/>
      <c r="W38" s="3181">
        <f t="shared" si="102"/>
        <v>1.0224</v>
      </c>
      <c r="X38" s="3179"/>
      <c r="Y38" s="3182"/>
      <c r="Z38" s="3210"/>
      <c r="AA38" s="3212"/>
      <c r="AB38" s="3182"/>
      <c r="AC38" s="3211"/>
      <c r="AD38" s="3182"/>
    </row>
    <row r="39" spans="1:30" s="3183" customFormat="1" ht="12.75">
      <c r="A39" s="3174" t="s">
        <v>3368</v>
      </c>
      <c r="B39" s="3175">
        <v>2022</v>
      </c>
      <c r="C39" s="3176">
        <v>4</v>
      </c>
      <c r="D39" s="3177"/>
      <c r="E39" s="3177">
        <v>0.45</v>
      </c>
      <c r="F39" s="3177">
        <v>0.2</v>
      </c>
      <c r="G39" s="3177">
        <v>0.38</v>
      </c>
      <c r="H39" s="3194"/>
      <c r="I39" s="3178">
        <f t="shared" si="88"/>
        <v>0.2</v>
      </c>
      <c r="J39" s="3179"/>
      <c r="K39" s="3180"/>
      <c r="L39" s="3170">
        <f t="shared" si="89"/>
        <v>4.5000000000000005E-3</v>
      </c>
      <c r="M39" s="3170">
        <f t="shared" si="89"/>
        <v>2E-3</v>
      </c>
      <c r="N39" s="3170">
        <f t="shared" si="89"/>
        <v>3.8E-3</v>
      </c>
      <c r="O39" s="3170"/>
      <c r="P39" s="3170">
        <f t="shared" ref="P39:P46" si="103">M39</f>
        <v>2E-3</v>
      </c>
      <c r="Q39" s="3179"/>
      <c r="R39" s="3181"/>
      <c r="S39" s="3181">
        <f>ROUND(IF(项目基本情况!$B$8="出让",SUMPRODUCT(PRODUCT(1+L39:L$46)),SUMPRODUCT(PRODUCT(1+L39:L$45))),4)</f>
        <v>1.0286999999999999</v>
      </c>
      <c r="T39" s="3181">
        <f>ROUND(IF(项目基本情况!$B$8="出让",SUMPRODUCT(PRODUCT(1+M39:M$46)),SUMPRODUCT(PRODUCT(1+M39:M$45))),4)</f>
        <v>1.0164</v>
      </c>
      <c r="U39" s="3181">
        <f>ROUND(IF(项目基本情况!$B$8="出让",SUMPRODUCT(PRODUCT(1+N39:N$46)),SUMPRODUCT(PRODUCT(1+N39:N$45))),4)</f>
        <v>1.0506</v>
      </c>
      <c r="V39" s="3181"/>
      <c r="W39" s="3181">
        <f t="shared" ref="W39:W46" si="104">T39</f>
        <v>1.0164</v>
      </c>
      <c r="X39" s="3179"/>
      <c r="Y39" s="3182"/>
      <c r="Z39" s="3210">
        <f t="shared" ref="Z39:AD46" si="105">IF(E39=0,0,ROUND(AVERAGE(E39:E47)/100,4))</f>
        <v>4.0000000000000001E-3</v>
      </c>
      <c r="AA39" s="3212">
        <f t="shared" si="105"/>
        <v>2.5999999999999999E-3</v>
      </c>
      <c r="AB39" s="3182">
        <f t="shared" si="105"/>
        <v>7.4000000000000003E-3</v>
      </c>
      <c r="AC39" s="3211"/>
      <c r="AD39" s="3182">
        <f t="shared" si="105"/>
        <v>2.5999999999999999E-3</v>
      </c>
    </row>
    <row r="40" spans="1:30" s="3183" customFormat="1" ht="12.75">
      <c r="A40" s="3174" t="s">
        <v>3365</v>
      </c>
      <c r="B40" s="3175">
        <v>2022</v>
      </c>
      <c r="C40" s="3176">
        <v>3</v>
      </c>
      <c r="D40" s="3177"/>
      <c r="E40" s="3177">
        <v>0.3</v>
      </c>
      <c r="F40" s="3177">
        <v>0.28999999999999998</v>
      </c>
      <c r="G40" s="3177">
        <v>0.83</v>
      </c>
      <c r="H40" s="3194"/>
      <c r="I40" s="3178">
        <f t="shared" si="88"/>
        <v>0.28999999999999998</v>
      </c>
      <c r="J40" s="3179"/>
      <c r="K40" s="3180"/>
      <c r="L40" s="3170">
        <f t="shared" si="89"/>
        <v>3.0000000000000001E-3</v>
      </c>
      <c r="M40" s="3170">
        <f t="shared" si="89"/>
        <v>2.8999999999999998E-3</v>
      </c>
      <c r="N40" s="3170">
        <f t="shared" si="89"/>
        <v>8.3000000000000001E-3</v>
      </c>
      <c r="O40" s="3170"/>
      <c r="P40" s="3170">
        <f t="shared" si="103"/>
        <v>2.8999999999999998E-3</v>
      </c>
      <c r="Q40" s="3179"/>
      <c r="R40" s="3181"/>
      <c r="S40" s="3181">
        <f>ROUND(IF(项目基本情况!$B$8="出让",SUMPRODUCT(PRODUCT(1+L40:L$46)),SUMPRODUCT(PRODUCT(1+L40:L$45))),4)</f>
        <v>1.0241</v>
      </c>
      <c r="T40" s="3181">
        <f>ROUND(IF(项目基本情况!$B$8="出让",SUMPRODUCT(PRODUCT(1+M40:M$46)),SUMPRODUCT(PRODUCT(1+M40:M$45))),4)</f>
        <v>1.0144</v>
      </c>
      <c r="U40" s="3181">
        <f>ROUND(IF(项目基本情况!$B$8="出让",SUMPRODUCT(PRODUCT(1+N40:N$46)),SUMPRODUCT(PRODUCT(1+N40:N$45))),4)</f>
        <v>1.0467</v>
      </c>
      <c r="V40" s="3181"/>
      <c r="W40" s="3181">
        <f t="shared" si="104"/>
        <v>1.0144</v>
      </c>
      <c r="X40" s="3179"/>
      <c r="Y40" s="3182"/>
      <c r="Z40" s="3210">
        <f t="shared" si="105"/>
        <v>3.8999999999999998E-3</v>
      </c>
      <c r="AA40" s="3212">
        <f t="shared" si="105"/>
        <v>2.7000000000000001E-3</v>
      </c>
      <c r="AB40" s="3182">
        <f t="shared" si="105"/>
        <v>7.9000000000000008E-3</v>
      </c>
      <c r="AC40" s="3211"/>
      <c r="AD40" s="3182">
        <f t="shared" si="105"/>
        <v>2.7000000000000001E-3</v>
      </c>
    </row>
    <row r="41" spans="1:30" s="3183" customFormat="1" ht="12.75">
      <c r="A41" s="3174" t="s">
        <v>3355</v>
      </c>
      <c r="B41" s="3175">
        <v>2022</v>
      </c>
      <c r="C41" s="3176">
        <v>2</v>
      </c>
      <c r="D41" s="3177"/>
      <c r="E41" s="3177">
        <v>-0.11</v>
      </c>
      <c r="F41" s="3177">
        <v>-0.13</v>
      </c>
      <c r="G41" s="3177">
        <v>0.53</v>
      </c>
      <c r="H41" s="3194"/>
      <c r="I41" s="3178">
        <f t="shared" si="88"/>
        <v>-0.13</v>
      </c>
      <c r="J41" s="3179"/>
      <c r="K41" s="3180"/>
      <c r="L41" s="3170">
        <f t="shared" si="89"/>
        <v>-1.1000000000000001E-3</v>
      </c>
      <c r="M41" s="3170">
        <f t="shared" si="89"/>
        <v>-1.2999999999999999E-3</v>
      </c>
      <c r="N41" s="3170">
        <f t="shared" si="89"/>
        <v>5.3E-3</v>
      </c>
      <c r="O41" s="3170"/>
      <c r="P41" s="3170">
        <f t="shared" si="103"/>
        <v>-1.2999999999999999E-3</v>
      </c>
      <c r="Q41" s="3179"/>
      <c r="R41" s="3181"/>
      <c r="S41" s="3181">
        <f>ROUND(IF(项目基本情况!$B$8="出让",SUMPRODUCT(PRODUCT(1+L41:L$46)),SUMPRODUCT(PRODUCT(1+L41:L$45))),4)</f>
        <v>1.0210999999999999</v>
      </c>
      <c r="T41" s="3181">
        <f>ROUND(IF(项目基本情况!$B$8="出让",SUMPRODUCT(PRODUCT(1+M41:M$46)),SUMPRODUCT(PRODUCT(1+M41:M$45))),4)</f>
        <v>1.0114000000000001</v>
      </c>
      <c r="U41" s="3181">
        <f>ROUND(IF(项目基本情况!$B$8="出让",SUMPRODUCT(PRODUCT(1+N41:N$46)),SUMPRODUCT(PRODUCT(1+N41:N$45))),4)</f>
        <v>1.0381</v>
      </c>
      <c r="V41" s="3181"/>
      <c r="W41" s="3181">
        <f t="shared" si="104"/>
        <v>1.0114000000000001</v>
      </c>
      <c r="X41" s="3179"/>
      <c r="Y41" s="3182"/>
      <c r="Z41" s="3210">
        <f t="shared" si="105"/>
        <v>4.1000000000000003E-3</v>
      </c>
      <c r="AA41" s="3212">
        <f t="shared" si="105"/>
        <v>2.7000000000000001E-3</v>
      </c>
      <c r="AB41" s="3182">
        <f t="shared" si="105"/>
        <v>7.9000000000000008E-3</v>
      </c>
      <c r="AC41" s="3211"/>
      <c r="AD41" s="3182">
        <f t="shared" si="105"/>
        <v>2.7000000000000001E-3</v>
      </c>
    </row>
    <row r="42" spans="1:30" s="3183" customFormat="1" ht="12.75">
      <c r="A42" s="3174" t="s">
        <v>2836</v>
      </c>
      <c r="B42" s="3175">
        <v>2022</v>
      </c>
      <c r="C42" s="3176">
        <v>1</v>
      </c>
      <c r="D42" s="3177"/>
      <c r="E42" s="3177">
        <v>0.6</v>
      </c>
      <c r="F42" s="3177">
        <v>0.45</v>
      </c>
      <c r="G42" s="3177">
        <v>0.53</v>
      </c>
      <c r="H42" s="3194"/>
      <c r="I42" s="3178">
        <f t="shared" si="88"/>
        <v>0.45</v>
      </c>
      <c r="J42" s="3179"/>
      <c r="K42" s="3180"/>
      <c r="L42" s="3170">
        <f t="shared" si="89"/>
        <v>6.0000000000000001E-3</v>
      </c>
      <c r="M42" s="3170">
        <f t="shared" si="89"/>
        <v>4.5000000000000005E-3</v>
      </c>
      <c r="N42" s="3170">
        <f t="shared" si="89"/>
        <v>5.3E-3</v>
      </c>
      <c r="O42" s="3170"/>
      <c r="P42" s="3170">
        <f t="shared" si="103"/>
        <v>4.5000000000000005E-3</v>
      </c>
      <c r="Q42" s="3179"/>
      <c r="R42" s="3181"/>
      <c r="S42" s="3181">
        <f>ROUND(IF(项目基本情况!$B$8="出让",SUMPRODUCT(PRODUCT(1+L42:L$46)),SUMPRODUCT(PRODUCT(1+L42:L$45))),4)</f>
        <v>1.0222</v>
      </c>
      <c r="T42" s="3181">
        <f>ROUND(IF(项目基本情况!$B$8="出让",SUMPRODUCT(PRODUCT(1+M42:M$46)),SUMPRODUCT(PRODUCT(1+M42:M$45))),4)</f>
        <v>1.0127999999999999</v>
      </c>
      <c r="U42" s="3181">
        <f>ROUND(IF(项目基本情况!$B$8="出让",SUMPRODUCT(PRODUCT(1+N42:N$46)),SUMPRODUCT(PRODUCT(1+N42:N$45))),4)</f>
        <v>1.0326</v>
      </c>
      <c r="V42" s="3181"/>
      <c r="W42" s="3181">
        <f t="shared" si="104"/>
        <v>1.0127999999999999</v>
      </c>
      <c r="X42" s="3179"/>
      <c r="Y42" s="3182"/>
      <c r="Z42" s="3210">
        <f t="shared" si="105"/>
        <v>5.1000000000000004E-3</v>
      </c>
      <c r="AA42" s="3212">
        <f t="shared" si="105"/>
        <v>3.5000000000000001E-3</v>
      </c>
      <c r="AB42" s="3182">
        <f t="shared" si="105"/>
        <v>8.3999999999999995E-3</v>
      </c>
      <c r="AC42" s="3211"/>
      <c r="AD42" s="3182">
        <f t="shared" si="105"/>
        <v>3.5000000000000001E-3</v>
      </c>
    </row>
    <row r="43" spans="1:30" s="3183" customFormat="1" ht="12.75">
      <c r="A43" s="3174" t="s">
        <v>2837</v>
      </c>
      <c r="B43" s="3175">
        <v>2021</v>
      </c>
      <c r="C43" s="3176">
        <v>4</v>
      </c>
      <c r="D43" s="3177"/>
      <c r="E43" s="3177">
        <v>0.57999999999999996</v>
      </c>
      <c r="F43" s="3177">
        <v>0.08</v>
      </c>
      <c r="G43" s="3177">
        <v>0.68</v>
      </c>
      <c r="H43" s="3194"/>
      <c r="I43" s="3178">
        <f t="shared" si="88"/>
        <v>0.08</v>
      </c>
      <c r="J43" s="3179"/>
      <c r="K43" s="3180"/>
      <c r="L43" s="3170">
        <f t="shared" si="89"/>
        <v>5.7999999999999996E-3</v>
      </c>
      <c r="M43" s="3170">
        <f t="shared" si="89"/>
        <v>8.0000000000000004E-4</v>
      </c>
      <c r="N43" s="3170">
        <f t="shared" si="89"/>
        <v>6.8000000000000005E-3</v>
      </c>
      <c r="O43" s="3170"/>
      <c r="P43" s="3170">
        <f t="shared" si="103"/>
        <v>8.0000000000000004E-4</v>
      </c>
      <c r="Q43" s="3179"/>
      <c r="R43" s="3181"/>
      <c r="S43" s="3181">
        <f>ROUND(IF(项目基本情况!$B$8="出让",SUMPRODUCT(PRODUCT(1+L43:L$46)),SUMPRODUCT(PRODUCT(1+L43:L$45))),4)</f>
        <v>1.0161</v>
      </c>
      <c r="T43" s="3181">
        <f>ROUND(IF(项目基本情况!$B$8="出让",SUMPRODUCT(PRODUCT(1+M43:M$46)),SUMPRODUCT(PRODUCT(1+M43:M$45))),4)</f>
        <v>1.0082</v>
      </c>
      <c r="U43" s="3181">
        <f>ROUND(IF(项目基本情况!$B$8="出让",SUMPRODUCT(PRODUCT(1+N43:N$46)),SUMPRODUCT(PRODUCT(1+N43:N$45))),4)</f>
        <v>1.0270999999999999</v>
      </c>
      <c r="V43" s="3181"/>
      <c r="W43" s="3181">
        <f t="shared" si="104"/>
        <v>1.0082</v>
      </c>
      <c r="X43" s="3179"/>
      <c r="Y43" s="3182"/>
      <c r="Z43" s="3210">
        <f t="shared" si="105"/>
        <v>4.8999999999999998E-3</v>
      </c>
      <c r="AA43" s="3212">
        <f t="shared" si="105"/>
        <v>3.3E-3</v>
      </c>
      <c r="AB43" s="3182">
        <f t="shared" si="105"/>
        <v>9.1999999999999998E-3</v>
      </c>
      <c r="AC43" s="3211"/>
      <c r="AD43" s="3182">
        <f t="shared" si="105"/>
        <v>3.3E-3</v>
      </c>
    </row>
    <row r="44" spans="1:30" s="3183" customFormat="1" ht="12.75">
      <c r="A44" s="3174" t="s">
        <v>2838</v>
      </c>
      <c r="B44" s="3175">
        <v>2021</v>
      </c>
      <c r="C44" s="3176">
        <v>3</v>
      </c>
      <c r="D44" s="3177"/>
      <c r="E44" s="3177">
        <v>0.47</v>
      </c>
      <c r="F44" s="3177">
        <v>0.28000000000000003</v>
      </c>
      <c r="G44" s="3177">
        <v>0.91</v>
      </c>
      <c r="H44" s="3194"/>
      <c r="I44" s="3178">
        <f t="shared" si="88"/>
        <v>0.28000000000000003</v>
      </c>
      <c r="J44" s="3179"/>
      <c r="K44" s="3180"/>
      <c r="L44" s="3170">
        <f t="shared" si="89"/>
        <v>4.6999999999999993E-3</v>
      </c>
      <c r="M44" s="3170">
        <f t="shared" si="89"/>
        <v>2.8000000000000004E-3</v>
      </c>
      <c r="N44" s="3170">
        <f t="shared" si="89"/>
        <v>9.1000000000000004E-3</v>
      </c>
      <c r="O44" s="3170"/>
      <c r="P44" s="3170">
        <f t="shared" si="103"/>
        <v>2.8000000000000004E-3</v>
      </c>
      <c r="Q44" s="3179"/>
      <c r="R44" s="3181"/>
      <c r="S44" s="3181">
        <f>ROUND(IF(项目基本情况!$B$8="出让",SUMPRODUCT(PRODUCT(1+L44:L$46)),SUMPRODUCT(PRODUCT(1+L44:L$45))),4)</f>
        <v>1.0102</v>
      </c>
      <c r="T44" s="3181">
        <f>ROUND(IF(项目基本情况!$B$8="出让",SUMPRODUCT(PRODUCT(1+M44:M$46)),SUMPRODUCT(PRODUCT(1+M44:M$45))),4)</f>
        <v>1.0074000000000001</v>
      </c>
      <c r="U44" s="3181">
        <f>ROUND(IF(项目基本情况!$B$8="出让",SUMPRODUCT(PRODUCT(1+N44:N$46)),SUMPRODUCT(PRODUCT(1+N44:N$45))),4)</f>
        <v>1.0202</v>
      </c>
      <c r="V44" s="3181"/>
      <c r="W44" s="3181">
        <f t="shared" si="104"/>
        <v>1.0074000000000001</v>
      </c>
      <c r="X44" s="3179"/>
      <c r="Y44" s="3182"/>
      <c r="Z44" s="3210">
        <f t="shared" si="105"/>
        <v>4.5999999999999999E-3</v>
      </c>
      <c r="AA44" s="3212">
        <f t="shared" si="105"/>
        <v>4.1000000000000003E-3</v>
      </c>
      <c r="AB44" s="3182">
        <f t="shared" si="105"/>
        <v>0.01</v>
      </c>
      <c r="AC44" s="3211"/>
      <c r="AD44" s="3182">
        <f t="shared" si="105"/>
        <v>4.1000000000000003E-3</v>
      </c>
    </row>
    <row r="45" spans="1:30" s="3183" customFormat="1" ht="12.75">
      <c r="A45" s="3174" t="s">
        <v>2839</v>
      </c>
      <c r="B45" s="3175">
        <v>2021</v>
      </c>
      <c r="C45" s="3176">
        <v>2</v>
      </c>
      <c r="D45" s="3177"/>
      <c r="E45" s="3177">
        <v>0.55000000000000004</v>
      </c>
      <c r="F45" s="3177">
        <v>0.46</v>
      </c>
      <c r="G45" s="3177">
        <v>1.1000000000000001</v>
      </c>
      <c r="H45" s="3194"/>
      <c r="I45" s="3178">
        <f t="shared" si="88"/>
        <v>0.46</v>
      </c>
      <c r="J45" s="3179"/>
      <c r="K45" s="3180"/>
      <c r="L45" s="3170">
        <f t="shared" si="89"/>
        <v>5.5000000000000005E-3</v>
      </c>
      <c r="M45" s="3170">
        <f t="shared" si="89"/>
        <v>4.5999999999999999E-3</v>
      </c>
      <c r="N45" s="3170">
        <f t="shared" si="89"/>
        <v>1.1000000000000001E-2</v>
      </c>
      <c r="O45" s="3170"/>
      <c r="P45" s="3170">
        <f t="shared" si="103"/>
        <v>4.5999999999999999E-3</v>
      </c>
      <c r="Q45" s="3179"/>
      <c r="R45" s="3181"/>
      <c r="S45" s="3181">
        <f>ROUND(IF(项目基本情况!$B$8="出让",SUMPRODUCT(PRODUCT(1+L45:L$46)),SUMPRODUCT(PRODUCT(1+L45:L$45))),4)</f>
        <v>1.0055000000000001</v>
      </c>
      <c r="T45" s="3181">
        <f>ROUND(IF(项目基本情况!$B$8="出让",SUMPRODUCT(PRODUCT(1+M45:M$46)),SUMPRODUCT(PRODUCT(1+M45:M$45))),4)</f>
        <v>1.0045999999999999</v>
      </c>
      <c r="U45" s="3181">
        <f>ROUND(IF(项目基本情况!$B$8="出让",SUMPRODUCT(PRODUCT(1+N45:N$46)),SUMPRODUCT(PRODUCT(1+N45:N$45))),4)</f>
        <v>1.0109999999999999</v>
      </c>
      <c r="V45" s="3181"/>
      <c r="W45" s="3181">
        <f t="shared" si="104"/>
        <v>1.0045999999999999</v>
      </c>
      <c r="X45" s="3179"/>
      <c r="Y45" s="3182"/>
      <c r="Z45" s="3210">
        <f t="shared" si="105"/>
        <v>4.4999999999999997E-3</v>
      </c>
      <c r="AA45" s="3212">
        <f t="shared" si="105"/>
        <v>4.7000000000000002E-3</v>
      </c>
      <c r="AB45" s="3182">
        <f t="shared" si="105"/>
        <v>1.04E-2</v>
      </c>
      <c r="AC45" s="3211"/>
      <c r="AD45" s="3182">
        <f t="shared" si="105"/>
        <v>4.7000000000000002E-3</v>
      </c>
    </row>
    <row r="46" spans="1:30" s="3205" customFormat="1" thickBot="1">
      <c r="A46" s="3195" t="s">
        <v>2825</v>
      </c>
      <c r="B46" s="3196">
        <v>2021</v>
      </c>
      <c r="C46" s="3197">
        <v>1</v>
      </c>
      <c r="D46" s="3198"/>
      <c r="E46" s="3198">
        <v>0.35</v>
      </c>
      <c r="F46" s="3198">
        <v>0.48</v>
      </c>
      <c r="G46" s="3198">
        <v>0.98</v>
      </c>
      <c r="H46" s="3199"/>
      <c r="I46" s="3200">
        <f t="shared" si="88"/>
        <v>0.48</v>
      </c>
      <c r="J46" s="3201"/>
      <c r="K46" s="3202"/>
      <c r="L46" s="3203">
        <f t="shared" si="89"/>
        <v>3.4999999999999996E-3</v>
      </c>
      <c r="M46" s="3203">
        <f>F46/100</f>
        <v>4.7999999999999996E-3</v>
      </c>
      <c r="N46" s="3203">
        <f t="shared" si="89"/>
        <v>9.7999999999999997E-3</v>
      </c>
      <c r="O46" s="3203"/>
      <c r="P46" s="3203">
        <f t="shared" si="103"/>
        <v>4.7999999999999996E-3</v>
      </c>
      <c r="Q46" s="3201"/>
      <c r="R46" s="3204"/>
      <c r="S46" s="3204">
        <v>1</v>
      </c>
      <c r="T46" s="3204">
        <v>1</v>
      </c>
      <c r="U46" s="3204">
        <v>1</v>
      </c>
      <c r="V46" s="3204"/>
      <c r="W46" s="3204">
        <f t="shared" si="104"/>
        <v>1</v>
      </c>
      <c r="X46" s="3201"/>
      <c r="Y46" s="3203"/>
      <c r="Z46" s="3216">
        <f t="shared" si="105"/>
        <v>3.5000000000000001E-3</v>
      </c>
      <c r="AA46" s="3217">
        <f t="shared" si="105"/>
        <v>4.7999999999999996E-3</v>
      </c>
      <c r="AB46" s="3203">
        <f t="shared" si="105"/>
        <v>9.7999999999999997E-3</v>
      </c>
      <c r="AC46" s="3218"/>
      <c r="AD46" s="3203">
        <f t="shared" si="105"/>
        <v>4.7999999999999996E-3</v>
      </c>
    </row>
    <row r="47" spans="1:30" ht="14.25" thickTop="1"/>
    <row r="48" spans="1:30">
      <c r="A48" s="3446" t="s">
        <v>3367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12" t="s">
        <v>452</v>
      </c>
      <c r="C1" s="3812"/>
      <c r="D1" s="3812"/>
      <c r="E1" s="3812"/>
      <c r="F1" s="3812"/>
      <c r="G1" s="3811" t="s">
        <v>453</v>
      </c>
      <c r="H1" s="3811"/>
      <c r="I1" s="3811"/>
      <c r="J1" s="3811"/>
      <c r="K1" s="3811"/>
      <c r="L1" s="3811"/>
      <c r="N1" s="3811" t="s">
        <v>454</v>
      </c>
      <c r="O1" s="3811"/>
      <c r="P1" s="3811"/>
      <c r="Q1" s="3811"/>
      <c r="S1" s="3811" t="s">
        <v>455</v>
      </c>
      <c r="T1" s="3811"/>
      <c r="U1" s="3811"/>
      <c r="V1" s="3811"/>
      <c r="X1" s="3810" t="s">
        <v>456</v>
      </c>
      <c r="Y1" s="3811"/>
      <c r="Z1" s="3811"/>
      <c r="AA1" s="3811"/>
      <c r="AB1" s="3811"/>
      <c r="AD1" s="3810" t="s">
        <v>457</v>
      </c>
      <c r="AE1" s="3811"/>
      <c r="AF1" s="3811"/>
      <c r="AG1" s="3811"/>
      <c r="AH1" s="3811"/>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2437</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2314</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2313</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2312</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2309</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2308</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08">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08"/>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08"/>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17"/>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13">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08"/>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08"/>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17"/>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13">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08"/>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08"/>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09"/>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07">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08"/>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08"/>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09"/>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07">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08"/>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08"/>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09"/>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14">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15"/>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15"/>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16"/>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07">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08"/>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08"/>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09"/>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07">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08">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08">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09">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07">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08">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08">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09">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07">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08">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08">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09">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07">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08">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08">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09">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07">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08">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08">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09">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07">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08">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08">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09">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07">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08">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08">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09">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07">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08">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08">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09">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07">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08">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08">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09">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07">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08">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08">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09">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45581</v>
      </c>
      <c r="D1" s="1300" t="s">
        <v>603</v>
      </c>
      <c r="E1" s="1295">
        <f>'数据-取费表'!B22</f>
        <v>2</v>
      </c>
      <c r="F1" s="1300" t="s">
        <v>604</v>
      </c>
      <c r="G1" s="1296">
        <f ca="1">INDIRECT("d"&amp;$K$1)/100</f>
        <v>3.3500000000000002E-2</v>
      </c>
      <c r="H1" s="1300" t="s">
        <v>634</v>
      </c>
      <c r="I1" s="1296">
        <f ca="1">F4/100</f>
        <v>1.4999999999999999E-2</v>
      </c>
      <c r="J1" s="1301">
        <f>IF(C1&gt;C13,0,MATCH(C1,C$13:C$113,-1))+IF(SUMIF(C13:C113,C1,D13:D113)=0,13,12)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3.35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3.35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3.35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3.35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3.85</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45495</v>
      </c>
      <c r="D13" s="2820">
        <v>3.35</v>
      </c>
      <c r="E13" s="2820">
        <f>D13</f>
        <v>3.35</v>
      </c>
      <c r="F13" s="2820">
        <f>D13</f>
        <v>3.35</v>
      </c>
      <c r="G13" s="2820">
        <f>D13</f>
        <v>3.35</v>
      </c>
      <c r="H13" s="2820">
        <v>3.85</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45342</v>
      </c>
      <c r="D14" s="2815">
        <v>3.45</v>
      </c>
      <c r="E14" s="2815">
        <f>D14</f>
        <v>3.45</v>
      </c>
      <c r="F14" s="2815">
        <f>D14</f>
        <v>3.45</v>
      </c>
      <c r="G14" s="2815">
        <f>D14</f>
        <v>3.45</v>
      </c>
      <c r="H14" s="2815">
        <v>3.95</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45159</v>
      </c>
      <c r="D15" s="2815">
        <v>3.45</v>
      </c>
      <c r="E15" s="2815">
        <f>D15</f>
        <v>3.45</v>
      </c>
      <c r="F15" s="2815">
        <f>D15</f>
        <v>3.45</v>
      </c>
      <c r="G15" s="2815">
        <f>D15</f>
        <v>3.45</v>
      </c>
      <c r="H15" s="2815">
        <v>4.2</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45097</v>
      </c>
      <c r="D16" s="2815">
        <v>3.55</v>
      </c>
      <c r="E16" s="2815">
        <f>D16</f>
        <v>3.55</v>
      </c>
      <c r="F16" s="2815">
        <f>D16</f>
        <v>3.55</v>
      </c>
      <c r="G16" s="2815">
        <f>D16</f>
        <v>3.55</v>
      </c>
      <c r="H16" s="2815">
        <v>4.2</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44795</v>
      </c>
      <c r="D17" s="2815">
        <v>3.65</v>
      </c>
      <c r="E17" s="2815">
        <v>3.65</v>
      </c>
      <c r="F17" s="2815">
        <v>3.65</v>
      </c>
      <c r="G17" s="2815">
        <v>3.65</v>
      </c>
      <c r="H17" s="2815">
        <v>4.3</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4"/>
      <c r="C18" s="2816">
        <v>44701</v>
      </c>
      <c r="D18" s="2815">
        <v>3.7</v>
      </c>
      <c r="E18" s="2815">
        <f>D18</f>
        <v>3.7</v>
      </c>
      <c r="F18" s="2815">
        <f>D18</f>
        <v>3.7</v>
      </c>
      <c r="G18" s="2815">
        <f>D18</f>
        <v>3.7</v>
      </c>
      <c r="H18" s="2815">
        <v>4.45</v>
      </c>
      <c r="I18" s="2820"/>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4"/>
      <c r="C19" s="2816">
        <v>44581</v>
      </c>
      <c r="D19" s="2815">
        <v>3.7</v>
      </c>
      <c r="E19" s="2815">
        <f>D19</f>
        <v>3.7</v>
      </c>
      <c r="F19" s="2815">
        <f>D19</f>
        <v>3.7</v>
      </c>
      <c r="G19" s="2815">
        <f>D19</f>
        <v>3.7</v>
      </c>
      <c r="H19" s="2815">
        <v>4.5999999999999996</v>
      </c>
      <c r="I19" s="2820"/>
      <c r="J19" s="282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44550</v>
      </c>
      <c r="D20" s="2815">
        <v>3.8</v>
      </c>
      <c r="E20" s="2815">
        <f>D20</f>
        <v>3.8</v>
      </c>
      <c r="F20" s="2815">
        <f>D20</f>
        <v>3.8</v>
      </c>
      <c r="G20" s="2815">
        <f>D20</f>
        <v>3.8</v>
      </c>
      <c r="H20" s="2815">
        <v>4.6500000000000004</v>
      </c>
      <c r="I20" s="2815"/>
      <c r="J20" s="282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43941</v>
      </c>
      <c r="D21" s="2815">
        <v>3.85</v>
      </c>
      <c r="E21" s="2815">
        <v>3.85</v>
      </c>
      <c r="F21" s="2815">
        <v>3.85</v>
      </c>
      <c r="G21" s="2815">
        <v>3.85</v>
      </c>
      <c r="H21" s="2815">
        <v>4.6500000000000004</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43881</v>
      </c>
      <c r="D22" s="2815">
        <v>4.05</v>
      </c>
      <c r="E22" s="2815">
        <v>4.05</v>
      </c>
      <c r="F22" s="2815">
        <v>4.05</v>
      </c>
      <c r="G22" s="2815">
        <v>4.05</v>
      </c>
      <c r="H22" s="2815">
        <v>4.75</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5"/>
      <c r="C23" s="2816">
        <v>43789</v>
      </c>
      <c r="D23" s="2815">
        <v>4.1500000000000004</v>
      </c>
      <c r="E23" s="2815">
        <v>4.1500000000000004</v>
      </c>
      <c r="F23" s="2815">
        <v>4.1500000000000004</v>
      </c>
      <c r="G23" s="2815">
        <v>4.1500000000000004</v>
      </c>
      <c r="H23" s="2815">
        <v>4.8</v>
      </c>
      <c r="I23" s="2815"/>
      <c r="J23" s="2815"/>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2815"/>
      <c r="C24" s="2816">
        <v>43728</v>
      </c>
      <c r="D24" s="2815">
        <v>4.2</v>
      </c>
      <c r="E24" s="2815">
        <v>4.2</v>
      </c>
      <c r="F24" s="2815">
        <v>4.2</v>
      </c>
      <c r="G24" s="2815">
        <v>4.2</v>
      </c>
      <c r="H24" s="2815">
        <v>4.8499999999999996</v>
      </c>
      <c r="I24" s="2815"/>
      <c r="J24" s="2815"/>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ht="14.25">
      <c r="B25" s="2814" t="s">
        <v>2310</v>
      </c>
      <c r="C25" s="2817">
        <v>43697</v>
      </c>
      <c r="D25" s="2818">
        <v>4.25</v>
      </c>
      <c r="E25" s="2818">
        <v>4.25</v>
      </c>
      <c r="F25" s="2818">
        <v>4.25</v>
      </c>
      <c r="G25" s="2818">
        <v>4.25</v>
      </c>
      <c r="H25" s="2818">
        <v>4.8499999999999996</v>
      </c>
      <c r="I25" s="2818"/>
      <c r="J25" s="281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ht="14.25">
      <c r="B26" s="2822"/>
      <c r="C26" s="2823">
        <v>42301</v>
      </c>
      <c r="D26" s="2824">
        <v>4.3499999999999996</v>
      </c>
      <c r="E26" s="2824">
        <v>4.3499999999999996</v>
      </c>
      <c r="F26" s="2824">
        <v>4.75</v>
      </c>
      <c r="G26" s="2824">
        <v>4.75</v>
      </c>
      <c r="H26" s="2824">
        <v>4.9000000000000004</v>
      </c>
      <c r="I26" s="2824"/>
      <c r="J26" s="2824"/>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42242</v>
      </c>
      <c r="D27" s="1288">
        <v>4.5999999999999996</v>
      </c>
      <c r="E27" s="1288">
        <v>4.5999999999999996</v>
      </c>
      <c r="F27" s="1288">
        <v>5</v>
      </c>
      <c r="G27" s="1288">
        <v>5</v>
      </c>
      <c r="H27" s="1288">
        <v>5.15</v>
      </c>
      <c r="I27" s="1288">
        <v>2.75</v>
      </c>
      <c r="J27" s="1288">
        <v>3.25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42183</v>
      </c>
      <c r="D28" s="1288">
        <v>4.8499999999999996</v>
      </c>
      <c r="E28" s="1288">
        <v>4.8499999999999996</v>
      </c>
      <c r="F28" s="1288">
        <v>5.25</v>
      </c>
      <c r="G28" s="1288">
        <v>5.25</v>
      </c>
      <c r="H28" s="1288">
        <v>5.4</v>
      </c>
      <c r="I28" s="1288">
        <v>3</v>
      </c>
      <c r="J28" s="1288">
        <v>3.5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42135</v>
      </c>
      <c r="D29" s="1288">
        <v>5.0999999999999996</v>
      </c>
      <c r="E29" s="1288">
        <v>5.0999999999999996</v>
      </c>
      <c r="F29" s="1288">
        <v>5.5</v>
      </c>
      <c r="G29" s="1288">
        <v>5.5</v>
      </c>
      <c r="H29" s="1288">
        <v>5.65</v>
      </c>
      <c r="I29" s="1288">
        <v>3.25</v>
      </c>
      <c r="J29" s="1288">
        <v>3.75</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42064</v>
      </c>
      <c r="D30" s="1288">
        <v>5.35</v>
      </c>
      <c r="E30" s="1288">
        <v>5.35</v>
      </c>
      <c r="F30" s="1288">
        <v>5.75</v>
      </c>
      <c r="G30" s="1288">
        <v>5.75</v>
      </c>
      <c r="H30" s="1288">
        <v>5.9</v>
      </c>
      <c r="I30" s="1288"/>
      <c r="J30" s="1288"/>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41965</v>
      </c>
      <c r="D31" s="1288">
        <v>5.6</v>
      </c>
      <c r="E31" s="1288">
        <v>5.6</v>
      </c>
      <c r="F31" s="1288">
        <v>6</v>
      </c>
      <c r="G31" s="1288">
        <v>6</v>
      </c>
      <c r="H31" s="1288">
        <v>6.15</v>
      </c>
      <c r="I31" s="1288"/>
      <c r="J31" s="1288"/>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41096</v>
      </c>
      <c r="D32" s="1288">
        <v>5.6</v>
      </c>
      <c r="E32" s="1288">
        <v>6</v>
      </c>
      <c r="F32" s="1288">
        <v>6.15</v>
      </c>
      <c r="G32" s="1288">
        <v>6.4</v>
      </c>
      <c r="H32" s="1288">
        <v>6.55</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41068</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40731</v>
      </c>
      <c r="D34" s="1288">
        <v>6.1</v>
      </c>
      <c r="E34" s="1288">
        <v>6.56</v>
      </c>
      <c r="F34" s="1288">
        <v>6.65</v>
      </c>
      <c r="G34" s="1288">
        <v>6.9</v>
      </c>
      <c r="H34" s="1288">
        <v>7.05</v>
      </c>
      <c r="I34" s="1288">
        <v>4.45</v>
      </c>
      <c r="J34" s="1288">
        <v>4.9000000000000004</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40639</v>
      </c>
      <c r="D35" s="1288">
        <v>5.85</v>
      </c>
      <c r="E35" s="1288">
        <v>6.31</v>
      </c>
      <c r="F35" s="1288">
        <v>6.4</v>
      </c>
      <c r="G35" s="1288">
        <v>6.65</v>
      </c>
      <c r="H35" s="1288">
        <v>6.8</v>
      </c>
      <c r="I35" s="1288">
        <v>4.2</v>
      </c>
      <c r="J35" s="1288">
        <v>4.7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40583</v>
      </c>
      <c r="D36" s="1288">
        <v>5.6</v>
      </c>
      <c r="E36" s="1288">
        <v>6.06</v>
      </c>
      <c r="F36" s="1288">
        <v>6.1</v>
      </c>
      <c r="G36" s="1288">
        <v>6.45</v>
      </c>
      <c r="H36" s="1288">
        <v>6.6</v>
      </c>
      <c r="I36" s="1288">
        <v>4</v>
      </c>
      <c r="J36" s="1288">
        <v>4.5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40538</v>
      </c>
      <c r="D37" s="1288">
        <v>5.35</v>
      </c>
      <c r="E37" s="1288">
        <v>5.81</v>
      </c>
      <c r="F37" s="1288">
        <v>5.85</v>
      </c>
      <c r="G37" s="1288">
        <v>6.22</v>
      </c>
      <c r="H37" s="1288">
        <v>6.4</v>
      </c>
      <c r="I37" s="1288">
        <v>3.75</v>
      </c>
      <c r="J37" s="1288">
        <v>4.3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40471</v>
      </c>
      <c r="D38" s="1288">
        <v>5.0999999999999996</v>
      </c>
      <c r="E38" s="1288">
        <v>5.56</v>
      </c>
      <c r="F38" s="1288">
        <v>5.6</v>
      </c>
      <c r="G38" s="1288">
        <v>5.96</v>
      </c>
      <c r="H38" s="1288">
        <v>6.14</v>
      </c>
      <c r="I38" s="1288">
        <v>3.5</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39805</v>
      </c>
      <c r="D39" s="1288">
        <v>4.8600000000000003</v>
      </c>
      <c r="E39" s="1288">
        <v>5.31</v>
      </c>
      <c r="F39" s="1288">
        <v>5.4</v>
      </c>
      <c r="G39" s="1288">
        <v>5.76</v>
      </c>
      <c r="H39" s="1288">
        <v>5.94</v>
      </c>
      <c r="I39" s="1288">
        <v>3.33</v>
      </c>
      <c r="J39" s="1288">
        <v>3.87</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39779</v>
      </c>
      <c r="D40" s="1288">
        <v>5.04</v>
      </c>
      <c r="E40" s="1288">
        <v>5.58</v>
      </c>
      <c r="F40" s="1288">
        <v>5.67</v>
      </c>
      <c r="G40" s="1288">
        <v>5.94</v>
      </c>
      <c r="H40" s="1288">
        <v>6.12</v>
      </c>
      <c r="I40" s="1288">
        <v>3.51</v>
      </c>
      <c r="J40" s="1288">
        <v>4.05</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39751</v>
      </c>
      <c r="D41" s="1288">
        <v>6.03</v>
      </c>
      <c r="E41" s="1288">
        <v>6.66</v>
      </c>
      <c r="F41" s="1288">
        <v>6.75</v>
      </c>
      <c r="G41" s="1288">
        <v>7.02</v>
      </c>
      <c r="H41" s="1288">
        <v>7.2</v>
      </c>
      <c r="I41" s="1288">
        <v>4.05</v>
      </c>
      <c r="J41" s="1288">
        <v>4.59</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90">
        <v>39748</v>
      </c>
      <c r="D42" s="1288">
        <v>6.12</v>
      </c>
      <c r="E42" s="1288">
        <v>6.93</v>
      </c>
      <c r="F42" s="1288">
        <v>7.02</v>
      </c>
      <c r="G42" s="1288">
        <v>7.29</v>
      </c>
      <c r="H42" s="1288">
        <v>7.47</v>
      </c>
      <c r="I42" s="1288">
        <v>4.05</v>
      </c>
      <c r="J42" s="1288">
        <v>4.59</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39730</v>
      </c>
      <c r="D43" s="1288">
        <v>6.12</v>
      </c>
      <c r="E43" s="1288">
        <v>6.93</v>
      </c>
      <c r="F43" s="1288">
        <v>7.02</v>
      </c>
      <c r="G43" s="1288">
        <v>7.29</v>
      </c>
      <c r="H43" s="1288">
        <v>7.47</v>
      </c>
      <c r="I43" s="1288">
        <v>4.32</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39707</v>
      </c>
      <c r="D44" s="1288">
        <v>6.21</v>
      </c>
      <c r="E44" s="1288">
        <v>7.2</v>
      </c>
      <c r="F44" s="1288">
        <v>7.29</v>
      </c>
      <c r="G44" s="1288">
        <v>7.56</v>
      </c>
      <c r="H44" s="1288">
        <v>7.74</v>
      </c>
      <c r="I44" s="1288">
        <v>4.59</v>
      </c>
      <c r="J44" s="1288">
        <v>5.13</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39437</v>
      </c>
      <c r="D45" s="1288">
        <v>6.57</v>
      </c>
      <c r="E45" s="1288">
        <v>7.47</v>
      </c>
      <c r="F45" s="1288">
        <v>7.56</v>
      </c>
      <c r="G45" s="1288">
        <v>7.74</v>
      </c>
      <c r="H45" s="1288">
        <v>7.83</v>
      </c>
      <c r="I45" s="1288">
        <v>4.7699999999999996</v>
      </c>
      <c r="J45" s="1288">
        <v>5.22</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39340</v>
      </c>
      <c r="D46" s="1288">
        <v>6.48</v>
      </c>
      <c r="E46" s="1288">
        <v>7.29</v>
      </c>
      <c r="F46" s="1288">
        <v>7.47</v>
      </c>
      <c r="G46" s="1288">
        <v>7.65</v>
      </c>
      <c r="H46" s="1288">
        <v>7.83</v>
      </c>
      <c r="I46" s="1288">
        <v>4.7699999999999996</v>
      </c>
      <c r="J46" s="1288">
        <v>5.22</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39316</v>
      </c>
      <c r="D47" s="1288">
        <v>6.21</v>
      </c>
      <c r="E47" s="1288">
        <v>7.02</v>
      </c>
      <c r="F47" s="1288">
        <v>7.2</v>
      </c>
      <c r="G47" s="1288">
        <v>7.38</v>
      </c>
      <c r="H47" s="1288">
        <v>7.56</v>
      </c>
      <c r="I47" s="1288">
        <v>4.59</v>
      </c>
      <c r="J47" s="1288">
        <v>5.04</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39284</v>
      </c>
      <c r="D48" s="1288">
        <v>6.03</v>
      </c>
      <c r="E48" s="1288">
        <v>6.84</v>
      </c>
      <c r="F48" s="1288">
        <v>7.02</v>
      </c>
      <c r="G48" s="1288">
        <v>7.2</v>
      </c>
      <c r="H48" s="1288">
        <v>7.38</v>
      </c>
      <c r="I48" s="1288">
        <v>4.5</v>
      </c>
      <c r="J48" s="1288">
        <v>4.95</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39221</v>
      </c>
      <c r="D49" s="1288">
        <v>5.85</v>
      </c>
      <c r="E49" s="1288">
        <v>6.57</v>
      </c>
      <c r="F49" s="1288">
        <v>6.75</v>
      </c>
      <c r="G49" s="1288">
        <v>6.93</v>
      </c>
      <c r="H49" s="1288">
        <v>7.2</v>
      </c>
      <c r="I49" s="1288">
        <v>4.41</v>
      </c>
      <c r="J49" s="1288">
        <v>4.8600000000000003</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39159</v>
      </c>
      <c r="D50" s="1288">
        <v>5.67</v>
      </c>
      <c r="E50" s="1288">
        <v>6.39</v>
      </c>
      <c r="F50" s="1288">
        <v>6.57</v>
      </c>
      <c r="G50" s="1288">
        <v>6.75</v>
      </c>
      <c r="H50" s="1288">
        <v>7.11</v>
      </c>
      <c r="I50" s="1288">
        <v>4.32</v>
      </c>
      <c r="J50" s="1288">
        <v>4.7699999999999996</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38948</v>
      </c>
      <c r="D51" s="1288">
        <v>5.58</v>
      </c>
      <c r="E51" s="1288">
        <v>6.12</v>
      </c>
      <c r="F51" s="1288">
        <v>6.3</v>
      </c>
      <c r="G51" s="1288">
        <v>6.48</v>
      </c>
      <c r="H51" s="1288">
        <v>6.84</v>
      </c>
      <c r="I51" s="1288">
        <v>4.1399999999999997</v>
      </c>
      <c r="J51" s="1288">
        <v>4.59</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38835</v>
      </c>
      <c r="D52" s="1288">
        <v>5.4</v>
      </c>
      <c r="E52" s="1288">
        <v>5.85</v>
      </c>
      <c r="F52" s="1288">
        <v>6.03</v>
      </c>
      <c r="G52" s="1288">
        <v>6.12</v>
      </c>
      <c r="H52" s="1288">
        <v>6.39</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38428</v>
      </c>
      <c r="D53" s="1288">
        <v>5.22</v>
      </c>
      <c r="E53" s="1288">
        <v>5.58</v>
      </c>
      <c r="F53" s="1288">
        <v>5.76</v>
      </c>
      <c r="G53" s="1288">
        <v>5.85</v>
      </c>
      <c r="H53" s="1288">
        <v>6.12</v>
      </c>
      <c r="I53" s="1288">
        <v>3.96</v>
      </c>
      <c r="J53" s="1288">
        <v>4.41</v>
      </c>
      <c r="L53" s="1288"/>
      <c r="M53" s="1289"/>
      <c r="N53" s="1288"/>
      <c r="O53" s="1288"/>
      <c r="P53" s="1288"/>
      <c r="Q53" s="1288"/>
      <c r="R53" s="1288"/>
      <c r="S53" s="1288"/>
      <c r="T53" s="1288"/>
      <c r="U53" s="1288"/>
      <c r="V53" s="1288"/>
      <c r="W53" s="1288"/>
      <c r="X53" s="1288"/>
      <c r="Y53" s="1288"/>
      <c r="Z53" s="1288"/>
    </row>
    <row r="54" spans="2:26">
      <c r="B54" s="1288"/>
      <c r="C54" s="1289">
        <v>38289</v>
      </c>
      <c r="D54" s="1288">
        <v>5.22</v>
      </c>
      <c r="E54" s="1288">
        <v>5.58</v>
      </c>
      <c r="F54" s="1288">
        <v>5.76</v>
      </c>
      <c r="G54" s="1288">
        <v>5.85</v>
      </c>
      <c r="H54" s="1288">
        <v>6.12</v>
      </c>
      <c r="I54" s="1288">
        <v>3.78</v>
      </c>
      <c r="J54" s="1288">
        <v>4.2300000000000004</v>
      </c>
      <c r="L54" s="1288"/>
      <c r="M54" s="1289"/>
      <c r="N54" s="1288"/>
      <c r="O54" s="1288"/>
      <c r="P54" s="1288"/>
      <c r="Q54" s="1288"/>
      <c r="R54" s="1288"/>
      <c r="S54" s="1288"/>
      <c r="T54" s="1288"/>
      <c r="U54" s="1288"/>
      <c r="V54" s="1288"/>
      <c r="W54" s="1288"/>
      <c r="X54" s="1288"/>
      <c r="Y54" s="1288"/>
      <c r="Z54" s="1288"/>
    </row>
    <row r="55" spans="2:26">
      <c r="B55" s="1288"/>
      <c r="C55" s="1289">
        <v>37308</v>
      </c>
      <c r="D55" s="1288">
        <v>5.04</v>
      </c>
      <c r="E55" s="1288">
        <v>5.31</v>
      </c>
      <c r="F55" s="1288">
        <v>5.49</v>
      </c>
      <c r="G55" s="1288">
        <v>5.58</v>
      </c>
      <c r="H55" s="1288">
        <v>5.76</v>
      </c>
      <c r="I55" s="1288">
        <v>3.6</v>
      </c>
      <c r="J55" s="1288">
        <v>4.05</v>
      </c>
      <c r="L55" s="1288"/>
      <c r="M55" s="1289"/>
      <c r="N55" s="1288"/>
      <c r="O55" s="1288"/>
      <c r="P55" s="1288"/>
      <c r="Q55" s="1288"/>
      <c r="R55" s="1288"/>
      <c r="S55" s="1288"/>
      <c r="T55" s="1288"/>
      <c r="U55" s="1288"/>
      <c r="V55" s="1288"/>
      <c r="W55" s="1288"/>
      <c r="X55" s="1288"/>
      <c r="Y55" s="1288"/>
      <c r="Z55" s="1288"/>
    </row>
    <row r="56" spans="2:26">
      <c r="B56" s="1288"/>
      <c r="C56" s="1289">
        <v>36321</v>
      </c>
      <c r="D56" s="1288">
        <v>5.58</v>
      </c>
      <c r="E56" s="1288">
        <v>5.85</v>
      </c>
      <c r="F56" s="1288">
        <v>5.94</v>
      </c>
      <c r="G56" s="1288">
        <v>6.03</v>
      </c>
      <c r="H56" s="1288">
        <v>6.21</v>
      </c>
      <c r="I56" s="1288">
        <v>4.1399999999999997</v>
      </c>
      <c r="J56" s="1288">
        <v>4.59</v>
      </c>
      <c r="L56" s="1288"/>
      <c r="M56" s="1289"/>
      <c r="N56" s="1288"/>
      <c r="O56" s="1288"/>
      <c r="P56" s="1288"/>
      <c r="Q56" s="1288"/>
      <c r="R56" s="1288"/>
      <c r="S56" s="1288"/>
      <c r="T56" s="1288"/>
      <c r="U56" s="1288"/>
      <c r="V56" s="1288"/>
      <c r="W56" s="1288"/>
      <c r="X56" s="1288"/>
      <c r="Y56" s="1288"/>
      <c r="Z56" s="1288"/>
    </row>
    <row r="57" spans="2:26">
      <c r="B57" s="1288"/>
      <c r="C57" s="1289">
        <v>36136</v>
      </c>
      <c r="D57" s="1288">
        <v>6.12</v>
      </c>
      <c r="E57" s="1288">
        <v>6.39</v>
      </c>
      <c r="F57" s="1288">
        <v>6.66</v>
      </c>
      <c r="G57" s="1288">
        <v>7.2</v>
      </c>
      <c r="H57" s="1288">
        <v>7.56</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35977</v>
      </c>
      <c r="D58" s="1288">
        <v>6.57</v>
      </c>
      <c r="E58" s="1288">
        <v>6.93</v>
      </c>
      <c r="F58" s="1288">
        <v>7.11</v>
      </c>
      <c r="G58" s="1288">
        <v>7.65</v>
      </c>
      <c r="H58" s="1288">
        <v>8.01</v>
      </c>
      <c r="I58" s="1288">
        <v>0</v>
      </c>
      <c r="J58" s="1288">
        <v>0</v>
      </c>
    </row>
    <row r="59" spans="2:26">
      <c r="B59" s="1288"/>
      <c r="C59" s="1289">
        <v>35879</v>
      </c>
      <c r="D59" s="1288">
        <v>7.02</v>
      </c>
      <c r="E59" s="1288">
        <v>7.92</v>
      </c>
      <c r="F59" s="1288">
        <v>9</v>
      </c>
      <c r="G59" s="1288">
        <v>9.7200000000000006</v>
      </c>
      <c r="H59" s="1288">
        <v>10.35</v>
      </c>
      <c r="I59" s="1288">
        <v>0</v>
      </c>
      <c r="J59" s="1288">
        <v>0</v>
      </c>
    </row>
    <row r="60" spans="2:26">
      <c r="B60" s="1288"/>
      <c r="C60" s="1289">
        <v>35726</v>
      </c>
      <c r="D60" s="1288">
        <v>7.65</v>
      </c>
      <c r="E60" s="1288">
        <v>8.64</v>
      </c>
      <c r="F60" s="1288">
        <v>9.36</v>
      </c>
      <c r="G60" s="1288">
        <v>9.9</v>
      </c>
      <c r="H60" s="1288">
        <v>10.53</v>
      </c>
      <c r="I60" s="1288">
        <v>0</v>
      </c>
      <c r="J60" s="1288">
        <v>0</v>
      </c>
    </row>
    <row r="61" spans="2:26">
      <c r="B61" s="1288"/>
      <c r="C61" s="1289">
        <v>35300</v>
      </c>
      <c r="D61" s="1288">
        <v>9.18</v>
      </c>
      <c r="E61" s="1288">
        <v>10.08</v>
      </c>
      <c r="F61" s="1288">
        <v>10.98</v>
      </c>
      <c r="G61" s="1288">
        <v>11.7</v>
      </c>
      <c r="H61" s="1288">
        <v>12.42</v>
      </c>
      <c r="I61" s="1288">
        <v>0</v>
      </c>
      <c r="J61" s="1288">
        <v>0</v>
      </c>
    </row>
    <row r="62" spans="2:26">
      <c r="B62" s="1288"/>
      <c r="C62" s="1289">
        <v>35186</v>
      </c>
      <c r="D62" s="1288">
        <v>9.7200000000000006</v>
      </c>
      <c r="E62" s="1288">
        <v>10.98</v>
      </c>
      <c r="F62" s="1288">
        <v>13.14</v>
      </c>
      <c r="G62" s="1288">
        <v>14.94</v>
      </c>
      <c r="H62" s="1288">
        <v>15.12</v>
      </c>
      <c r="I62" s="1288">
        <v>0</v>
      </c>
      <c r="J62" s="1288">
        <v>0</v>
      </c>
    </row>
    <row r="63" spans="2:26">
      <c r="B63" s="1288"/>
      <c r="C63" s="1289">
        <v>34881</v>
      </c>
      <c r="D63" s="1288">
        <v>10.08</v>
      </c>
      <c r="E63" s="1288">
        <v>12.06</v>
      </c>
      <c r="F63" s="1288">
        <v>13.5</v>
      </c>
      <c r="G63" s="1288">
        <v>15.12</v>
      </c>
      <c r="H63" s="1288">
        <v>15.3</v>
      </c>
      <c r="I63" s="1288">
        <v>0</v>
      </c>
      <c r="J63" s="1288">
        <v>0</v>
      </c>
    </row>
    <row r="64" spans="2:26">
      <c r="B64" s="1288"/>
      <c r="C64" s="1289">
        <v>34700</v>
      </c>
      <c r="D64" s="1288">
        <v>9</v>
      </c>
      <c r="E64" s="1288">
        <v>10.98</v>
      </c>
      <c r="F64" s="1288">
        <v>12.96</v>
      </c>
      <c r="G64" s="1288">
        <v>14.58</v>
      </c>
      <c r="H64" s="1288">
        <v>14.76</v>
      </c>
      <c r="I64" s="1288">
        <v>0</v>
      </c>
      <c r="J64" s="1288">
        <v>0</v>
      </c>
    </row>
    <row r="65" spans="2:10">
      <c r="B65" s="1288"/>
      <c r="C65" s="1289">
        <v>34161</v>
      </c>
      <c r="D65" s="1288">
        <v>9</v>
      </c>
      <c r="E65" s="1288">
        <v>10.98</v>
      </c>
      <c r="F65" s="1288">
        <v>12.24</v>
      </c>
      <c r="G65" s="1288">
        <v>13.86</v>
      </c>
      <c r="H65" s="1288">
        <v>14.04</v>
      </c>
      <c r="I65" s="1288">
        <v>0</v>
      </c>
      <c r="J65" s="1288">
        <v>0</v>
      </c>
    </row>
    <row r="66" spans="2:10">
      <c r="B66" s="1288"/>
      <c r="C66" s="1289">
        <v>34104</v>
      </c>
      <c r="D66" s="1288">
        <v>8.82</v>
      </c>
      <c r="E66" s="1288">
        <v>9.36</v>
      </c>
      <c r="F66" s="1288">
        <v>10.8</v>
      </c>
      <c r="G66" s="1288">
        <v>12.06</v>
      </c>
      <c r="H66" s="1288">
        <v>12.24</v>
      </c>
      <c r="I66" s="1288">
        <v>0</v>
      </c>
      <c r="J66" s="1288">
        <v>0</v>
      </c>
    </row>
    <row r="67" spans="2:10">
      <c r="B67" s="1288"/>
      <c r="C67" s="1289">
        <v>33349</v>
      </c>
      <c r="D67" s="1288">
        <v>8.1</v>
      </c>
      <c r="E67" s="1288">
        <v>8.64</v>
      </c>
      <c r="F67" s="1288">
        <v>9</v>
      </c>
      <c r="G67" s="1288">
        <v>9.5399999999999991</v>
      </c>
      <c r="H67" s="1288">
        <v>9.7200000000000006</v>
      </c>
      <c r="I67" s="1288">
        <v>0</v>
      </c>
      <c r="J67" s="1288">
        <v>0</v>
      </c>
    </row>
    <row r="68" spans="2:10">
      <c r="B68" s="1288"/>
      <c r="C68" s="1289">
        <v>33318</v>
      </c>
      <c r="D68" s="1288">
        <v>9</v>
      </c>
      <c r="E68" s="1288">
        <v>10.08</v>
      </c>
      <c r="F68" s="1288">
        <v>10.8</v>
      </c>
      <c r="G68" s="1288">
        <v>11.52</v>
      </c>
      <c r="H68" s="1288">
        <v>11.88</v>
      </c>
      <c r="I68" s="1288" t="s">
        <v>633</v>
      </c>
      <c r="J68" s="1288" t="s">
        <v>633</v>
      </c>
    </row>
    <row r="69" spans="2:10">
      <c r="B69" s="1288"/>
      <c r="C69" s="1289">
        <v>33106</v>
      </c>
      <c r="D69" s="1288">
        <v>8.64</v>
      </c>
      <c r="E69" s="1288">
        <v>9.36</v>
      </c>
      <c r="F69" s="1288">
        <v>10.08</v>
      </c>
      <c r="G69" s="1288">
        <v>10.8</v>
      </c>
      <c r="H69" s="1288">
        <v>11.16</v>
      </c>
      <c r="I69" s="1288">
        <v>0</v>
      </c>
      <c r="J69" s="1288">
        <v>0</v>
      </c>
    </row>
    <row r="70" spans="2:10">
      <c r="B70" s="1288"/>
      <c r="C70" s="1289">
        <v>32540</v>
      </c>
      <c r="D70" s="1288">
        <v>11.34</v>
      </c>
      <c r="E70" s="1288">
        <v>11.34</v>
      </c>
      <c r="F70" s="1288">
        <v>12.78</v>
      </c>
      <c r="G70" s="1288">
        <v>14.4</v>
      </c>
      <c r="H70" s="1288">
        <v>19.260000000000002</v>
      </c>
      <c r="I70" s="1288">
        <v>0</v>
      </c>
      <c r="J70" s="1288">
        <v>0</v>
      </c>
    </row>
    <row r="71" spans="2:10">
      <c r="B71" s="1288"/>
      <c r="C71" s="1289"/>
      <c r="D71" s="1288"/>
      <c r="E71" s="1288"/>
      <c r="F71" s="1288"/>
      <c r="G71" s="1288"/>
      <c r="H71" s="1288"/>
      <c r="I71" s="1288"/>
      <c r="J71" s="1288"/>
    </row>
    <row r="72" spans="2:10">
      <c r="B72" s="1291"/>
      <c r="C72" s="1292"/>
      <c r="D72" s="1291"/>
      <c r="E72" s="1291"/>
      <c r="F72" s="1291"/>
      <c r="G72" s="1291"/>
      <c r="H72" s="1291"/>
      <c r="I72" s="1291"/>
      <c r="J72" s="1291"/>
    </row>
    <row r="73" spans="2:10">
      <c r="B73" s="1291"/>
      <c r="C73" s="1292"/>
      <c r="D73" s="1291"/>
      <c r="E73" s="1291"/>
      <c r="F73" s="1291"/>
      <c r="G73" s="1291"/>
      <c r="H73" s="1291"/>
      <c r="I73" s="1291"/>
      <c r="J73" s="1291"/>
    </row>
    <row r="74" spans="2:10">
      <c r="B74" s="1291"/>
      <c r="C74" s="1292"/>
      <c r="D74" s="1291"/>
      <c r="E74" s="1291"/>
      <c r="F74" s="1291"/>
      <c r="G74" s="1291"/>
      <c r="H74" s="1291"/>
      <c r="I74" s="1291"/>
      <c r="J74" s="1291"/>
    </row>
    <row r="75" spans="2:10">
      <c r="B75" s="1240"/>
      <c r="C75" s="1240"/>
      <c r="D75" s="1240"/>
      <c r="E75" s="1240"/>
      <c r="F75" s="1240"/>
      <c r="G75" s="1240"/>
      <c r="H75" s="1240"/>
      <c r="I75" s="1240"/>
      <c r="J75" s="1240"/>
    </row>
    <row r="76" spans="2:10">
      <c r="B76" s="1240"/>
      <c r="C76" s="1240"/>
      <c r="D76" s="1240"/>
      <c r="E76" s="1240"/>
      <c r="F76" s="1240"/>
      <c r="G76" s="1240"/>
      <c r="H76" s="1240"/>
      <c r="I76" s="1240"/>
      <c r="J76"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5"/>
  <sheetViews>
    <sheetView workbookViewId="0">
      <selection activeCell="B17" sqref="B17:B32"/>
    </sheetView>
  </sheetViews>
  <sheetFormatPr defaultRowHeight="13.5"/>
  <cols>
    <col min="1" max="2" width="9" style="3288"/>
    <col min="3" max="3" width="12.125" style="3288" customWidth="1"/>
    <col min="4" max="16384" width="9" style="3288"/>
  </cols>
  <sheetData>
    <row r="3" spans="1:6">
      <c r="A3" s="3447" t="s">
        <v>3407</v>
      </c>
      <c r="B3" s="3447" t="s">
        <v>3397</v>
      </c>
      <c r="C3" s="3447" t="s">
        <v>3398</v>
      </c>
      <c r="D3" s="3447" t="s">
        <v>3396</v>
      </c>
      <c r="E3" s="3447" t="s">
        <v>3399</v>
      </c>
      <c r="F3" s="3447" t="s">
        <v>3400</v>
      </c>
    </row>
    <row r="4" spans="1:6">
      <c r="A4" s="3448">
        <v>1</v>
      </c>
      <c r="B4" s="3818">
        <v>1</v>
      </c>
      <c r="C4" s="3447" t="s">
        <v>3401</v>
      </c>
      <c r="D4" s="3448">
        <v>2</v>
      </c>
      <c r="E4" s="3448">
        <v>89.64</v>
      </c>
      <c r="F4" s="3447" t="s">
        <v>3409</v>
      </c>
    </row>
    <row r="5" spans="1:6">
      <c r="A5" s="3448">
        <v>2</v>
      </c>
      <c r="B5" s="3818"/>
      <c r="C5" s="3447" t="s">
        <v>3402</v>
      </c>
      <c r="D5" s="3448">
        <v>2</v>
      </c>
      <c r="E5" s="3448">
        <v>89.72</v>
      </c>
      <c r="F5" s="3447" t="s">
        <v>3409</v>
      </c>
    </row>
    <row r="6" spans="1:6">
      <c r="A6" s="3448">
        <v>3</v>
      </c>
      <c r="B6" s="3818"/>
      <c r="C6" s="3447" t="s">
        <v>3403</v>
      </c>
      <c r="D6" s="3448">
        <v>2</v>
      </c>
      <c r="E6" s="3448">
        <v>89.36</v>
      </c>
      <c r="F6" s="3447" t="s">
        <v>3409</v>
      </c>
    </row>
    <row r="7" spans="1:6">
      <c r="A7" s="3448">
        <v>4</v>
      </c>
      <c r="B7" s="3818"/>
      <c r="C7" s="3447" t="s">
        <v>3404</v>
      </c>
      <c r="D7" s="3448">
        <v>2</v>
      </c>
      <c r="E7" s="3448">
        <v>89.72</v>
      </c>
      <c r="F7" s="3447" t="s">
        <v>3409</v>
      </c>
    </row>
    <row r="8" spans="1:6">
      <c r="A8" s="3448">
        <v>5</v>
      </c>
      <c r="B8" s="3818"/>
      <c r="C8" s="3447" t="s">
        <v>3405</v>
      </c>
      <c r="D8" s="3448">
        <v>3</v>
      </c>
      <c r="E8" s="3448">
        <v>89.36</v>
      </c>
      <c r="F8" s="3447" t="s">
        <v>3409</v>
      </c>
    </row>
    <row r="9" spans="1:6">
      <c r="A9" s="3448">
        <v>6</v>
      </c>
      <c r="B9" s="3818"/>
      <c r="C9" s="3447" t="s">
        <v>3406</v>
      </c>
      <c r="D9" s="3448">
        <v>3</v>
      </c>
      <c r="E9" s="3448">
        <v>89.72</v>
      </c>
      <c r="F9" s="3447" t="s">
        <v>3409</v>
      </c>
    </row>
    <row r="10" spans="1:6">
      <c r="A10" s="3448">
        <v>7</v>
      </c>
      <c r="B10" s="3818">
        <v>2</v>
      </c>
      <c r="C10" s="3447" t="s">
        <v>3410</v>
      </c>
      <c r="D10" s="3448">
        <v>2</v>
      </c>
      <c r="E10" s="3448">
        <v>87.35</v>
      </c>
      <c r="F10" s="3447" t="s">
        <v>3409</v>
      </c>
    </row>
    <row r="11" spans="1:6">
      <c r="A11" s="3448">
        <v>8</v>
      </c>
      <c r="B11" s="3818"/>
      <c r="C11" s="3447" t="s">
        <v>3411</v>
      </c>
      <c r="D11" s="3448">
        <v>2</v>
      </c>
      <c r="E11" s="3448">
        <v>89.29</v>
      </c>
      <c r="F11" s="3447" t="s">
        <v>3409</v>
      </c>
    </row>
    <row r="12" spans="1:6">
      <c r="A12" s="3448">
        <v>9</v>
      </c>
      <c r="B12" s="3818"/>
      <c r="C12" s="3447" t="s">
        <v>3412</v>
      </c>
      <c r="D12" s="3448">
        <v>6</v>
      </c>
      <c r="E12" s="3448">
        <v>87.26</v>
      </c>
      <c r="F12" s="3447" t="s">
        <v>3409</v>
      </c>
    </row>
    <row r="13" spans="1:6">
      <c r="A13" s="3448">
        <v>10</v>
      </c>
      <c r="B13" s="3818"/>
      <c r="C13" s="3447" t="s">
        <v>3413</v>
      </c>
      <c r="D13" s="3448">
        <v>6</v>
      </c>
      <c r="E13" s="3448">
        <v>89.2</v>
      </c>
      <c r="F13" s="3447" t="s">
        <v>3409</v>
      </c>
    </row>
    <row r="14" spans="1:6">
      <c r="A14" s="3448">
        <v>11</v>
      </c>
      <c r="B14" s="3818"/>
      <c r="C14" s="3447" t="s">
        <v>3414</v>
      </c>
      <c r="D14" s="3448">
        <v>2</v>
      </c>
      <c r="E14" s="3448">
        <v>88.94</v>
      </c>
      <c r="F14" s="3447" t="s">
        <v>3409</v>
      </c>
    </row>
    <row r="15" spans="1:6">
      <c r="A15" s="3448">
        <v>12</v>
      </c>
      <c r="B15" s="3818"/>
      <c r="C15" s="3447" t="s">
        <v>3415</v>
      </c>
      <c r="D15" s="3448">
        <v>2</v>
      </c>
      <c r="E15" s="3448">
        <v>88.94</v>
      </c>
      <c r="F15" s="3447" t="s">
        <v>3409</v>
      </c>
    </row>
    <row r="16" spans="1:6">
      <c r="A16" s="3448">
        <v>13</v>
      </c>
      <c r="B16" s="3818"/>
      <c r="C16" s="3447" t="s">
        <v>3416</v>
      </c>
      <c r="D16" s="3448">
        <v>2</v>
      </c>
      <c r="E16" s="3448">
        <v>89.59</v>
      </c>
      <c r="F16" s="3447" t="s">
        <v>3409</v>
      </c>
    </row>
    <row r="17" spans="1:6">
      <c r="A17" s="3448">
        <v>14</v>
      </c>
      <c r="B17" s="3819">
        <v>3</v>
      </c>
      <c r="C17" s="3447" t="s">
        <v>3417</v>
      </c>
      <c r="D17" s="3448">
        <v>1</v>
      </c>
      <c r="E17" s="3448">
        <v>88.83</v>
      </c>
      <c r="F17" s="3447" t="s">
        <v>3409</v>
      </c>
    </row>
    <row r="18" spans="1:6">
      <c r="A18" s="3448">
        <v>15</v>
      </c>
      <c r="B18" s="3820"/>
      <c r="C18" s="3447" t="s">
        <v>3418</v>
      </c>
      <c r="D18" s="3448">
        <v>1</v>
      </c>
      <c r="E18" s="3448">
        <v>88.87</v>
      </c>
      <c r="F18" s="3447" t="s">
        <v>3409</v>
      </c>
    </row>
    <row r="19" spans="1:6">
      <c r="A19" s="3448">
        <v>16</v>
      </c>
      <c r="B19" s="3820"/>
      <c r="C19" s="3447" t="s">
        <v>3401</v>
      </c>
      <c r="D19" s="3448">
        <v>2</v>
      </c>
      <c r="E19" s="3448">
        <v>88.77</v>
      </c>
      <c r="F19" s="3447" t="s">
        <v>3409</v>
      </c>
    </row>
    <row r="20" spans="1:6">
      <c r="A20" s="3448">
        <v>17</v>
      </c>
      <c r="B20" s="3820"/>
      <c r="C20" s="3447" t="s">
        <v>3411</v>
      </c>
      <c r="D20" s="3448">
        <v>2</v>
      </c>
      <c r="E20" s="3448">
        <v>88.83</v>
      </c>
      <c r="F20" s="3447" t="s">
        <v>3409</v>
      </c>
    </row>
    <row r="21" spans="1:6">
      <c r="A21" s="3448">
        <v>18</v>
      </c>
      <c r="B21" s="3820"/>
      <c r="C21" s="3447" t="s">
        <v>3419</v>
      </c>
      <c r="D21" s="3448">
        <v>3</v>
      </c>
      <c r="E21" s="3448">
        <v>88.77</v>
      </c>
      <c r="F21" s="3447" t="s">
        <v>3409</v>
      </c>
    </row>
    <row r="22" spans="1:6">
      <c r="A22" s="3448">
        <v>19</v>
      </c>
      <c r="B22" s="3820"/>
      <c r="C22" s="3447" t="s">
        <v>3420</v>
      </c>
      <c r="D22" s="3448">
        <v>3</v>
      </c>
      <c r="E22" s="3448">
        <v>88.83</v>
      </c>
      <c r="F22" s="3447" t="s">
        <v>3409</v>
      </c>
    </row>
    <row r="23" spans="1:6">
      <c r="A23" s="3448">
        <v>20</v>
      </c>
      <c r="B23" s="3820"/>
      <c r="C23" s="3447" t="s">
        <v>3421</v>
      </c>
      <c r="D23" s="3448">
        <v>4</v>
      </c>
      <c r="E23" s="3448">
        <v>88.77</v>
      </c>
      <c r="F23" s="3447" t="s">
        <v>3409</v>
      </c>
    </row>
    <row r="24" spans="1:6">
      <c r="A24" s="3448">
        <v>21</v>
      </c>
      <c r="B24" s="3820"/>
      <c r="C24" s="3447" t="s">
        <v>3422</v>
      </c>
      <c r="D24" s="3448">
        <v>4</v>
      </c>
      <c r="E24" s="3448">
        <v>88.83</v>
      </c>
      <c r="F24" s="3447" t="s">
        <v>3409</v>
      </c>
    </row>
    <row r="25" spans="1:6">
      <c r="A25" s="3448">
        <v>22</v>
      </c>
      <c r="B25" s="3820"/>
      <c r="C25" s="3447" t="s">
        <v>3423</v>
      </c>
      <c r="D25" s="3448">
        <v>5</v>
      </c>
      <c r="E25" s="3448">
        <v>88.77</v>
      </c>
      <c r="F25" s="3447" t="s">
        <v>3409</v>
      </c>
    </row>
    <row r="26" spans="1:6">
      <c r="A26" s="3448">
        <v>23</v>
      </c>
      <c r="B26" s="3820"/>
      <c r="C26" s="3447" t="s">
        <v>3424</v>
      </c>
      <c r="D26" s="3448">
        <v>5</v>
      </c>
      <c r="E26" s="3448">
        <v>88.83</v>
      </c>
      <c r="F26" s="3447" t="s">
        <v>3409</v>
      </c>
    </row>
    <row r="27" spans="1:6">
      <c r="A27" s="3448">
        <v>24</v>
      </c>
      <c r="B27" s="3820"/>
      <c r="C27" s="3447" t="s">
        <v>3412</v>
      </c>
      <c r="D27" s="3448">
        <v>6</v>
      </c>
      <c r="E27" s="3448">
        <v>88.77</v>
      </c>
      <c r="F27" s="3447" t="s">
        <v>3409</v>
      </c>
    </row>
    <row r="28" spans="1:6">
      <c r="A28" s="3448">
        <v>25</v>
      </c>
      <c r="B28" s="3820"/>
      <c r="C28" s="3447" t="s">
        <v>3425</v>
      </c>
      <c r="D28" s="3448">
        <v>6</v>
      </c>
      <c r="E28" s="3448">
        <v>88.83</v>
      </c>
      <c r="F28" s="3447" t="s">
        <v>3409</v>
      </c>
    </row>
    <row r="29" spans="1:6">
      <c r="A29" s="3448">
        <v>26</v>
      </c>
      <c r="B29" s="3820"/>
      <c r="C29" s="3447" t="s">
        <v>3426</v>
      </c>
      <c r="D29" s="3448">
        <v>7</v>
      </c>
      <c r="E29" s="3448">
        <v>88.77</v>
      </c>
      <c r="F29" s="3447" t="s">
        <v>3409</v>
      </c>
    </row>
    <row r="30" spans="1:6">
      <c r="A30" s="3448">
        <v>27</v>
      </c>
      <c r="B30" s="3820"/>
      <c r="C30" s="3447" t="s">
        <v>3427</v>
      </c>
      <c r="D30" s="3448">
        <v>7</v>
      </c>
      <c r="E30" s="3448">
        <v>88.83</v>
      </c>
      <c r="F30" s="3447" t="s">
        <v>3409</v>
      </c>
    </row>
    <row r="31" spans="1:6">
      <c r="A31" s="3448">
        <v>28</v>
      </c>
      <c r="B31" s="3820"/>
      <c r="C31" s="3447" t="s">
        <v>3428</v>
      </c>
      <c r="D31" s="3448">
        <v>8</v>
      </c>
      <c r="E31" s="3448">
        <v>88.77</v>
      </c>
      <c r="F31" s="3447" t="s">
        <v>3409</v>
      </c>
    </row>
    <row r="32" spans="1:6">
      <c r="A32" s="3448">
        <v>29</v>
      </c>
      <c r="B32" s="3821"/>
      <c r="C32" s="3447" t="s">
        <v>3429</v>
      </c>
      <c r="D32" s="3448">
        <v>8</v>
      </c>
      <c r="E32" s="3448">
        <v>88.83</v>
      </c>
      <c r="F32" s="3447" t="s">
        <v>3409</v>
      </c>
    </row>
    <row r="33" spans="1:6">
      <c r="A33" s="3448">
        <v>30</v>
      </c>
      <c r="B33" s="3819">
        <v>4</v>
      </c>
      <c r="C33" s="3447" t="s">
        <v>3418</v>
      </c>
      <c r="D33" s="3448">
        <v>1</v>
      </c>
      <c r="E33" s="3448">
        <v>88.88</v>
      </c>
      <c r="F33" s="3447" t="s">
        <v>3409</v>
      </c>
    </row>
    <row r="34" spans="1:6">
      <c r="A34" s="3448">
        <v>31</v>
      </c>
      <c r="B34" s="3820"/>
      <c r="C34" s="3447" t="s">
        <v>3401</v>
      </c>
      <c r="D34" s="3448">
        <v>2</v>
      </c>
      <c r="E34" s="3448">
        <v>88.84</v>
      </c>
      <c r="F34" s="3447" t="s">
        <v>3409</v>
      </c>
    </row>
    <row r="35" spans="1:6">
      <c r="A35" s="3448">
        <v>32</v>
      </c>
      <c r="B35" s="3820"/>
      <c r="C35" s="3447" t="s">
        <v>3428</v>
      </c>
      <c r="D35" s="3448">
        <v>8</v>
      </c>
      <c r="E35" s="3448">
        <v>88.84</v>
      </c>
      <c r="F35" s="3447" t="s">
        <v>3409</v>
      </c>
    </row>
    <row r="36" spans="1:6">
      <c r="A36" s="3448">
        <v>33</v>
      </c>
      <c r="B36" s="3820"/>
      <c r="C36" s="3447" t="s">
        <v>3429</v>
      </c>
      <c r="D36" s="3448">
        <v>8</v>
      </c>
      <c r="E36" s="3448">
        <v>88.91</v>
      </c>
      <c r="F36" s="3447" t="s">
        <v>3409</v>
      </c>
    </row>
    <row r="37" spans="1:6">
      <c r="A37" s="3448">
        <v>34</v>
      </c>
      <c r="B37" s="3820"/>
      <c r="C37" s="3447" t="s">
        <v>3430</v>
      </c>
      <c r="D37" s="3448">
        <v>1</v>
      </c>
      <c r="E37" s="3448">
        <v>88.56</v>
      </c>
      <c r="F37" s="3447" t="s">
        <v>3409</v>
      </c>
    </row>
    <row r="38" spans="1:6">
      <c r="A38" s="3448">
        <v>35</v>
      </c>
      <c r="B38" s="3820"/>
      <c r="C38" s="3447" t="s">
        <v>3403</v>
      </c>
      <c r="D38" s="3448">
        <v>2</v>
      </c>
      <c r="E38" s="3448">
        <v>88.56</v>
      </c>
      <c r="F38" s="3447" t="s">
        <v>3409</v>
      </c>
    </row>
    <row r="39" spans="1:6">
      <c r="A39" s="3448">
        <v>36</v>
      </c>
      <c r="B39" s="3820"/>
      <c r="C39" s="3447" t="s">
        <v>3431</v>
      </c>
      <c r="D39" s="3448">
        <v>1</v>
      </c>
      <c r="E39" s="3448">
        <v>88.88</v>
      </c>
      <c r="F39" s="3447" t="s">
        <v>3409</v>
      </c>
    </row>
    <row r="40" spans="1:6">
      <c r="A40" s="3448">
        <v>37</v>
      </c>
      <c r="B40" s="3820"/>
      <c r="C40" s="3447" t="s">
        <v>3432</v>
      </c>
      <c r="D40" s="3448">
        <v>8</v>
      </c>
      <c r="E40" s="3448">
        <v>88.56</v>
      </c>
      <c r="F40" s="3447" t="s">
        <v>3409</v>
      </c>
    </row>
    <row r="41" spans="1:6">
      <c r="A41" s="3448">
        <v>38</v>
      </c>
      <c r="B41" s="3820"/>
      <c r="C41" s="3447" t="s">
        <v>3433</v>
      </c>
      <c r="D41" s="3448">
        <v>8</v>
      </c>
      <c r="E41" s="3448">
        <v>88.91</v>
      </c>
      <c r="F41" s="3447" t="s">
        <v>3409</v>
      </c>
    </row>
    <row r="42" spans="1:6">
      <c r="A42" s="3448">
        <v>39</v>
      </c>
      <c r="B42" s="3820"/>
      <c r="C42" s="3447" t="s">
        <v>3414</v>
      </c>
      <c r="D42" s="3448">
        <v>2</v>
      </c>
      <c r="E42" s="3448">
        <v>88.56</v>
      </c>
      <c r="F42" s="3447" t="s">
        <v>3409</v>
      </c>
    </row>
    <row r="43" spans="1:6">
      <c r="A43" s="3448">
        <v>40</v>
      </c>
      <c r="B43" s="3820"/>
      <c r="C43" s="3447" t="s">
        <v>3434</v>
      </c>
      <c r="D43" s="3448">
        <v>8</v>
      </c>
      <c r="E43" s="3448">
        <v>88.56</v>
      </c>
      <c r="F43" s="3447" t="s">
        <v>3409</v>
      </c>
    </row>
    <row r="44" spans="1:6">
      <c r="A44" s="3448">
        <v>41</v>
      </c>
      <c r="B44" s="3821"/>
      <c r="C44" s="3447" t="s">
        <v>3415</v>
      </c>
      <c r="D44" s="3448">
        <v>2</v>
      </c>
      <c r="E44" s="3448">
        <v>88.56</v>
      </c>
      <c r="F44" s="3447" t="s">
        <v>3409</v>
      </c>
    </row>
    <row r="45" spans="1:6">
      <c r="A45" s="3447" t="s">
        <v>3408</v>
      </c>
      <c r="B45" s="3448"/>
      <c r="C45" s="3448"/>
      <c r="D45" s="3448"/>
      <c r="E45" s="3448">
        <f>SUM(E4:E44)</f>
        <v>3643.6099999999992</v>
      </c>
      <c r="F45" s="3448"/>
    </row>
  </sheetData>
  <mergeCells count="4">
    <mergeCell ref="B4:B9"/>
    <mergeCell ref="B10:B16"/>
    <mergeCell ref="B17:B32"/>
    <mergeCell ref="B33:B44"/>
  </mergeCells>
  <phoneticPr fontId="134" type="noConversion"/>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Q15" sqref="Q15:R15"/>
    </sheetView>
  </sheetViews>
  <sheetFormatPr defaultRowHeight="13.5"/>
  <sheetData/>
  <phoneticPr fontId="134" type="noConversion"/>
  <pageMargins left="0.7" right="0.7" top="0.75" bottom="0.75" header="0.3" footer="0.3"/>
  <pageSetup paperSize="9" orientation="portrait"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7" workbookViewId="0">
      <selection activeCell="A61" sqref="A61"/>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152</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基准地价修正</vt:lpstr>
      <vt:lpstr>土地比较法-住宅、综合</vt:lpstr>
      <vt:lpstr>土地案例</vt:lpstr>
      <vt:lpstr>比较法-住宅</vt:lpstr>
      <vt:lpstr>比较法-商业</vt:lpstr>
      <vt:lpstr>比较法-办公</vt:lpstr>
      <vt:lpstr>比较法-工业</vt:lpstr>
      <vt:lpstr>比较法-车位</vt:lpstr>
      <vt:lpstr>比较法-仓储</vt:lpstr>
      <vt:lpstr>土地比较法-工业</vt:lpstr>
      <vt:lpstr>收益法</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清单</vt:lpstr>
      <vt:lpstr>世园村中指成交</vt:lpstr>
      <vt:lpstr>二手房</vt:lpstr>
      <vt:lpstr>整租</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2024-10-17T02:22:41Z</dcterms:modified>
</cp:coreProperties>
</file>