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 activeTab="13"/>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商业" sheetId="15" state="hidden" r:id="rId31"/>
    <sheet name="不动产比较法-住宅" sheetId="21" r:id="rId32"/>
    <sheet name="不动产比较法-商业" sheetId="33" r:id="rId33"/>
    <sheet name="典型户型修正" sheetId="31" r:id="rId34"/>
    <sheet name="不动产收益法-车库" sheetId="70" r:id="rId35"/>
    <sheet name="酒店收入计算" sheetId="57" state="hidden" r:id="rId36"/>
    <sheet name="成本逼近法" sheetId="11"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存贷款利率" sheetId="65" state="hidden" r:id="rId42"/>
    <sheet name="土地案例" sheetId="69" r:id="rId43"/>
  </sheets>
  <externalReferences>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B27" i="31" l="1"/>
  <c r="Q73" i="70" l="1"/>
  <c r="Q60" i="70"/>
  <c r="D60" i="70"/>
  <c r="Q59" i="70"/>
  <c r="K59" i="70"/>
  <c r="Q52" i="70"/>
  <c r="J50" i="70"/>
  <c r="J51" i="70" s="1"/>
  <c r="M47" i="70"/>
  <c r="F33" i="70"/>
  <c r="F60" i="70" s="1"/>
  <c r="F23" i="70"/>
  <c r="F21" i="70"/>
  <c r="F20" i="70"/>
  <c r="M19" i="70"/>
  <c r="F18" i="70"/>
  <c r="F17" i="70"/>
  <c r="F15" i="70"/>
  <c r="G1" i="70"/>
  <c r="P75" i="70" l="1"/>
  <c r="P62" i="70"/>
  <c r="D23" i="70"/>
  <c r="D22" i="70"/>
  <c r="D24" i="70"/>
  <c r="C33" i="21"/>
  <c r="F13" i="70"/>
  <c r="F26" i="70"/>
  <c r="M6" i="70"/>
  <c r="F6" i="70"/>
  <c r="M27" i="70"/>
  <c r="F43" i="70"/>
  <c r="F16" i="70"/>
  <c r="M24" i="70"/>
  <c r="F38" i="70"/>
  <c r="F7" i="70"/>
  <c r="M9" i="70"/>
  <c r="F35" i="70"/>
  <c r="M21" i="70"/>
  <c r="M8" i="70"/>
  <c r="M29" i="70"/>
  <c r="M23" i="70"/>
  <c r="M26" i="70"/>
  <c r="F40" i="70"/>
  <c r="F36" i="70"/>
  <c r="F42" i="70"/>
  <c r="F9" i="70"/>
  <c r="J15" i="70"/>
  <c r="M22" i="70"/>
  <c r="M28" i="70"/>
  <c r="J36" i="70"/>
  <c r="F8" i="70"/>
  <c r="F37" i="70"/>
  <c r="F65" i="70" l="1"/>
  <c r="F62" i="70"/>
  <c r="C6" i="70"/>
  <c r="F49" i="70"/>
  <c r="M7" i="70"/>
  <c r="J6" i="70" s="1"/>
  <c r="F70" i="70"/>
  <c r="F64" i="70"/>
  <c r="C27" i="70"/>
  <c r="F67" i="70"/>
  <c r="Q72" i="70"/>
  <c r="F50" i="70"/>
  <c r="F63" i="70"/>
  <c r="C17" i="70"/>
  <c r="C48" i="70" l="1"/>
  <c r="I40" i="39" l="1"/>
  <c r="G40" i="39"/>
  <c r="E40" i="39"/>
  <c r="C40" i="39"/>
  <c r="E73" i="39"/>
  <c r="F73" i="39"/>
  <c r="G73" i="39" s="1"/>
  <c r="H73" i="39" s="1"/>
  <c r="I73" i="39" s="1"/>
  <c r="J73" i="39" s="1"/>
  <c r="K73" i="39" s="1"/>
  <c r="L73" i="39" s="1"/>
  <c r="M73" i="39" s="1"/>
  <c r="N73" i="39" s="1"/>
  <c r="D73" i="39"/>
  <c r="I9" i="39"/>
  <c r="G9" i="39"/>
  <c r="E9" i="39"/>
  <c r="I8" i="39"/>
  <c r="G8" i="39"/>
  <c r="E8" i="39"/>
  <c r="G21" i="6" l="1"/>
  <c r="I48" i="39"/>
  <c r="G48" i="39"/>
  <c r="E48" i="3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2" i="69"/>
  <c r="F20" i="6"/>
  <c r="F19" i="6"/>
  <c r="AD13" i="3"/>
  <c r="A3" i="3"/>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37" i="68"/>
  <c r="C76" i="68"/>
  <c r="F8" i="68"/>
  <c r="F26" i="68"/>
  <c r="F42" i="68"/>
  <c r="F40" i="68"/>
  <c r="M9" i="68"/>
  <c r="F36" i="68"/>
  <c r="M23" i="68"/>
  <c r="F38" i="68"/>
  <c r="M28" i="68"/>
  <c r="J15" i="68"/>
  <c r="M26" i="68"/>
  <c r="M24" i="68"/>
  <c r="M8" i="68"/>
  <c r="M22" i="68"/>
  <c r="F16" i="68"/>
  <c r="F6" i="68"/>
  <c r="F13" i="68"/>
  <c r="F9"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2" i="67"/>
  <c r="E8" i="67"/>
  <c r="B11" i="67"/>
  <c r="E12" i="67"/>
  <c r="F8" i="67"/>
  <c r="F9" i="67"/>
  <c r="F14" i="67"/>
  <c r="B14" i="67"/>
  <c r="E11" i="67"/>
  <c r="E9" i="67"/>
  <c r="F12" i="67"/>
  <c r="B8" i="67"/>
  <c r="F10" i="67"/>
  <c r="E14" i="67"/>
  <c r="B10" i="67"/>
  <c r="F11" i="67"/>
  <c r="E13" i="67"/>
  <c r="B9" i="67"/>
  <c r="F13" i="67"/>
  <c r="E10"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5" i="65"/>
  <c r="N4" i="65"/>
  <c r="N3" i="65"/>
  <c r="I3" i="65"/>
  <c r="N6" i="65"/>
  <c r="C4" i="65" l="1"/>
  <c r="B39" i="1" s="1"/>
  <c r="J3" i="65"/>
  <c r="J7" i="65"/>
  <c r="I4" i="65"/>
  <c r="J5" i="65"/>
  <c r="I5" i="65"/>
  <c r="J4" i="65"/>
  <c r="I6" i="65"/>
  <c r="I7" i="65"/>
  <c r="J6" i="65"/>
  <c r="F11" i="70" l="1"/>
  <c r="M11" i="70"/>
  <c r="J10" i="70" s="1"/>
  <c r="J5" i="70" s="1"/>
  <c r="E20" i="46"/>
  <c r="J1" i="65"/>
  <c r="M5" i="54"/>
  <c r="A23" i="51"/>
  <c r="E3" i="65"/>
  <c r="J26" i="70" l="1"/>
  <c r="J24" i="70"/>
  <c r="C52" i="70"/>
  <c r="C47" i="70" s="1"/>
  <c r="C10" i="70"/>
  <c r="C5" i="70" s="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70" l="1"/>
  <c r="C65" i="70"/>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C11" i="59" l="1"/>
  <c r="Y10" i="59"/>
  <c r="Z10" i="59" s="1"/>
  <c r="F11" i="59"/>
  <c r="AB10" i="59"/>
  <c r="B15" i="59"/>
  <c r="B16" i="59" s="1"/>
  <c r="B17" i="59" s="1"/>
  <c r="S17" i="59" s="1"/>
  <c r="X14" i="59"/>
  <c r="E15" i="59"/>
  <c r="E16" i="59" s="1"/>
  <c r="E17" i="59" s="1"/>
  <c r="U17" i="59" s="1"/>
  <c r="AA14" i="59"/>
  <c r="C19" i="59"/>
  <c r="Y18" i="59"/>
  <c r="Z18" i="59" s="1"/>
  <c r="F19" i="59"/>
  <c r="AB18" i="59"/>
  <c r="Q46" i="59"/>
  <c r="B11" i="59"/>
  <c r="X10" i="59"/>
  <c r="AA10" i="59"/>
  <c r="X11" i="59"/>
  <c r="AA11" i="59"/>
  <c r="X12" i="59"/>
  <c r="AA12" i="59"/>
  <c r="X13" i="59"/>
  <c r="AA13" i="59"/>
  <c r="C15" i="59"/>
  <c r="Y14" i="59"/>
  <c r="Z14" i="59" s="1"/>
  <c r="F15" i="59"/>
  <c r="AB14" i="59"/>
  <c r="Y15" i="59"/>
  <c r="Z15" i="59" s="1"/>
  <c r="AB15" i="59"/>
  <c r="Y16" i="59"/>
  <c r="Z16" i="59" s="1"/>
  <c r="AB16" i="59"/>
  <c r="Y17" i="59"/>
  <c r="Z17" i="59" s="1"/>
  <c r="AB17" i="59"/>
  <c r="B19" i="59"/>
  <c r="B20" i="59" s="1"/>
  <c r="B21" i="59" s="1"/>
  <c r="S21" i="59" s="1"/>
  <c r="X18" i="59"/>
  <c r="E19" i="59"/>
  <c r="E20" i="59" s="1"/>
  <c r="E21" i="59" s="1"/>
  <c r="U21" i="59" s="1"/>
  <c r="AA18" i="59"/>
  <c r="B9" i="59"/>
  <c r="X5" i="59"/>
  <c r="E9" i="59"/>
  <c r="AA5"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S145" i="31" s="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R158" i="31"/>
  <c r="S158" i="31" s="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R182" i="31"/>
  <c r="S182" i="31" s="1"/>
  <c r="R183" i="31"/>
  <c r="S183" i="31" s="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R334" i="31"/>
  <c r="S334" i="31" s="1"/>
  <c r="R335" i="31"/>
  <c r="S335" i="31" s="1"/>
  <c r="R336" i="31"/>
  <c r="S336" i="31" s="1"/>
  <c r="R337" i="31"/>
  <c r="S337" i="31" s="1"/>
  <c r="R338" i="31"/>
  <c r="S338" i="31" s="1"/>
  <c r="R339" i="31"/>
  <c r="S339" i="31" s="1"/>
  <c r="R340" i="31"/>
  <c r="S340" i="31" s="1"/>
  <c r="R341" i="31"/>
  <c r="R342" i="31"/>
  <c r="S342" i="31" s="1"/>
  <c r="R343" i="31"/>
  <c r="S343" i="31" s="1"/>
  <c r="R344" i="31"/>
  <c r="S344" i="31" s="1"/>
  <c r="R345" i="31"/>
  <c r="S345" i="31" s="1"/>
  <c r="R346" i="31"/>
  <c r="S346" i="31" s="1"/>
  <c r="R347" i="31"/>
  <c r="S347" i="31" s="1"/>
  <c r="R348" i="31"/>
  <c r="S348" i="31" s="1"/>
  <c r="R349" i="3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R366" i="31"/>
  <c r="S366" i="31" s="1"/>
  <c r="R367" i="31"/>
  <c r="S367" i="31" s="1"/>
  <c r="R368" i="31"/>
  <c r="S368" i="31" s="1"/>
  <c r="R369" i="31"/>
  <c r="S369" i="31" s="1"/>
  <c r="R370" i="31"/>
  <c r="S370" i="31" s="1"/>
  <c r="R371" i="31"/>
  <c r="S371" i="31" s="1"/>
  <c r="R372" i="31"/>
  <c r="S372" i="31" s="1"/>
  <c r="R373" i="31"/>
  <c r="R374" i="31"/>
  <c r="S374" i="31" s="1"/>
  <c r="R375" i="31"/>
  <c r="S375" i="31" s="1"/>
  <c r="R376" i="31"/>
  <c r="S376" i="31" s="1"/>
  <c r="R377" i="31"/>
  <c r="S377" i="31" s="1"/>
  <c r="R378" i="31"/>
  <c r="S378" i="31" s="1"/>
  <c r="R379" i="31"/>
  <c r="S379" i="31" s="1"/>
  <c r="R380" i="31"/>
  <c r="S380" i="31" s="1"/>
  <c r="R381" i="3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R398" i="31"/>
  <c r="S398" i="31" s="1"/>
  <c r="R399" i="31"/>
  <c r="S399" i="31" s="1"/>
  <c r="R400" i="31"/>
  <c r="S400" i="31" s="1"/>
  <c r="R401" i="31"/>
  <c r="S401" i="31" s="1"/>
  <c r="R402" i="31"/>
  <c r="S402" i="31" s="1"/>
  <c r="R403" i="31"/>
  <c r="S403" i="31" s="1"/>
  <c r="R404" i="31"/>
  <c r="S404" i="31" s="1"/>
  <c r="R405" i="31"/>
  <c r="R406" i="31"/>
  <c r="S406" i="31" s="1"/>
  <c r="R407" i="31"/>
  <c r="S407" i="31" s="1"/>
  <c r="R408" i="31"/>
  <c r="S408" i="31" s="1"/>
  <c r="R409" i="31"/>
  <c r="S409" i="31" s="1"/>
  <c r="R410" i="31"/>
  <c r="S410" i="31" s="1"/>
  <c r="R411" i="31"/>
  <c r="S411" i="31" s="1"/>
  <c r="R412" i="31"/>
  <c r="S412" i="31" s="1"/>
  <c r="R413" i="3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S493" i="31" s="1"/>
  <c r="R494" i="31"/>
  <c r="R495" i="31"/>
  <c r="S495" i="31" s="1"/>
  <c r="R496" i="3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3" i="31"/>
  <c r="S405" i="31"/>
  <c r="S397" i="31"/>
  <c r="S389" i="31"/>
  <c r="S381" i="31"/>
  <c r="S373" i="31"/>
  <c r="S365" i="31"/>
  <c r="S357" i="31"/>
  <c r="S349" i="31"/>
  <c r="S341" i="31"/>
  <c r="S333" i="31"/>
  <c r="S325" i="31"/>
  <c r="S319" i="31"/>
  <c r="S311" i="31"/>
  <c r="S303" i="31"/>
  <c r="S295" i="31"/>
  <c r="S287" i="31"/>
  <c r="S279" i="31"/>
  <c r="S271" i="31"/>
  <c r="S263"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221" i="31"/>
  <c r="S213" i="31"/>
  <c r="S205" i="31"/>
  <c r="S197" i="31"/>
  <c r="S189" i="31"/>
  <c r="S181" i="31"/>
  <c r="S173" i="31"/>
  <c r="S165" i="31"/>
  <c r="S157" i="31"/>
  <c r="S149" i="31"/>
  <c r="S141" i="31"/>
  <c r="S133" i="31"/>
  <c r="S125" i="31"/>
  <c r="S496" i="31"/>
  <c r="S494" i="31"/>
  <c r="S490" i="31"/>
  <c r="S488" i="31"/>
  <c r="S486" i="31"/>
  <c r="S484" i="31"/>
  <c r="S482" i="31"/>
  <c r="S480" i="31"/>
  <c r="S478" i="31"/>
  <c r="S476" i="31"/>
  <c r="S474" i="31"/>
  <c r="S443" i="31"/>
  <c r="S435" i="31"/>
  <c r="S119" i="31"/>
  <c r="S113" i="31"/>
  <c r="S465" i="31"/>
  <c r="S461" i="31"/>
  <c r="S457" i="31"/>
  <c r="S453" i="31"/>
  <c r="S53" i="31"/>
  <c r="S49" i="31"/>
  <c r="S45" i="31"/>
  <c r="S41" i="31"/>
  <c r="S37" i="31"/>
  <c r="S33" i="31"/>
  <c r="S75" i="31"/>
  <c r="S71" i="31"/>
  <c r="S67" i="31"/>
  <c r="S63" i="31"/>
  <c r="S59" i="31"/>
  <c r="S55" i="31"/>
  <c r="S95" i="31"/>
  <c r="S91" i="31"/>
  <c r="S87" i="31"/>
  <c r="S83" i="31"/>
  <c r="S79" i="31"/>
  <c r="S29" i="31"/>
  <c r="S101" i="31"/>
  <c r="S105" i="31"/>
  <c r="S109" i="31"/>
  <c r="S445" i="31"/>
  <c r="S449" i="31"/>
  <c r="S509"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AA40" i="33" s="1"/>
  <c r="J41" i="33"/>
  <c r="AC41" i="33" s="1"/>
  <c r="D113" i="33"/>
  <c r="F37" i="33"/>
  <c r="AA37" i="33" s="1"/>
  <c r="D111" i="33"/>
  <c r="E111" i="33"/>
  <c r="F111" i="33" s="1"/>
  <c r="G111" i="33" s="1"/>
  <c r="H111" i="33" s="1"/>
  <c r="I111" i="33" s="1"/>
  <c r="J111" i="33" s="1"/>
  <c r="K111" i="33" s="1"/>
  <c r="L111" i="33" s="1"/>
  <c r="M111" i="33" s="1"/>
  <c r="S517" i="31"/>
  <c r="S521"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B40" i="33" s="1"/>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H19" i="21"/>
  <c r="AB19" i="21" s="1"/>
  <c r="J12" i="21"/>
  <c r="AC12" i="21" s="1"/>
  <c r="H12" i="21"/>
  <c r="U12" i="21" s="1"/>
  <c r="J26" i="21"/>
  <c r="W26" i="21" s="1"/>
  <c r="F26" i="21"/>
  <c r="AA26" i="21" s="1"/>
  <c r="AB41" i="21"/>
  <c r="S41" i="21"/>
  <c r="AA41" i="21"/>
  <c r="W41" i="21"/>
  <c r="S10" i="39"/>
  <c r="U30" i="37"/>
  <c r="F103" i="37"/>
  <c r="F39" i="37"/>
  <c r="S39" i="37" s="1"/>
  <c r="W39" i="37"/>
  <c r="F29" i="36"/>
  <c r="AA29" i="36" s="1"/>
  <c r="F16" i="36"/>
  <c r="AA16" i="36" s="1"/>
  <c r="U22" i="36"/>
  <c r="W23" i="36"/>
  <c r="U26" i="36"/>
  <c r="AC31" i="36"/>
  <c r="J33" i="36"/>
  <c r="W33" i="36" s="1"/>
  <c r="U31" i="35"/>
  <c r="S31" i="35"/>
  <c r="W31" i="35"/>
  <c r="U34" i="35"/>
  <c r="F36" i="34"/>
  <c r="S36" i="34" s="1"/>
  <c r="W9" i="34"/>
  <c r="S34" i="34"/>
  <c r="W39" i="34"/>
  <c r="H39" i="33"/>
  <c r="AB39" i="33" s="1"/>
  <c r="F26" i="33"/>
  <c r="AA26" i="33" s="1"/>
  <c r="U33" i="33"/>
  <c r="W38" i="33"/>
  <c r="W33" i="33"/>
  <c r="H39" i="37"/>
  <c r="AB39" i="37" s="1"/>
  <c r="AB27" i="35"/>
  <c r="S10" i="40"/>
  <c r="W10" i="40"/>
  <c r="S11" i="40"/>
  <c r="U11" i="40"/>
  <c r="S36" i="40"/>
  <c r="U36" i="40"/>
  <c r="S40" i="39"/>
  <c r="S36" i="39"/>
  <c r="AC40" i="21"/>
  <c r="AA38" i="21"/>
  <c r="AB36" i="21"/>
  <c r="C23" i="39"/>
  <c r="U36" i="39"/>
  <c r="S42" i="39"/>
  <c r="H11" i="21"/>
  <c r="U11" i="21" s="1"/>
  <c r="F100"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E113" i="33"/>
  <c r="F19" i="33"/>
  <c r="S19" i="33" s="1"/>
  <c r="J19" i="33"/>
  <c r="AC19" i="33" s="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J40" i="37"/>
  <c r="H14" i="33"/>
  <c r="U14" i="33" s="1"/>
  <c r="F14" i="33"/>
  <c r="AA14" i="33" s="1"/>
  <c r="J14" i="33"/>
  <c r="AC14" i="33" s="1"/>
  <c r="H30" i="33"/>
  <c r="AB30" i="33" s="1"/>
  <c r="F30" i="33"/>
  <c r="S30" i="33" s="1"/>
  <c r="J30" i="33"/>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J36" i="37"/>
  <c r="AC36" i="37" s="1"/>
  <c r="U46" i="21"/>
  <c r="W30" i="21"/>
  <c r="S28" i="21"/>
  <c r="AB14" i="21"/>
  <c r="AC14" i="21"/>
  <c r="W31" i="34"/>
  <c r="U36" i="37"/>
  <c r="AB31" i="33"/>
  <c r="S45" i="21"/>
  <c r="U28" i="21"/>
  <c r="G521" i="3"/>
  <c r="G517" i="3"/>
  <c r="G513" i="3"/>
  <c r="G508" i="3"/>
  <c r="G499" i="3"/>
  <c r="G485" i="3"/>
  <c r="G565" i="3"/>
  <c r="G557" i="3"/>
  <c r="G545" i="3"/>
  <c r="BL569" i="3"/>
  <c r="BL561" i="3"/>
  <c r="BL553" i="3"/>
  <c r="BL535" i="3"/>
  <c r="BL527" i="3"/>
  <c r="BL519" i="3"/>
  <c r="BL501" i="3"/>
  <c r="BL483" i="3"/>
  <c r="BL563" i="3"/>
  <c r="BL551" i="3"/>
  <c r="BL541" i="3"/>
  <c r="BL533" i="3"/>
  <c r="BL525" i="3"/>
  <c r="G518" i="3"/>
  <c r="G510" i="3"/>
  <c r="BL495" i="3"/>
  <c r="G18" i="3"/>
  <c r="BA565" i="3"/>
  <c r="BA557" i="3"/>
  <c r="BA555" i="3"/>
  <c r="BA551" i="3"/>
  <c r="AZ551" i="3" s="1"/>
  <c r="BA545" i="3"/>
  <c r="BA541" i="3"/>
  <c r="AZ541" i="3" s="1"/>
  <c r="BA531" i="3"/>
  <c r="BA509" i="3"/>
  <c r="BA505" i="3"/>
  <c r="BA501" i="3"/>
  <c r="BA487" i="3"/>
  <c r="BA19" i="3"/>
  <c r="BA566" i="3"/>
  <c r="BA560" i="3"/>
  <c r="BA556" i="3"/>
  <c r="BA554" i="3"/>
  <c r="BA550" i="3"/>
  <c r="BA546" i="3"/>
  <c r="BA540" i="3"/>
  <c r="BA532" i="3"/>
  <c r="BA524" i="3"/>
  <c r="BA516" i="3"/>
  <c r="BA512" i="3"/>
  <c r="BA508" i="3"/>
  <c r="BA502" i="3"/>
  <c r="BA498" i="3"/>
  <c r="BA488" i="3"/>
  <c r="BA484" i="3"/>
  <c r="BA20" i="3"/>
  <c r="G566" i="3"/>
  <c r="G560" i="3"/>
  <c r="G556" i="3"/>
  <c r="G554" i="3"/>
  <c r="G550" i="3"/>
  <c r="BL543" i="3"/>
  <c r="BA542" i="3"/>
  <c r="AC542" i="3"/>
  <c r="G542" i="3"/>
  <c r="BQ542" i="3"/>
  <c r="BL542" i="3"/>
  <c r="BQ568" i="3"/>
  <c r="BQ566" i="3"/>
  <c r="BQ564" i="3"/>
  <c r="BQ562" i="3"/>
  <c r="BQ560" i="3"/>
  <c r="BL560" i="3"/>
  <c r="BQ558" i="3"/>
  <c r="BL558" i="3"/>
  <c r="BQ556" i="3"/>
  <c r="BL556" i="3"/>
  <c r="BQ554" i="3"/>
  <c r="BQ552" i="3"/>
  <c r="BL552" i="3"/>
  <c r="BQ550" i="3"/>
  <c r="BL550" i="3"/>
  <c r="BQ548" i="3"/>
  <c r="BQ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BQ500" i="3"/>
  <c r="BL500" i="3" s="1"/>
  <c r="AZ500" i="3" s="1"/>
  <c r="BQ498" i="3"/>
  <c r="BQ496" i="3"/>
  <c r="AC494" i="3"/>
  <c r="BQ494" i="3"/>
  <c r="BL493" i="3"/>
  <c r="G492" i="3"/>
  <c r="G488" i="3"/>
  <c r="G484" i="3"/>
  <c r="G20" i="3"/>
  <c r="BQ492" i="3"/>
  <c r="BL492" i="3"/>
  <c r="BQ490" i="3"/>
  <c r="BQ488" i="3"/>
  <c r="BL488" i="3" s="1"/>
  <c r="AZ488" i="3" s="1"/>
  <c r="BQ486" i="3"/>
  <c r="BQ484" i="3"/>
  <c r="BL484" i="3"/>
  <c r="BQ482" i="3"/>
  <c r="BL482" i="3"/>
  <c r="BQ20" i="3"/>
  <c r="BL20" i="3" s="1"/>
  <c r="AZ20" i="3" s="1"/>
  <c r="BQ18" i="3"/>
  <c r="AZ501" i="3"/>
  <c r="S503" i="31"/>
  <c r="S499"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c r="G125" i="33" s="1"/>
  <c r="H43" i="33"/>
  <c r="U43" i="33" s="1"/>
  <c r="H17" i="37"/>
  <c r="U17" i="37" s="1"/>
  <c r="F23" i="37"/>
  <c r="S23" i="37" s="1"/>
  <c r="F79" i="37"/>
  <c r="G79" i="37" s="1"/>
  <c r="AB27" i="37"/>
  <c r="F39" i="33"/>
  <c r="AA39" i="33" s="1"/>
  <c r="E123" i="33"/>
  <c r="F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J43" i="33"/>
  <c r="AC43" i="33" s="1"/>
  <c r="J23" i="37"/>
  <c r="W23" i="37" s="1"/>
  <c r="F17" i="37"/>
  <c r="AA17" i="37" s="1"/>
  <c r="AB43" i="33"/>
  <c r="D3" i="21"/>
  <c r="AC33" i="36"/>
  <c r="W23" i="35"/>
  <c r="S27" i="37"/>
  <c r="U39" i="37"/>
  <c r="AC8" i="37"/>
  <c r="S25" i="37"/>
  <c r="AC36" i="34"/>
  <c r="AB8" i="34"/>
  <c r="AA13" i="33"/>
  <c r="AC33"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U40" i="39"/>
  <c r="F90" i="40"/>
  <c r="J21" i="40"/>
  <c r="AC21" i="40" s="1"/>
  <c r="G90" i="40"/>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H13" i="39"/>
  <c r="AB13" i="39" s="1"/>
  <c r="F13" i="39"/>
  <c r="J13" i="39"/>
  <c r="AC13" i="39" s="1"/>
  <c r="AA36" i="35"/>
  <c r="H11" i="37"/>
  <c r="AB11" i="37" s="1"/>
  <c r="W37" i="37"/>
  <c r="AA30" i="33"/>
  <c r="AA36" i="37"/>
  <c r="AB17" i="37"/>
  <c r="AZ516" i="3"/>
  <c r="AZ524" i="3"/>
  <c r="AZ532"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U26"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S28" i="33"/>
  <c r="AA44" i="34"/>
  <c r="AB29" i="35"/>
  <c r="U29" i="35"/>
  <c r="W19" i="33"/>
  <c r="U43" i="34"/>
  <c r="AB43" i="34"/>
  <c r="AC34" i="37"/>
  <c r="S35" i="37"/>
  <c r="AA35" i="37"/>
  <c r="AB10" i="35"/>
  <c r="BL571" i="3"/>
  <c r="BA571" i="3"/>
  <c r="AZ571" i="3"/>
  <c r="BL570" i="3"/>
  <c r="BE5" i="3"/>
  <c r="F42" i="21"/>
  <c r="AA42" i="21" s="1"/>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AZ548" i="3" s="1"/>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AZ512" i="3"/>
  <c r="BA511" i="3"/>
  <c r="BA510" i="3"/>
  <c r="BL509" i="3"/>
  <c r="AZ509" i="3"/>
  <c r="BL507" i="3"/>
  <c r="BA507" i="3"/>
  <c r="AZ507" i="3" s="1"/>
  <c r="BL506" i="3"/>
  <c r="BA506" i="3"/>
  <c r="AZ506" i="3"/>
  <c r="BL505" i="3"/>
  <c r="AZ505" i="3"/>
  <c r="BL504" i="3"/>
  <c r="BA504" i="3"/>
  <c r="AZ504" i="3" s="1"/>
  <c r="BA503" i="3"/>
  <c r="BA500" i="3"/>
  <c r="BL499" i="3"/>
  <c r="BA499" i="3"/>
  <c r="AZ499" i="3" s="1"/>
  <c r="BL498" i="3"/>
  <c r="AZ498" i="3" s="1"/>
  <c r="BL497" i="3"/>
  <c r="BA497" i="3"/>
  <c r="BL496" i="3"/>
  <c r="BA496" i="3"/>
  <c r="AZ496" i="3"/>
  <c r="BA495" i="3"/>
  <c r="AZ495" i="3"/>
  <c r="BL494" i="3"/>
  <c r="BA494" i="3"/>
  <c r="AZ494" i="3" s="1"/>
  <c r="G494" i="3"/>
  <c r="BA491" i="3"/>
  <c r="BL490" i="3"/>
  <c r="BA490" i="3"/>
  <c r="AZ490" i="3" s="1"/>
  <c r="BL489" i="3"/>
  <c r="BA489" i="3"/>
  <c r="AZ489" i="3"/>
  <c r="BL487" i="3"/>
  <c r="AZ487" i="3"/>
  <c r="BL486" i="3"/>
  <c r="BA486" i="3"/>
  <c r="AZ486" i="3" s="1"/>
  <c r="BA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W12" i="21"/>
  <c r="AB33" i="21"/>
  <c r="S35"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W41" i="40"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AC14" i="40"/>
  <c r="W35" i="40"/>
  <c r="S33" i="40"/>
  <c r="AB32" i="40"/>
  <c r="S47" i="39"/>
  <c r="U37" i="34"/>
  <c r="AC41" i="40"/>
  <c r="U41" i="40"/>
  <c r="J23" i="40"/>
  <c r="AC23" i="40" s="1"/>
  <c r="G92" i="40"/>
  <c r="F23" i="40"/>
  <c r="S23" i="40" s="1"/>
  <c r="AC15" i="40"/>
  <c r="W15" i="40"/>
  <c r="AB16" i="39"/>
  <c r="W14" i="39"/>
  <c r="U23" i="35"/>
  <c r="H20" i="35"/>
  <c r="U20" i="35" s="1"/>
  <c r="F20" i="35"/>
  <c r="S20" i="35" s="1"/>
  <c r="H15" i="34"/>
  <c r="AB15" i="34" s="1"/>
  <c r="F78" i="34"/>
  <c r="G78" i="34"/>
  <c r="J15" i="34"/>
  <c r="H41" i="33"/>
  <c r="U41" i="33" s="1"/>
  <c r="F30" i="40"/>
  <c r="AA30" i="40" s="1"/>
  <c r="H100" i="40"/>
  <c r="I100" i="40" s="1"/>
  <c r="J100" i="40" s="1"/>
  <c r="K100" i="40" s="1"/>
  <c r="L100" i="40" s="1"/>
  <c r="M100" i="40" s="1"/>
  <c r="AB38" i="34"/>
  <c r="AZ497" i="3"/>
  <c r="AZ515" i="3"/>
  <c r="AZ530" i="3"/>
  <c r="AZ547" i="3"/>
  <c r="AZ549" i="3"/>
  <c r="AB37" i="39"/>
  <c r="AA29" i="35"/>
  <c r="J29" i="39"/>
  <c r="AC29" i="39" s="1"/>
  <c r="U21" i="39"/>
  <c r="AB33" i="36"/>
  <c r="AA14" i="35"/>
  <c r="S14" i="35"/>
  <c r="G99" i="37"/>
  <c r="F33" i="37" s="1"/>
  <c r="U46" i="34"/>
  <c r="AC30" i="34"/>
  <c r="AA14" i="34"/>
  <c r="W12" i="34"/>
  <c r="U29" i="33"/>
  <c r="AC13" i="33"/>
  <c r="U17" i="34"/>
  <c r="AA11" i="34"/>
  <c r="H15" i="33"/>
  <c r="U15" i="33" s="1"/>
  <c r="AA11" i="33"/>
  <c r="AA40" i="21"/>
  <c r="S13" i="39"/>
  <c r="AA13" i="39"/>
  <c r="U16" i="40"/>
  <c r="W34" i="40"/>
  <c r="AB34" i="40"/>
  <c r="U42" i="40"/>
  <c r="W32" i="40"/>
  <c r="H25" i="40"/>
  <c r="AB25" i="40" s="1"/>
  <c r="F94" i="40"/>
  <c r="G94" i="40" s="1"/>
  <c r="U47" i="39"/>
  <c r="W15" i="39"/>
  <c r="J37" i="34"/>
  <c r="AC37" i="34" s="1"/>
  <c r="S41" i="40"/>
  <c r="AB23" i="40"/>
  <c r="H23" i="39"/>
  <c r="AB23" i="39" s="1"/>
  <c r="J23" i="39"/>
  <c r="AC23" i="39" s="1"/>
  <c r="F97" i="39"/>
  <c r="G97" i="39" s="1"/>
  <c r="S16" i="39"/>
  <c r="AA15" i="34"/>
  <c r="AA41" i="33"/>
  <c r="AA34" i="33"/>
  <c r="F106" i="33"/>
  <c r="G106" i="33"/>
  <c r="H106" i="33" s="1"/>
  <c r="I106" i="33" s="1"/>
  <c r="J106" i="33" s="1"/>
  <c r="K106" i="33" s="1"/>
  <c r="L106" i="33" s="1"/>
  <c r="M106" i="33" s="1"/>
  <c r="J34" i="33"/>
  <c r="AC34" i="33" s="1"/>
  <c r="U30" i="40"/>
  <c r="W29" i="35"/>
  <c r="AC39" i="39"/>
  <c r="W39" i="39"/>
  <c r="AA39" i="39"/>
  <c r="S39" i="39"/>
  <c r="U34" i="39"/>
  <c r="AB46" i="39"/>
  <c r="AB44"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40" i="21"/>
  <c r="U11" i="37"/>
  <c r="AC16" i="35"/>
  <c r="AC13" i="40"/>
  <c r="J11" i="34"/>
  <c r="W11" i="34" s="1"/>
  <c r="S17" i="34"/>
  <c r="F25" i="40"/>
  <c r="AA25" i="40" s="1"/>
  <c r="J11" i="33"/>
  <c r="W11" i="33" s="1"/>
  <c r="H33" i="37"/>
  <c r="AB33" i="37" s="1"/>
  <c r="W15" i="34"/>
  <c r="AC15" i="34"/>
  <c r="AB20" i="35"/>
  <c r="W23" i="40"/>
  <c r="D73" i="9"/>
  <c r="N73" i="9" s="1"/>
  <c r="AP11" i="1"/>
  <c r="J51" i="15"/>
  <c r="B11" i="1"/>
  <c r="E11" i="1" s="1"/>
  <c r="K11" i="1"/>
  <c r="M11" i="1" s="1"/>
  <c r="B9" i="1"/>
  <c r="E9" i="1" s="1"/>
  <c r="K9" i="1"/>
  <c r="M9" i="1" s="1"/>
  <c r="B7" i="1"/>
  <c r="E7" i="1" s="1"/>
  <c r="K7" i="1"/>
  <c r="M7" i="1" s="1"/>
  <c r="O7" i="1" s="1"/>
  <c r="P7" i="1" s="1"/>
  <c r="C20" i="43"/>
  <c r="F58" i="70"/>
  <c r="M17" i="70"/>
  <c r="F31" i="70"/>
  <c r="E2" i="65"/>
  <c r="C14" i="70"/>
  <c r="C16" i="70"/>
  <c r="L47" i="70"/>
  <c r="L47" i="68"/>
  <c r="J36" i="33" l="1"/>
  <c r="W36" i="33" s="1"/>
  <c r="H36" i="33"/>
  <c r="AB36" i="33" s="1"/>
  <c r="F36" i="33"/>
  <c r="S36" i="33" s="1"/>
  <c r="G123" i="33"/>
  <c r="H123" i="33" s="1"/>
  <c r="I123" i="33" s="1"/>
  <c r="J123" i="33" s="1"/>
  <c r="K123" i="33" s="1"/>
  <c r="L123" i="33" s="1"/>
  <c r="M123" i="33" s="1"/>
  <c r="H42" i="33"/>
  <c r="U42" i="33" s="1"/>
  <c r="J42" i="33"/>
  <c r="AC42" i="33" s="1"/>
  <c r="F42" i="33"/>
  <c r="AA42" i="33" s="1"/>
  <c r="J11" i="21"/>
  <c r="W11" i="21" s="1"/>
  <c r="F11" i="21"/>
  <c r="S11" i="21" s="1"/>
  <c r="S33" i="39"/>
  <c r="W33" i="39"/>
  <c r="C18" i="70"/>
  <c r="C15" i="70"/>
  <c r="O8" i="1"/>
  <c r="P8" i="1" s="1"/>
  <c r="F34" i="15"/>
  <c r="F61" i="15" s="1"/>
  <c r="F34" i="70"/>
  <c r="M20" i="70"/>
  <c r="J20" i="70" s="1"/>
  <c r="F27" i="43"/>
  <c r="F32" i="70"/>
  <c r="F28" i="70"/>
  <c r="M18" i="70"/>
  <c r="J18" i="70" s="1"/>
  <c r="AC37" i="33"/>
  <c r="U40" i="33"/>
  <c r="S40" i="33"/>
  <c r="W42" i="33"/>
  <c r="S38" i="33"/>
  <c r="C28" i="70"/>
  <c r="G101" i="33"/>
  <c r="H101" i="33" s="1"/>
  <c r="I101" i="33" s="1"/>
  <c r="J101" i="33" s="1"/>
  <c r="K101" i="33" s="1"/>
  <c r="L101" i="33" s="1"/>
  <c r="M101" i="33" s="1"/>
  <c r="F32" i="33"/>
  <c r="H32" i="33"/>
  <c r="J32" i="33"/>
  <c r="AC32" i="33" s="1"/>
  <c r="W27" i="33"/>
  <c r="AC15" i="33"/>
  <c r="J19" i="21"/>
  <c r="W19" i="21" s="1"/>
  <c r="F19" i="21"/>
  <c r="AA19" i="21" s="1"/>
  <c r="F8" i="1"/>
  <c r="L59" i="70"/>
  <c r="U42" i="21"/>
  <c r="W9" i="21"/>
  <c r="W8" i="21"/>
  <c r="AB34" i="21"/>
  <c r="S32" i="21"/>
  <c r="S19" i="21"/>
  <c r="U17" i="21"/>
  <c r="U38" i="21"/>
  <c r="S14" i="21"/>
  <c r="U39" i="21"/>
  <c r="U19" i="21"/>
  <c r="U9" i="21"/>
  <c r="AA36" i="21"/>
  <c r="S34" i="21"/>
  <c r="AB10" i="21"/>
  <c r="S10" i="21"/>
  <c r="S43" i="39"/>
  <c r="W43" i="39"/>
  <c r="AB29" i="39"/>
  <c r="W27" i="39"/>
  <c r="S23" i="39"/>
  <c r="AB19" i="39"/>
  <c r="AA19" i="39"/>
  <c r="AB17" i="39"/>
  <c r="U13" i="39"/>
  <c r="F66" i="9"/>
  <c r="P72" i="9" s="1"/>
  <c r="F72" i="9"/>
  <c r="F34" i="44"/>
  <c r="A11" i="55"/>
  <c r="B62" i="63" s="1"/>
  <c r="G10" i="1"/>
  <c r="G12" i="1"/>
  <c r="L59" i="68"/>
  <c r="N59" i="68"/>
  <c r="M59" i="68"/>
  <c r="AA12" i="35"/>
  <c r="S12" i="35"/>
  <c r="W14" i="35"/>
  <c r="AC36" i="33"/>
  <c r="S17" i="39"/>
  <c r="AA37" i="39"/>
  <c r="U27" i="39"/>
  <c r="AC16" i="40"/>
  <c r="AA11" i="36"/>
  <c r="U39" i="39"/>
  <c r="AB25" i="39"/>
  <c r="AC47" i="39"/>
  <c r="F71" i="9"/>
  <c r="W40" i="40"/>
  <c r="U12" i="37"/>
  <c r="AC23" i="37"/>
  <c r="AC41" i="34"/>
  <c r="AZ550" i="3"/>
  <c r="AZ556" i="3"/>
  <c r="AB28" i="36"/>
  <c r="W28" i="33"/>
  <c r="AC28" i="33"/>
  <c r="AA46" i="21"/>
  <c r="S46" i="21"/>
  <c r="U44" i="21"/>
  <c r="AB44" i="21"/>
  <c r="U30" i="21"/>
  <c r="AB30" i="21"/>
  <c r="AC35" i="21"/>
  <c r="S8" i="21"/>
  <c r="G571" i="3"/>
  <c r="BG5" i="3"/>
  <c r="H13" i="21"/>
  <c r="F13" i="21"/>
  <c r="AA13" i="21" s="1"/>
  <c r="J29" i="21"/>
  <c r="AC29" i="21" s="1"/>
  <c r="F29" i="21"/>
  <c r="S29" i="21" s="1"/>
  <c r="U31" i="21"/>
  <c r="AB31" i="21"/>
  <c r="J45" i="21"/>
  <c r="H45" i="21"/>
  <c r="U45" i="21" s="1"/>
  <c r="B73" i="46"/>
  <c r="C29" i="39"/>
  <c r="H27" i="33"/>
  <c r="F27" i="33"/>
  <c r="AA34" i="35"/>
  <c r="S34" i="35"/>
  <c r="H36" i="35"/>
  <c r="J36" i="35"/>
  <c r="W27" i="35"/>
  <c r="AC27" i="35"/>
  <c r="AB24" i="36"/>
  <c r="U24" i="36"/>
  <c r="W13" i="36"/>
  <c r="AC13" i="36"/>
  <c r="W24" i="36"/>
  <c r="AC24" i="36"/>
  <c r="AZ542" i="3"/>
  <c r="AZ484" i="3"/>
  <c r="AZ502" i="3"/>
  <c r="AA46" i="33"/>
  <c r="S46" i="33"/>
  <c r="AC42" i="21"/>
  <c r="W42" i="21"/>
  <c r="H5" i="3"/>
  <c r="BA572" i="3"/>
  <c r="AZ572" i="3" s="1"/>
  <c r="AB9" i="33"/>
  <c r="U9" i="33"/>
  <c r="AA33" i="33"/>
  <c r="S33" i="33"/>
  <c r="AB38" i="33"/>
  <c r="U38" i="33"/>
  <c r="J9" i="33"/>
  <c r="F9" i="33"/>
  <c r="AA9" i="33" s="1"/>
  <c r="F28" i="34"/>
  <c r="J28" i="34"/>
  <c r="H45" i="33"/>
  <c r="J45" i="33"/>
  <c r="H12" i="35"/>
  <c r="J12" i="35"/>
  <c r="AC24" i="35"/>
  <c r="W24" i="35"/>
  <c r="J35" i="35"/>
  <c r="H35" i="35"/>
  <c r="AA10" i="36"/>
  <c r="S10" i="36"/>
  <c r="AC22" i="36"/>
  <c r="W22" i="36"/>
  <c r="J26" i="37"/>
  <c r="F26" i="37"/>
  <c r="AA26" i="37" s="1"/>
  <c r="H26" i="37"/>
  <c r="AB26" i="37" s="1"/>
  <c r="H40" i="37"/>
  <c r="F40" i="37"/>
  <c r="AA40" i="37" s="1"/>
  <c r="J17" i="40"/>
  <c r="F86" i="40"/>
  <c r="G86" i="40" s="1"/>
  <c r="BA569" i="3"/>
  <c r="AZ569" i="3" s="1"/>
  <c r="BL564" i="3"/>
  <c r="AZ564" i="3" s="1"/>
  <c r="BL562" i="3"/>
  <c r="BA562" i="3"/>
  <c r="BA561" i="3"/>
  <c r="AZ561" i="3" s="1"/>
  <c r="BL559" i="3"/>
  <c r="BA559" i="3"/>
  <c r="AZ559" i="3" s="1"/>
  <c r="BA558" i="3"/>
  <c r="AZ558" i="3" s="1"/>
  <c r="BL557" i="3"/>
  <c r="AZ557" i="3" s="1"/>
  <c r="BL555" i="3"/>
  <c r="AZ555" i="3" s="1"/>
  <c r="BL546" i="3"/>
  <c r="AZ546" i="3" s="1"/>
  <c r="BL545" i="3"/>
  <c r="AZ545" i="3" s="1"/>
  <c r="BA544" i="3"/>
  <c r="AZ544" i="3" s="1"/>
  <c r="BA543" i="3"/>
  <c r="AZ543" i="3" s="1"/>
  <c r="BA536" i="3"/>
  <c r="AZ536" i="3" s="1"/>
  <c r="BA528" i="3"/>
  <c r="AZ528" i="3" s="1"/>
  <c r="BA521" i="3"/>
  <c r="AZ521" i="3" s="1"/>
  <c r="BA520" i="3"/>
  <c r="AZ520" i="3" s="1"/>
  <c r="BL511" i="3"/>
  <c r="AZ511" i="3" s="1"/>
  <c r="BL503" i="3"/>
  <c r="AZ503" i="3" s="1"/>
  <c r="BA493" i="3"/>
  <c r="AZ493" i="3" s="1"/>
  <c r="BA492" i="3"/>
  <c r="AZ492" i="3" s="1"/>
  <c r="BL491" i="3"/>
  <c r="AZ491" i="3" s="1"/>
  <c r="BL485" i="3"/>
  <c r="AZ485" i="3" s="1"/>
  <c r="BL13" i="3"/>
  <c r="BI5" i="3"/>
  <c r="G569" i="3"/>
  <c r="G564" i="3"/>
  <c r="G535" i="3"/>
  <c r="G528" i="3"/>
  <c r="G520" i="3"/>
  <c r="G511" i="3"/>
  <c r="G500" i="3"/>
  <c r="G490" i="3"/>
  <c r="G482" i="3"/>
  <c r="AZ393" i="3"/>
  <c r="AZ396" i="3"/>
  <c r="AZ406" i="3"/>
  <c r="AZ409" i="3"/>
  <c r="AZ412" i="3"/>
  <c r="AZ419" i="3"/>
  <c r="AZ425" i="3"/>
  <c r="AZ429" i="3"/>
  <c r="G15" i="3"/>
  <c r="G14" i="3"/>
  <c r="C18" i="9"/>
  <c r="AZ387" i="3"/>
  <c r="AZ216" i="3"/>
  <c r="AZ219" i="3"/>
  <c r="AZ232" i="3"/>
  <c r="AZ235" i="3"/>
  <c r="AZ248" i="3"/>
  <c r="AZ251" i="3"/>
  <c r="AZ264" i="3"/>
  <c r="AZ267" i="3"/>
  <c r="AZ271" i="3"/>
  <c r="AZ283" i="3"/>
  <c r="AZ287" i="3"/>
  <c r="A30" i="64"/>
  <c r="A30" i="51"/>
  <c r="AZ437" i="3"/>
  <c r="AZ457" i="3"/>
  <c r="AZ470" i="3"/>
  <c r="AZ473" i="3"/>
  <c r="AZ334" i="3"/>
  <c r="AZ350" i="3"/>
  <c r="AZ148" i="3"/>
  <c r="AZ176" i="3"/>
  <c r="AZ182" i="3"/>
  <c r="AZ190" i="3"/>
  <c r="AZ198" i="3"/>
  <c r="AZ22" i="3"/>
  <c r="AZ26" i="3"/>
  <c r="AZ38" i="3"/>
  <c r="AZ49" i="3"/>
  <c r="AZ54" i="3"/>
  <c r="AZ64" i="3"/>
  <c r="AZ155" i="3"/>
  <c r="AZ168" i="3"/>
  <c r="AZ67" i="3"/>
  <c r="D73" i="46"/>
  <c r="N73" i="46"/>
  <c r="G22" i="3"/>
  <c r="AZ76" i="3"/>
  <c r="AZ80" i="3"/>
  <c r="AZ83" i="3"/>
  <c r="AZ96" i="3"/>
  <c r="AZ100" i="3"/>
  <c r="AZ103" i="3"/>
  <c r="AZ105" i="3"/>
  <c r="AZ109" i="3"/>
  <c r="N86" i="46"/>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9" i="44"/>
  <c r="F43" i="68"/>
  <c r="F39" i="44"/>
  <c r="F8" i="44"/>
  <c r="F16" i="15"/>
  <c r="F40" i="15"/>
  <c r="F15" i="44"/>
  <c r="L48" i="68"/>
  <c r="M11" i="44"/>
  <c r="M28" i="15"/>
  <c r="M10" i="44"/>
  <c r="M28" i="44"/>
  <c r="F13" i="15"/>
  <c r="F43" i="44"/>
  <c r="M24" i="15"/>
  <c r="F36" i="15"/>
  <c r="F28" i="44"/>
  <c r="L48" i="70"/>
  <c r="M30" i="44"/>
  <c r="M26" i="44"/>
  <c r="L48" i="44"/>
  <c r="F9" i="15"/>
  <c r="F7" i="15"/>
  <c r="F37" i="15"/>
  <c r="F8" i="15"/>
  <c r="M24" i="44"/>
  <c r="M8" i="15"/>
  <c r="J36" i="15"/>
  <c r="F18" i="44"/>
  <c r="F40" i="44"/>
  <c r="F43" i="15"/>
  <c r="L47" i="15"/>
  <c r="M23" i="15"/>
  <c r="F7" i="68"/>
  <c r="M25" i="44"/>
  <c r="F42" i="15"/>
  <c r="F11" i="44"/>
  <c r="M6" i="15"/>
  <c r="F31" i="68"/>
  <c r="M31" i="44"/>
  <c r="F10" i="44"/>
  <c r="F38" i="15"/>
  <c r="M29" i="68"/>
  <c r="J15" i="15"/>
  <c r="M22" i="15"/>
  <c r="L48" i="15"/>
  <c r="F38" i="44"/>
  <c r="F6" i="15"/>
  <c r="F45" i="44"/>
  <c r="F26" i="15"/>
  <c r="J17" i="44"/>
  <c r="M9" i="15"/>
  <c r="M26" i="15"/>
  <c r="M8" i="44"/>
  <c r="M29" i="15"/>
  <c r="F9" i="44"/>
  <c r="S42" i="33" l="1"/>
  <c r="J25" i="33"/>
  <c r="W25" i="33" s="1"/>
  <c r="H25" i="33"/>
  <c r="AB25" i="33" s="1"/>
  <c r="U25" i="33"/>
  <c r="AC25" i="33"/>
  <c r="C19" i="70"/>
  <c r="C20" i="70" s="1"/>
  <c r="C26" i="70" s="1"/>
  <c r="F61" i="70"/>
  <c r="C61" i="70" s="1"/>
  <c r="C34" i="70"/>
  <c r="F59" i="70"/>
  <c r="C59" i="70" s="1"/>
  <c r="C32" i="70"/>
  <c r="AA32" i="33"/>
  <c r="S32" i="33"/>
  <c r="W32" i="33"/>
  <c r="AB32" i="33"/>
  <c r="U32" i="33"/>
  <c r="L56" i="70"/>
  <c r="J57" i="70"/>
  <c r="J55" i="70" s="1"/>
  <c r="J58" i="70" s="1"/>
  <c r="Q51" i="70" s="1"/>
  <c r="J59" i="70"/>
  <c r="L60" i="70"/>
  <c r="Q58" i="70" s="1"/>
  <c r="L58" i="70"/>
  <c r="Q61" i="70" s="1"/>
  <c r="J53" i="70"/>
  <c r="Q53" i="70" s="1"/>
  <c r="L57" i="70"/>
  <c r="I54" i="70"/>
  <c r="J60" i="70"/>
  <c r="Q49" i="70" s="1"/>
  <c r="Q75" i="70"/>
  <c r="Q62" i="70"/>
  <c r="C24" i="70"/>
  <c r="C23" i="70"/>
  <c r="AC23" i="21"/>
  <c r="AA15" i="21"/>
  <c r="L56" i="68"/>
  <c r="I54" i="68"/>
  <c r="J57" i="68"/>
  <c r="J55" i="68" s="1"/>
  <c r="J58" i="68" s="1"/>
  <c r="Q50" i="68" s="1"/>
  <c r="L58" i="68"/>
  <c r="F71" i="68"/>
  <c r="M7" i="68"/>
  <c r="F50" i="68"/>
  <c r="C6" i="68"/>
  <c r="C5" i="68" s="1"/>
  <c r="C16" i="46"/>
  <c r="C5" i="46" s="1"/>
  <c r="AP6" i="1"/>
  <c r="U40" i="37"/>
  <c r="AB40" i="37"/>
  <c r="U35" i="35"/>
  <c r="AB35" i="35"/>
  <c r="W12" i="35"/>
  <c r="AC12" i="35"/>
  <c r="W45" i="33"/>
  <c r="AC45" i="33"/>
  <c r="W28" i="34"/>
  <c r="AC28" i="34"/>
  <c r="U36" i="35"/>
  <c r="AB36" i="35"/>
  <c r="U27" i="33"/>
  <c r="AB27" i="33"/>
  <c r="W45" i="21"/>
  <c r="AC45" i="21"/>
  <c r="U13" i="21"/>
  <c r="AB13" i="21"/>
  <c r="M6" i="1"/>
  <c r="C15" i="43" s="1"/>
  <c r="AZ562" i="3"/>
  <c r="AC26" i="37"/>
  <c r="W26" i="37"/>
  <c r="AC35" i="35"/>
  <c r="W35" i="35"/>
  <c r="U45" i="33"/>
  <c r="AB45" i="33"/>
  <c r="S28" i="34"/>
  <c r="AA28" i="34"/>
  <c r="AC9" i="33"/>
  <c r="W9" i="33"/>
  <c r="AC36" i="35"/>
  <c r="W36" i="35"/>
  <c r="S27" i="33"/>
  <c r="AA27" i="33"/>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30" i="6" s="1"/>
  <c r="F28" i="6"/>
  <c r="Q73" i="44"/>
  <c r="C10" i="15"/>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T48" i="33" s="1"/>
  <c r="G48" i="33" s="1"/>
  <c r="D67" i="40"/>
  <c r="E65" i="40"/>
  <c r="S7" i="33"/>
  <c r="AA7" i="33"/>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F31" i="15"/>
  <c r="F58" i="15"/>
  <c r="M17" i="15"/>
  <c r="F33" i="44"/>
  <c r="M19" i="44"/>
  <c r="F41" i="68"/>
  <c r="AE7" i="1"/>
  <c r="F41" i="15"/>
  <c r="C18" i="44"/>
  <c r="F46" i="44"/>
  <c r="M17" i="68"/>
  <c r="C16" i="15"/>
  <c r="C16" i="68"/>
  <c r="F59" i="68"/>
  <c r="V48" i="33" l="1"/>
  <c r="I48" i="33" s="1"/>
  <c r="I52" i="33" s="1"/>
  <c r="J52" i="33" s="1"/>
  <c r="R48" i="33"/>
  <c r="Q74" i="70"/>
  <c r="L46" i="70"/>
  <c r="Q67" i="70"/>
  <c r="F1" i="70"/>
  <c r="C29" i="70"/>
  <c r="J19" i="70" s="1"/>
  <c r="J17" i="70" s="1"/>
  <c r="O6" i="1"/>
  <c r="P6" i="1" s="1"/>
  <c r="C15" i="12" s="1"/>
  <c r="K105" i="46"/>
  <c r="F107" i="46"/>
  <c r="C105" i="46"/>
  <c r="K104" i="46"/>
  <c r="J109" i="46"/>
  <c r="J105" i="46"/>
  <c r="C49" i="68"/>
  <c r="C48" i="68" s="1"/>
  <c r="Q73" i="68"/>
  <c r="Q60" i="68"/>
  <c r="K107" i="46"/>
  <c r="F103" i="46"/>
  <c r="F106" i="46"/>
  <c r="C107" i="46"/>
  <c r="C104" i="46"/>
  <c r="J107" i="46"/>
  <c r="C29" i="46"/>
  <c r="E29" i="46" s="1"/>
  <c r="C38" i="68"/>
  <c r="C32" i="68"/>
  <c r="J6" i="68"/>
  <c r="J5"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D12" i="1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E67" i="40"/>
  <c r="F65" i="40"/>
  <c r="E72" i="39"/>
  <c r="F70" i="39"/>
  <c r="E39" i="46"/>
  <c r="C5" i="15"/>
  <c r="I53" i="34"/>
  <c r="J53" i="34" s="1"/>
  <c r="Q61" i="15"/>
  <c r="Q62" i="15"/>
  <c r="Q53" i="15"/>
  <c r="C48" i="15"/>
  <c r="C20" i="11"/>
  <c r="C21" i="11" s="1"/>
  <c r="C22" i="11" s="1"/>
  <c r="C23" i="11" s="1"/>
  <c r="B2" i="11" s="1"/>
  <c r="AC12" i="40"/>
  <c r="W12" i="40"/>
  <c r="E46" i="37"/>
  <c r="F46" i="37" s="1"/>
  <c r="M29" i="44"/>
  <c r="M27" i="68"/>
  <c r="L52" i="44"/>
  <c r="AE8" i="1"/>
  <c r="M27" i="15"/>
  <c r="F7" i="67"/>
  <c r="B72" i="63" l="1"/>
  <c r="B70" i="63"/>
  <c r="G53" i="33"/>
  <c r="H53" i="33" s="1"/>
  <c r="R49" i="33"/>
  <c r="C33" i="70"/>
  <c r="C31" i="70" s="1"/>
  <c r="C36" i="70"/>
  <c r="C13" i="70"/>
  <c r="Q71" i="70" s="1"/>
  <c r="Q50" i="70"/>
  <c r="C56" i="70"/>
  <c r="C60" i="70" s="1"/>
  <c r="C58" i="70" s="1"/>
  <c r="J14" i="70"/>
  <c r="J13" i="70" s="1"/>
  <c r="J23" i="70" s="1"/>
  <c r="C63" i="70"/>
  <c r="J22" i="70"/>
  <c r="AB12" i="39"/>
  <c r="S5" i="46"/>
  <c r="T5" i="46" s="1"/>
  <c r="V5" i="46" s="1"/>
  <c r="S2" i="46"/>
  <c r="T2" i="46" s="1"/>
  <c r="V2" i="46" s="1"/>
  <c r="S3" i="46"/>
  <c r="T3" i="46" s="1"/>
  <c r="V3" i="46" s="1"/>
  <c r="S6" i="46"/>
  <c r="T6" i="46" s="1"/>
  <c r="V6" i="46" s="1"/>
  <c r="S7" i="46"/>
  <c r="T7" i="46" s="1"/>
  <c r="V7" i="46" s="1"/>
  <c r="S4" i="46"/>
  <c r="T4" i="46" s="1"/>
  <c r="V4" i="46" s="1"/>
  <c r="J24" i="68"/>
  <c r="J26" i="68"/>
  <c r="J29" i="68" s="1"/>
  <c r="J18"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E7" i="67"/>
  <c r="C19" i="44"/>
  <c r="C14" i="68"/>
  <c r="F41" i="70"/>
  <c r="C17" i="15"/>
  <c r="C17" i="68"/>
  <c r="C49" i="33" l="1"/>
  <c r="B3" i="33" s="1"/>
  <c r="C48" i="33"/>
  <c r="R24" i="31" s="1"/>
  <c r="C37" i="70"/>
  <c r="C30" i="70" s="1"/>
  <c r="C39" i="70" s="1"/>
  <c r="J29" i="70"/>
  <c r="F68" i="70"/>
  <c r="C55" i="70"/>
  <c r="C64" i="70" s="1"/>
  <c r="C57" i="70" s="1"/>
  <c r="C66" i="70" s="1"/>
  <c r="J35" i="70"/>
  <c r="J16" i="70"/>
  <c r="J25" i="70" s="1"/>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L51" i="70"/>
  <c r="S24" i="31" l="1"/>
  <c r="R26" i="31"/>
  <c r="S26" i="31" s="1"/>
  <c r="R25" i="31"/>
  <c r="S25" i="31" s="1"/>
  <c r="R27" i="31"/>
  <c r="S27" i="31" s="1"/>
  <c r="B2" i="33"/>
  <c r="Q70" i="70"/>
  <c r="Q69" i="70" s="1"/>
  <c r="C40" i="70"/>
  <c r="Q66" i="70" s="1"/>
  <c r="Q76" i="70" s="1"/>
  <c r="J39" i="70"/>
  <c r="J40" i="70" s="1"/>
  <c r="C67" i="70"/>
  <c r="C46" i="70" s="1"/>
  <c r="Q68" i="70"/>
  <c r="C70" i="70"/>
  <c r="C19" i="68"/>
  <c r="C20" i="68" s="1"/>
  <c r="C26" i="68" s="1"/>
  <c r="E68" i="39"/>
  <c r="E63" i="40"/>
  <c r="B2" i="67"/>
  <c r="B4" i="46"/>
  <c r="B3" i="46"/>
  <c r="T10" i="1"/>
  <c r="T9" i="1"/>
  <c r="T6" i="1"/>
  <c r="T11" i="1"/>
  <c r="T8" i="1"/>
  <c r="T12" i="1"/>
  <c r="O16" i="1"/>
  <c r="P14" i="1"/>
  <c r="P16" i="1" s="1"/>
  <c r="C13" i="12" s="1"/>
  <c r="C13" i="43"/>
  <c r="L16" i="1"/>
  <c r="B27" i="1" s="1"/>
  <c r="N16" i="1"/>
  <c r="C29" i="43" s="1"/>
  <c r="D22" i="12"/>
  <c r="D13" i="1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8" i="12" s="1"/>
  <c r="C49" i="21"/>
  <c r="B3" i="21" s="1"/>
  <c r="B2" i="21" s="1"/>
  <c r="C10" i="12" s="1"/>
  <c r="I53" i="21"/>
  <c r="J53" i="21" s="1"/>
  <c r="I70" i="39"/>
  <c r="H72" i="39"/>
  <c r="I65" i="40"/>
  <c r="H67" i="40"/>
  <c r="C14" i="15"/>
  <c r="C16" i="44"/>
  <c r="B28" i="1" l="1"/>
  <c r="E21" i="12"/>
  <c r="C21" i="12" s="1"/>
  <c r="E12" i="11"/>
  <c r="C12" i="11" s="1"/>
  <c r="S22" i="31"/>
  <c r="J42" i="70"/>
  <c r="J43" i="70" s="1"/>
  <c r="C43" i="70"/>
  <c r="Q57" i="70"/>
  <c r="Q63" i="70" s="1"/>
  <c r="B2" i="70"/>
  <c r="E10" i="12" s="1"/>
  <c r="Q48" i="70"/>
  <c r="Q54" i="70" s="1"/>
  <c r="B3" i="70"/>
  <c r="E8" i="12" s="1"/>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F35" i="68"/>
  <c r="M21" i="68"/>
  <c r="F37" i="44"/>
  <c r="M21" i="15"/>
  <c r="E22" i="12" l="1"/>
  <c r="C22" i="12" s="1"/>
  <c r="C20" i="12" s="1"/>
  <c r="E13" i="11"/>
  <c r="C13" i="11" s="1"/>
  <c r="D10" i="12"/>
  <c r="B20" i="31"/>
  <c r="R22" i="31"/>
  <c r="J20" i="68"/>
  <c r="C34" i="68"/>
  <c r="F63" i="68"/>
  <c r="C62" i="68" s="1"/>
  <c r="C57" i="68"/>
  <c r="C33" i="68"/>
  <c r="Q49" i="68"/>
  <c r="J19" i="68"/>
  <c r="J17" i="68" s="1"/>
  <c r="J14" i="68"/>
  <c r="C13" i="68"/>
  <c r="C36" i="68"/>
  <c r="J59" i="68"/>
  <c r="J60"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B21" i="31" l="1"/>
  <c r="D8" i="12"/>
  <c r="C31" i="68"/>
  <c r="J22" i="68"/>
  <c r="J13" i="68"/>
  <c r="J23" i="68" s="1"/>
  <c r="C64" i="68"/>
  <c r="C61" i="68"/>
  <c r="C59" i="68" s="1"/>
  <c r="Q48" i="68"/>
  <c r="C75" i="68"/>
  <c r="C37" i="68"/>
  <c r="C56" i="68"/>
  <c r="C65" i="68" s="1"/>
  <c r="Q70" i="68"/>
  <c r="C28" i="44"/>
  <c r="C31" i="44" s="1"/>
  <c r="C35" i="44" s="1"/>
  <c r="I5" i="6"/>
  <c r="C26" i="15"/>
  <c r="C29" i="15" s="1"/>
  <c r="J59" i="15" s="1"/>
  <c r="J60" i="15" s="1"/>
  <c r="Q49" i="15" s="1"/>
  <c r="C23" i="12"/>
  <c r="C19" i="43"/>
  <c r="C22" i="43" s="1"/>
  <c r="C21" i="43" s="1"/>
  <c r="K67" i="40"/>
  <c r="L65" i="40"/>
  <c r="K72" i="39"/>
  <c r="L70" i="39"/>
  <c r="C30" i="68" l="1"/>
  <c r="C39" i="68" s="1"/>
  <c r="C40" i="68" s="1"/>
  <c r="J16" i="68"/>
  <c r="J25" i="68" s="1"/>
  <c r="Q69" i="68"/>
  <c r="Q68"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C80" i="68" l="1"/>
  <c r="C79" i="68" s="1"/>
  <c r="Q67" i="68"/>
  <c r="L57" i="68"/>
  <c r="L60" i="68" s="1"/>
  <c r="L46" i="68" s="1"/>
  <c r="D2" i="68" s="1"/>
  <c r="Q65" i="68"/>
  <c r="Q47" i="68"/>
  <c r="Q53" i="68" s="1"/>
  <c r="Q56" i="68"/>
  <c r="C43" i="68"/>
  <c r="C83" i="68"/>
  <c r="C82" i="68" s="1"/>
  <c r="C71" i="68"/>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66" i="68" l="1"/>
  <c r="Q57" i="68"/>
  <c r="Q62" i="68" s="1"/>
  <c r="B3" i="68"/>
  <c r="B2" i="68"/>
  <c r="Q75" i="68"/>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D21" i="9"/>
  <c r="D19" i="9"/>
  <c r="B5" i="12" l="1"/>
  <c r="B3" i="12"/>
  <c r="D22" i="9"/>
  <c r="L44" i="9"/>
  <c r="G19" i="9"/>
  <c r="G22" i="9" s="1"/>
  <c r="G21" i="9"/>
  <c r="D20" i="9"/>
  <c r="G20" i="9" l="1"/>
  <c r="C32" i="9"/>
  <c r="C45" i="9" s="1"/>
  <c r="H14" i="66" s="1"/>
  <c r="B7" i="66" s="1"/>
  <c r="N43" i="9"/>
  <c r="C44" i="9"/>
  <c r="G14" i="66" s="1"/>
  <c r="B6" i="66" s="1"/>
  <c r="F45" i="9" l="1"/>
  <c r="O40" i="9"/>
  <c r="K31" i="9" s="1"/>
  <c r="K32" i="9" s="1"/>
  <c r="E45" i="9"/>
  <c r="C7" i="66"/>
  <c r="D7" i="66"/>
  <c r="D45" i="9"/>
  <c r="C42" i="9"/>
  <c r="C34" i="9"/>
  <c r="O43" i="9"/>
  <c r="O38" i="9"/>
  <c r="C33" i="9"/>
  <c r="C35" i="9"/>
  <c r="F42" i="9" s="1"/>
  <c r="D6" i="66"/>
  <c r="C6" i="66"/>
  <c r="N69" i="9"/>
  <c r="O39" i="9"/>
  <c r="K29" i="9" s="1"/>
  <c r="D44" i="9"/>
  <c r="E44" i="9"/>
  <c r="F44" i="9"/>
  <c r="R7" i="54" l="1"/>
  <c r="K25" i="9"/>
  <c r="K26" i="9"/>
  <c r="E42" i="9"/>
  <c r="P5" i="54" s="1"/>
  <c r="M38" i="9"/>
  <c r="K27" i="9" s="1"/>
  <c r="D42" i="9"/>
  <c r="Q5" i="54" s="1"/>
  <c r="N38" i="9"/>
  <c r="K28" i="9" s="1"/>
  <c r="R5" i="54"/>
  <c r="D63" i="9"/>
  <c r="D14" i="66"/>
  <c r="N68" i="9"/>
  <c r="M86" i="9"/>
  <c r="N86" i="9" s="1"/>
  <c r="M84" i="9"/>
  <c r="N84" i="9" s="1"/>
  <c r="M88" i="9"/>
  <c r="N88" i="9" s="1"/>
  <c r="M87" i="9"/>
  <c r="N87" i="9" s="1"/>
  <c r="M85" i="9"/>
  <c r="N85" i="9" s="1"/>
  <c r="M83" i="9"/>
  <c r="N83" i="9" s="1"/>
  <c r="K30" i="9"/>
  <c r="R6" i="54"/>
  <c r="B50" i="63" s="1"/>
  <c r="B48" i="63" l="1"/>
  <c r="B47" i="63"/>
  <c r="B46" i="63"/>
  <c r="B52" i="63"/>
  <c r="C111" i="9"/>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F14" i="66"/>
  <c r="E14" i="66"/>
  <c r="B5" i="66"/>
  <c r="N89" i="9"/>
  <c r="C115" i="9"/>
  <c r="D76" i="9" s="1"/>
  <c r="D74" i="9" s="1"/>
  <c r="N74" i="9" s="1"/>
  <c r="C99" i="9"/>
  <c r="C5" i="66" l="1"/>
  <c r="D5" i="66"/>
  <c r="O89" i="9"/>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<sst xmlns="http://schemas.openxmlformats.org/spreadsheetml/2006/main" count="8306" uniqueCount="3521">
  <si>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</si>
  <si>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</si>
  <si>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</si>
  <si>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</si>
  <si>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</si>
  <si>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</si>
  <si>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</si>
  <si>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</si>
  <si>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</si>
  <si>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</si>
  <si>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</si>
  <si>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</si>
  <si>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</si>
  <si>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</si>
  <si>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</si>
  <si>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</si>
  <si>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</si>
  <si>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</si>
  <si>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</si>
  <si>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</si>
  <si>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</si>
  <si>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</si>
  <si>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</si>
  <si>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</si>
  <si>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</si>
  <si>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</si>
  <si>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</si>
  <si>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</si>
  <si>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</si>
  <si>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</si>
  <si>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</si>
  <si>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</si>
  <si>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</si>
  <si>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</si>
  <si>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</si>
  <si>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</si>
  <si>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</si>
  <si>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</si>
  <si>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</si>
  <si>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</si>
  <si>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</si>
  <si>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</si>
  <si>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</si>
  <si>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</si>
  <si>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</si>
  <si>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</si>
  <si>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</si>
  <si>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</si>
  <si>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</si>
  <si>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</si>
  <si>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</si>
  <si>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</si>
  <si>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</si>
  <si>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</si>
  <si>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</si>
  <si>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</si>
  <si>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</si>
  <si>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</si>
  <si>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</si>
  <si>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</si>
  <si>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</si>
  <si>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</si>
  <si>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</si>
  <si>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</si>
  <si>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</si>
  <si>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</si>
  <si>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</si>
  <si>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</si>
  <si>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</si>
  <si>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</si>
  <si>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</si>
  <si>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</si>
  <si>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</si>
  <si>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</si>
  <si>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</si>
  <si>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</si>
  <si>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</si>
  <si>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</si>
  <si>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</si>
  <si>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</si>
  <si>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</si>
  <si>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</si>
  <si>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</si>
  <si>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</si>
  <si>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</si>
  <si>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</si>
  <si>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</si>
  <si>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</si>
  <si>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</si>
  <si>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</si>
  <si>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</si>
  <si>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</si>
  <si>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</si>
  <si>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</si>
  <si>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</si>
  <si>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</si>
  <si>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</si>
  <si>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</si>
  <si>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</si>
  <si>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</si>
  <si>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</si>
  <si>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</si>
  <si>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</si>
  <si>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</si>
  <si>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</si>
  <si>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</si>
  <si>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</si>
  <si>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</si>
  <si>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</si>
  <si>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</si>
  <si>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</si>
  <si>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</si>
  <si>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</si>
  <si>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</si>
  <si>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</si>
  <si>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</si>
  <si>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</si>
  <si>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</si>
  <si>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</si>
  <si>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</si>
  <si>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</si>
  <si>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</si>
  <si>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</si>
  <si>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</si>
  <si>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</si>
  <si>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</si>
  <si>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</si>
  <si>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</si>
  <si>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</si>
  <si>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</si>
  <si>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</si>
  <si>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</si>
  <si>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</si>
  <si>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</si>
  <si>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</si>
  <si>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</si>
  <si>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</si>
  <si>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</si>
  <si>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</si>
  <si>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</si>
  <si>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</si>
  <si>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</si>
  <si>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</si>
  <si>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</si>
  <si>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</si>
  <si>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</si>
  <si>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</si>
  <si>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</si>
  <si>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</si>
  <si>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</si>
  <si>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</si>
  <si>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</si>
  <si>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</si>
  <si>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</si>
  <si>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</si>
  <si>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</si>
  <si>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</si>
  <si>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</si>
  <si>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</si>
  <si>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</si>
  <si>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</si>
  <si>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</si>
  <si>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</si>
  <si>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</si>
  <si>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</si>
  <si>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</si>
  <si>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</si>
  <si>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</si>
  <si>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</si>
  <si>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</si>
  <si>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</si>
  <si>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</si>
  <si>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</si>
  <si>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</si>
  <si>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</si>
  <si>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</si>
  <si>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</si>
  <si>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</si>
  <si>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</si>
  <si>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</si>
  <si>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</si>
  <si>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</si>
  <si>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</si>
  <si>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</si>
  <si>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</si>
  <si>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</si>
  <si>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</si>
  <si>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</si>
  <si>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</si>
  <si>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</si>
  <si>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</si>
  <si>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</si>
  <si>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</si>
  <si>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</si>
  <si>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</si>
  <si>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</si>
  <si>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</si>
  <si>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</si>
  <si>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</si>
  <si>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</si>
  <si>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</si>
  <si>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</si>
  <si>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</si>
  <si>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</si>
  <si>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</si>
  <si>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</si>
  <si>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</si>
  <si>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</si>
  <si>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</si>
  <si>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</si>
  <si>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</si>
  <si>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</si>
  <si>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</si>
  <si>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</si>
  <si>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</si>
  <si>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</si>
  <si>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</si>
  <si>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</si>
  <si>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</si>
  <si>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</si>
  <si>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</si>
  <si>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</si>
  <si>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</si>
  <si>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</si>
  <si>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</si>
  <si>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</si>
  <si>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</si>
  <si>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</si>
  <si>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</si>
  <si>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</si>
  <si>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</si>
  <si>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</si>
  <si>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</si>
  <si>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</si>
  <si>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</si>
  <si>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</si>
  <si>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</si>
  <si>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</si>
  <si>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</si>
  <si>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</si>
  <si>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</si>
  <si>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</si>
  <si>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</si>
  <si>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</si>
  <si>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</si>
  <si>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</si>
  <si>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</si>
  <si>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</si>
  <si>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</si>
  <si>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</si>
  <si>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</si>
  <si>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</si>
  <si>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</si>
  <si>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</si>
  <si>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</si>
  <si>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</si>
  <si>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</si>
  <si>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</si>
  <si>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</si>
  <si>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</si>
  <si>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</si>
  <si>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</si>
  <si>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</si>
  <si>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</si>
  <si>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</si>
  <si>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</si>
  <si>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</si>
  <si>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</si>
  <si>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</si>
  <si>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</si>
  <si>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</si>
  <si>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</si>
  <si>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</si>
  <si>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</si>
  <si>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</si>
  <si>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</si>
  <si>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</si>
  <si>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</si>
  <si>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</si>
  <si>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</si>
  <si>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</si>
  <si>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</si>
  <si>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</si>
  <si>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</si>
  <si>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</si>
  <si>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</si>
  <si>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</si>
  <si>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</si>
  <si>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</si>
  <si>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</si>
  <si>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</si>
  <si>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</si>
  <si>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</si>
  <si>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</si>
  <si>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</si>
  <si>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</si>
  <si>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</si>
  <si>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</si>
  <si>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</si>
  <si>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</si>
  <si>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</si>
  <si>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</si>
  <si>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</si>
  <si>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</si>
  <si>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</si>
  <si>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</si>
  <si>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</si>
  <si>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</si>
  <si>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</si>
  <si>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</si>
  <si>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</si>
  <si>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</si>
  <si>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</si>
  <si>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</si>
  <si>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</si>
  <si>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</si>
  <si>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</si>
  <si>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</si>
  <si>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</si>
  <si>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</si>
  <si>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</si>
  <si>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</si>
  <si>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</si>
  <si>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</si>
  <si>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</si>
  <si>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</si>
  <si>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</si>
  <si>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</si>
  <si>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</si>
  <si>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</si>
  <si>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</si>
  <si>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</si>
  <si>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</si>
  <si>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</si>
  <si>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</si>
  <si>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</si>
  <si>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</si>
  <si>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</si>
  <si>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</si>
  <si>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</si>
  <si>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</si>
  <si>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</si>
  <si>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</si>
  <si>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</si>
  <si>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</si>
  <si>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</si>
  <si>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</si>
  <si>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</si>
  <si>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</si>
  <si>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</si>
  <si>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</si>
  <si>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</si>
  <si>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</si>
  <si>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</si>
  <si>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</si>
  <si>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</si>
  <si>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</si>
  <si>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</si>
  <si>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</si>
  <si>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</si>
  <si>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</si>
  <si>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</si>
  <si>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</si>
  <si>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</si>
  <si>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</si>
  <si>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</si>
  <si>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</si>
  <si>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</si>
  <si>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</si>
  <si>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</si>
  <si>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</si>
  <si>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</si>
  <si>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</si>
  <si>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</si>
  <si>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</si>
  <si>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</si>
  <si>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</si>
  <si>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</si>
  <si>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</si>
  <si>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</si>
  <si>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</si>
  <si>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</si>
  <si>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</si>
  <si>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</si>
  <si>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</si>
  <si>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</si>
  <si>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</si>
  <si>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</si>
  <si>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</si>
  <si>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</si>
  <si>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</si>
  <si>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</si>
  <si>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</si>
  <si>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</si>
  <si>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</si>
  <si>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</si>
  <si>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</si>
  <si>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</si>
  <si>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</si>
  <si>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</si>
  <si>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</si>
  <si>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</si>
  <si>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</si>
  <si>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</si>
  <si>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</si>
  <si>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</si>
  <si>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</si>
  <si>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</si>
  <si>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</si>
  <si>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</si>
  <si>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</si>
  <si>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</si>
  <si>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</si>
  <si>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</si>
  <si>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</si>
  <si>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</si>
  <si>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</si>
  <si>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</si>
  <si>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</si>
  <si>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</si>
  <si>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</si>
  <si>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</si>
  <si>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</si>
  <si>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</si>
  <si>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</si>
  <si>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</si>
  <si>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</si>
  <si>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</si>
  <si>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</si>
  <si>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</si>
  <si>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</si>
  <si>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</si>
  <si>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</si>
  <si>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</si>
  <si>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</si>
  <si>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</si>
  <si>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</si>
  <si>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</si>
  <si>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</si>
  <si>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</si>
  <si>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</si>
  <si>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</si>
  <si>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</si>
  <si>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</si>
  <si>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</si>
  <si>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</si>
  <si>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</si>
  <si>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</si>
  <si>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</si>
  <si>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</si>
  <si>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</si>
  <si>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</si>
  <si>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</si>
  <si>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</si>
  <si>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</si>
  <si>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</si>
  <si>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</si>
  <si>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</si>
  <si>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</si>
  <si>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</si>
  <si>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</si>
  <si>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</si>
  <si>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</si>
  <si>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</si>
  <si>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</si>
  <si>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</si>
  <si>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</si>
  <si>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</si>
  <si>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</si>
  <si>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</si>
  <si>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</si>
  <si>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</si>
  <si>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</si>
  <si>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</si>
  <si>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</si>
  <si>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</si>
  <si>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</si>
  <si>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</si>
  <si>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</si>
  <si>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</si>
  <si>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</si>
  <si>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</si>
  <si>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</si>
  <si>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</si>
  <si>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</si>
  <si>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</si>
  <si>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</si>
  <si>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</si>
  <si>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</si>
  <si>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</si>
  <si>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</si>
  <si>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</si>
  <si>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</si>
  <si>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</si>
  <si>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</si>
  <si>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</si>
  <si>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</si>
  <si>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</si>
  <si>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</si>
  <si>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</si>
  <si>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</si>
  <si>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</si>
  <si>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</si>
  <si>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</si>
  <si>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</si>
  <si>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</si>
  <si>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</si>
  <si>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</si>
  <si>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</si>
  <si>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</si>
  <si>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</si>
  <si>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</si>
  <si>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</si>
  <si>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</si>
  <si>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</si>
  <si>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</si>
  <si>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</si>
  <si>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</si>
  <si>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</si>
  <si>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</si>
  <si>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</si>
  <si>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</si>
  <si>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</si>
  <si>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</si>
  <si>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</si>
  <si>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</si>
  <si>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</si>
  <si>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</si>
  <si>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</si>
  <si>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</si>
  <si>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</si>
  <si>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</si>
  <si>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</si>
  <si>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</si>
  <si>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</si>
  <si>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</si>
  <si>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</si>
  <si>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</si>
  <si>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</si>
  <si>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</si>
  <si>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</si>
  <si>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</si>
  <si>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</si>
  <si>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</si>
  <si>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</si>
  <si>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</si>
  <si>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</si>
  <si>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</si>
  <si>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</si>
  <si>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</si>
  <si>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</si>
  <si>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</si>
  <si>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</si>
  <si>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</si>
  <si>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</si>
  <si>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</si>
  <si>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</si>
  <si>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</si>
  <si>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</si>
  <si>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</si>
  <si>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</si>
  <si>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</si>
  <si>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</si>
  <si>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</si>
  <si>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</si>
  <si>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</si>
  <si>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</si>
  <si>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</si>
  <si>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</si>
  <si>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</si>
  <si>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</si>
  <si>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</si>
  <si>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</si>
  <si>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</si>
  <si>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</si>
  <si>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</si>
  <si>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</si>
  <si>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</si>
  <si>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</si>
  <si>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</si>
  <si>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</si>
  <si>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</si>
  <si>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</si>
  <si>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</si>
  <si>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</si>
  <si>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</si>
  <si>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</si>
  <si>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</si>
  <si>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</si>
  <si>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</si>
  <si>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</si>
  <si>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</si>
  <si>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</si>
  <si>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</si>
  <si>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</si>
  <si>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</si>
  <si>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</si>
  <si>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</si>
  <si>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</si>
  <si>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</si>
  <si>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</si>
  <si>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</si>
  <si>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</si>
  <si>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</si>
  <si>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</si>
  <si>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</si>
  <si>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</si>
  <si>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</si>
  <si>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</si>
  <si>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</si>
  <si>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</si>
  <si>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</si>
  <si>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</si>
  <si>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</si>
  <si>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</si>
  <si>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</si>
  <si>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</si>
  <si>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</si>
  <si>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</si>
  <si>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</si>
  <si>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</si>
  <si>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</si>
  <si>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</si>
  <si>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</si>
  <si>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</si>
  <si>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</si>
  <si>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</si>
  <si>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</si>
  <si>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</si>
  <si>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</si>
  <si>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</si>
  <si>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</si>
  <si>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</si>
  <si>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</si>
  <si>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</si>
  <si>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</si>
  <si>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</si>
  <si>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</si>
  <si>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</si>
  <si>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</si>
  <si>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</si>
  <si>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</si>
  <si>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</si>
  <si>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</si>
  <si>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</si>
  <si>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</si>
  <si>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</si>
  <si>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</si>
  <si>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</si>
  <si>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</si>
  <si>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</si>
  <si>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</si>
  <si>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</si>
  <si>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</si>
  <si>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</si>
  <si>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</si>
  <si>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</si>
  <si>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</si>
  <si>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</si>
  <si>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</si>
  <si>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</si>
  <si>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</si>
  <si>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</si>
  <si>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</si>
  <si>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</si>
  <si>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</si>
  <si>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</si>
  <si>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</si>
  <si>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</si>
  <si>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</si>
  <si>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</si>
  <si>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</si>
  <si>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</si>
  <si>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</si>
  <si>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</si>
  <si>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</si>
  <si>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</si>
  <si>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</si>
  <si>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</si>
  <si>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</si>
  <si>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</si>
  <si>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</si>
  <si>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</si>
  <si>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</si>
  <si>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</si>
  <si>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</si>
  <si>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</si>
  <si>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</si>
  <si>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</si>
  <si>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</si>
  <si>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</si>
  <si>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</si>
  <si>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</si>
  <si>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</si>
  <si>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</si>
  <si>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</si>
  <si>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</si>
  <si>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</si>
  <si>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</si>
  <si>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</si>
  <si>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</si>
  <si>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</si>
  <si>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</si>
  <si>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</si>
  <si>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</si>
  <si>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</si>
  <si>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</si>
  <si>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</si>
  <si>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</si>
  <si>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</si>
  <si>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</si>
  <si>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</si>
  <si>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</si>
  <si>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</si>
  <si>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</si>
  <si>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</si>
  <si>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</si>
  <si>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</si>
  <si>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</si>
  <si>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</si>
  <si>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</si>
  <si>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</si>
  <si>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</si>
  <si>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</si>
  <si>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</si>
  <si>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</si>
  <si>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</si>
  <si>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</si>
  <si>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</si>
  <si>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</si>
  <si>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</si>
  <si>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</si>
  <si>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</si>
  <si>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</si>
  <si>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</si>
  <si>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</si>
  <si>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</si>
  <si>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</si>
  <si>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</si>
  <si>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</si>
  <si>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</si>
  <si>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</si>
  <si>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</si>
  <si>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</si>
  <si>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</si>
  <si>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</si>
  <si>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</si>
  <si>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</si>
  <si>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</si>
  <si>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</si>
  <si>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</si>
  <si>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</si>
  <si>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</si>
  <si>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</si>
  <si>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</si>
  <si>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</si>
  <si>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</si>
  <si>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</si>
  <si>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</si>
  <si>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</si>
  <si>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</si>
  <si>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</si>
  <si>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</si>
  <si>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</si>
  <si>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</si>
  <si>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</si>
  <si>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</si>
  <si>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</si>
  <si>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</si>
  <si>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</si>
  <si>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</si>
  <si>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</si>
  <si>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</si>
  <si>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</si>
  <si>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</si>
  <si>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</si>
  <si>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</si>
  <si>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</si>
  <si>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</si>
  <si>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</si>
  <si>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</si>
  <si>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</si>
  <si>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</si>
  <si>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</si>
  <si>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</si>
  <si>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</si>
  <si>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</si>
  <si>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</si>
  <si>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</si>
  <si>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</si>
  <si>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</si>
  <si>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</si>
  <si>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</si>
  <si>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</si>
  <si>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</si>
  <si>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</si>
  <si>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</si>
  <si>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</si>
  <si>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</si>
  <si>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</si>
  <si>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</si>
  <si>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</si>
  <si>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</si>
  <si>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</si>
  <si>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</si>
  <si>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</si>
  <si>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</si>
  <si>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</si>
  <si>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</si>
  <si>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</si>
  <si>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</si>
  <si>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</si>
  <si>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</si>
  <si>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</si>
  <si>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</si>
  <si>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</si>
  <si>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</si>
  <si>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</si>
  <si>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</si>
  <si>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</si>
  <si>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</si>
  <si>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</si>
  <si>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</si>
  <si>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</si>
  <si>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</si>
  <si>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</si>
  <si>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</si>
  <si>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</si>
  <si>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</si>
  <si>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</si>
  <si>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</si>
  <si>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</si>
  <si>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</si>
  <si>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</si>
  <si>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</si>
  <si>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</si>
  <si>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</si>
  <si>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</si>
  <si>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</si>
  <si>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</si>
  <si>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</si>
  <si>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</si>
  <si>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</si>
  <si>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</si>
  <si>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</si>
  <si>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</si>
  <si>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</si>
  <si>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</si>
  <si>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</si>
  <si>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</si>
  <si>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</si>
  <si>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</si>
  <si>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</si>
  <si>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</si>
  <si>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</si>
  <si>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</si>
  <si>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</si>
  <si>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</si>
  <si>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</si>
  <si>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</si>
  <si>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</si>
  <si>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</si>
  <si>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</si>
  <si>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</si>
  <si>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</si>
  <si>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</si>
  <si>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</si>
  <si>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</si>
  <si>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</si>
  <si>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</si>
  <si>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</si>
  <si>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</si>
  <si>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</si>
  <si>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</si>
  <si>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</si>
  <si>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</si>
  <si>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</si>
  <si>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</si>
  <si>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</si>
  <si>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</si>
  <si>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</si>
  <si>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</si>
  <si>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</si>
  <si>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</si>
  <si>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</si>
  <si>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</si>
  <si>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</si>
  <si>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</si>
  <si>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</si>
  <si>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</si>
  <si>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</si>
  <si>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</si>
  <si>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</si>
  <si>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</si>
  <si>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</si>
  <si>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</si>
  <si>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</si>
  <si>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</si>
  <si>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</si>
  <si>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</si>
  <si>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</si>
  <si>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</si>
  <si>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</si>
  <si>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</si>
  <si>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</si>
  <si>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</si>
  <si>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</si>
  <si>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</si>
  <si>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</si>
  <si>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</si>
  <si>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</si>
  <si>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</si>
  <si>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</si>
  <si>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</si>
  <si>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</si>
  <si>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</si>
  <si>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</si>
  <si>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</si>
  <si>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</si>
  <si>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</si>
  <si>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</si>
  <si>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</si>
  <si>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</si>
  <si>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</si>
  <si>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</si>
  <si>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</si>
  <si>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</si>
  <si>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</si>
  <si>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</si>
  <si>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</si>
  <si>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</si>
  <si>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</si>
  <si>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</si>
  <si>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</si>
  <si>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</si>
  <si>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</si>
  <si>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</si>
  <si>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</si>
  <si>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</si>
  <si>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</si>
  <si>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</si>
  <si>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</si>
  <si>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</si>
  <si>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</si>
  <si>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</si>
  <si>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</si>
  <si>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</si>
  <si>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</si>
  <si>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</si>
  <si>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</si>
  <si>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</si>
  <si>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</si>
  <si>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</si>
  <si>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</si>
  <si>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</si>
  <si>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</si>
  <si>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</si>
  <si>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</si>
  <si>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</si>
  <si>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</si>
  <si>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</si>
  <si>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</si>
  <si>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</si>
  <si>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</si>
  <si>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</si>
  <si>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</si>
  <si>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</si>
  <si>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</si>
  <si>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</si>
  <si>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</si>
  <si>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</si>
  <si>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</si>
  <si>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</si>
  <si>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</si>
  <si>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</si>
  <si>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</si>
  <si>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</si>
  <si>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</si>
  <si>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</si>
  <si>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</si>
  <si>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</si>
  <si>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</si>
  <si>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</si>
  <si>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</si>
  <si>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</si>
  <si>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</si>
  <si>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</si>
  <si>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</si>
  <si>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</si>
  <si>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</si>
  <si>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</si>
  <si>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</si>
  <si>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</si>
  <si>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</si>
  <si>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</si>
  <si>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</si>
  <si>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</si>
  <si>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</si>
  <si>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</si>
  <si>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</si>
  <si>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</si>
  <si>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</si>
  <si>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</si>
  <si>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</si>
  <si>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</si>
  <si>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</si>
  <si>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</si>
  <si>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</si>
  <si>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</si>
  <si>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</si>
  <si>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</si>
  <si>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</si>
  <si>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</si>
  <si>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</si>
  <si>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</si>
  <si>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</si>
  <si>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</si>
  <si>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</si>
  <si>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</si>
  <si>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</si>
  <si>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</si>
  <si>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</si>
  <si>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</si>
  <si>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</si>
  <si>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</si>
  <si>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</si>
  <si>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</si>
  <si>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</si>
  <si>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</si>
  <si>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</si>
  <si>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</si>
  <si>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</si>
  <si>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</si>
  <si>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</si>
  <si>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</si>
  <si>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</si>
  <si>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</si>
  <si>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</si>
  <si>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</si>
  <si>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</si>
  <si>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</si>
  <si>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</si>
  <si>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</si>
  <si>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</si>
  <si>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</si>
  <si>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</si>
  <si>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</si>
  <si>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</si>
  <si>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</si>
  <si>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</si>
  <si>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</si>
  <si>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</si>
  <si>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</si>
  <si>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</si>
  <si>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</si>
  <si>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</si>
  <si>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</si>
  <si>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</si>
  <si>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</si>
  <si>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</si>
  <si>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</si>
  <si>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</si>
  <si>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</si>
  <si>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</si>
  <si>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</si>
  <si>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</si>
  <si>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</si>
  <si>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</si>
  <si>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</si>
  <si>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</si>
  <si>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</si>
  <si>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</si>
  <si>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</si>
  <si>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</si>
  <si>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</si>
  <si>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</si>
  <si>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</si>
  <si>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</si>
  <si>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</si>
  <si>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</si>
  <si>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</si>
  <si>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</si>
  <si>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</si>
  <si>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</si>
  <si>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</si>
  <si>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</si>
  <si>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</si>
  <si>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</si>
  <si>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</si>
  <si>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</si>
  <si>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</si>
  <si>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</si>
  <si>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</si>
  <si>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</si>
  <si>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</si>
  <si>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</si>
  <si>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</si>
  <si>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</si>
  <si>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</si>
  <si>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</si>
  <si>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</si>
  <si>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</si>
  <si>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</si>
  <si>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</si>
  <si>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</si>
  <si>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</si>
  <si>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</si>
  <si>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</si>
  <si>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</si>
  <si>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</si>
  <si>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</si>
  <si>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</si>
  <si>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</si>
  <si>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</si>
  <si>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</si>
  <si>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</si>
  <si>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</si>
  <si>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</si>
  <si>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</si>
  <si>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</si>
  <si>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</si>
  <si>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</si>
  <si>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</si>
  <si>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</si>
  <si>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</si>
  <si>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</si>
  <si>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</si>
  <si>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</si>
  <si>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</si>
  <si>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</si>
  <si>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</si>
  <si>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</si>
  <si>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</si>
  <si>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</si>
  <si>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</si>
  <si>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</si>
  <si>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</si>
  <si>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</si>
  <si>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</si>
  <si>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</si>
  <si>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</si>
  <si>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</si>
  <si>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</si>
  <si>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</si>
  <si>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</si>
  <si>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</si>
  <si>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</si>
  <si>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</si>
  <si>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</si>
  <si>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</si>
  <si>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</si>
  <si>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</si>
  <si>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</si>
  <si>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</si>
  <si>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</si>
  <si>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</si>
  <si>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</si>
  <si>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</si>
  <si>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</si>
  <si>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</si>
  <si>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</si>
  <si>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</si>
  <si>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</si>
  <si>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</si>
  <si>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</si>
  <si>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</si>
  <si>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</si>
  <si>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</si>
  <si>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</si>
  <si>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</si>
  <si>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</si>
  <si>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</si>
  <si>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</si>
  <si>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</si>
  <si>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</si>
  <si>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</si>
  <si>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</si>
  <si>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</si>
  <si>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</si>
  <si>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</si>
  <si>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</si>
  <si>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</si>
  <si>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</si>
  <si>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</si>
  <si>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</si>
  <si>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</si>
  <si>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</si>
  <si>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</si>
  <si>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</si>
  <si>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</si>
  <si>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</si>
  <si>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</si>
  <si>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</si>
  <si>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</si>
  <si>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</si>
  <si>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</si>
  <si>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</si>
  <si>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</si>
  <si>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</si>
  <si>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</si>
  <si>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</si>
  <si>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</si>
  <si>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</si>
  <si>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</si>
  <si>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</si>
  <si>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</si>
  <si>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</si>
  <si>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</si>
  <si>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</si>
  <si>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</si>
  <si>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</si>
  <si>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</si>
  <si>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</si>
  <si>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</si>
  <si>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</si>
  <si>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</si>
  <si>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</si>
  <si>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</si>
  <si>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</si>
  <si>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</si>
  <si>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</si>
  <si>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</si>
  <si>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</si>
  <si>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</si>
  <si>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</si>
  <si>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</si>
  <si>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</si>
  <si>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</si>
  <si>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</si>
  <si>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</si>
  <si>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</si>
  <si>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</si>
  <si>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</si>
  <si>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</si>
  <si>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</si>
  <si>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</si>
  <si>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</si>
  <si>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</si>
  <si>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</si>
  <si>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</si>
  <si>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</si>
  <si>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</si>
  <si>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</si>
  <si>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</si>
  <si>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</si>
  <si>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</si>
  <si>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</si>
  <si>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</si>
  <si>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</si>
  <si>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</si>
  <si>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</si>
  <si>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</si>
  <si>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</si>
  <si>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</si>
  <si>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</si>
  <si>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</si>
  <si>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</si>
  <si>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</si>
  <si>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</si>
  <si>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</si>
  <si>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</si>
  <si>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</si>
  <si>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</si>
  <si>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</si>
  <si>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</si>
  <si>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</si>
  <si>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</si>
  <si>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</si>
  <si>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</si>
  <si>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</si>
  <si>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</si>
  <si>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</si>
  <si>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</si>
  <si>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</si>
  <si>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</si>
  <si>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</si>
  <si>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</si>
  <si>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</si>
  <si>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</si>
  <si>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</si>
  <si>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</si>
  <si>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</si>
  <si>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</si>
  <si>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</si>
  <si>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</si>
  <si>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</si>
  <si>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</si>
  <si>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</si>
  <si>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</si>
  <si>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</si>
  <si>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</si>
  <si>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</si>
  <si>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</si>
  <si>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</si>
  <si>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</si>
  <si>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</si>
  <si>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</si>
  <si>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</si>
  <si>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</si>
  <si>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</si>
  <si>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</si>
  <si>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</si>
  <si>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</si>
  <si>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</si>
  <si>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</si>
  <si>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</si>
  <si>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</si>
  <si>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</si>
  <si>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</si>
  <si>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</si>
  <si>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</si>
  <si>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</si>
  <si>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</si>
  <si>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</si>
  <si>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</si>
  <si>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</si>
  <si>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</si>
  <si>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</si>
  <si>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</si>
  <si>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</si>
  <si>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</si>
  <si>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</si>
  <si>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</si>
  <si>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</si>
  <si>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</si>
  <si>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</si>
  <si>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</si>
  <si>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</si>
  <si>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</si>
  <si>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</si>
  <si>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</si>
  <si>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</si>
  <si>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</si>
  <si>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</si>
  <si>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</si>
  <si>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</si>
  <si>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</si>
  <si>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</si>
  <si>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</si>
  <si>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</si>
  <si>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</si>
  <si>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</si>
  <si>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</si>
  <si>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</si>
  <si>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</si>
  <si>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</si>
  <si>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</si>
  <si>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</si>
  <si>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</si>
  <si>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</si>
  <si>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</si>
  <si>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</si>
  <si>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</si>
  <si>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</si>
  <si>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</si>
  <si>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</si>
  <si>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</si>
  <si>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</si>
  <si>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</si>
  <si>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</si>
  <si>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</si>
  <si>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</si>
  <si>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</si>
  <si>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</si>
  <si>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</si>
  <si>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</si>
  <si>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</si>
  <si>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</si>
  <si>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</si>
  <si>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</si>
  <si>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</si>
  <si>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</si>
  <si>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</si>
  <si>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</si>
  <si>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</si>
  <si>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</si>
  <si>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</si>
  <si>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</si>
  <si>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</si>
  <si>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</si>
  <si>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</si>
  <si>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</si>
  <si>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</si>
  <si>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</si>
  <si>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</si>
  <si>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</si>
  <si>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</si>
  <si>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</si>
  <si>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</si>
  <si>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</si>
  <si>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</si>
  <si>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</si>
  <si>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</si>
  <si>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</si>
  <si>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</si>
  <si>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</si>
  <si>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</si>
  <si>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</si>
  <si>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</si>
  <si>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</si>
  <si>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</si>
  <si>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</si>
  <si>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</si>
  <si>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</si>
  <si>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</si>
  <si>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</si>
  <si>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</si>
  <si>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</si>
  <si>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</si>
  <si>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</si>
  <si>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</si>
  <si>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</si>
  <si>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</si>
  <si>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</si>
  <si>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</si>
  <si>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</si>
  <si>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</si>
  <si>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</si>
  <si>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</si>
  <si>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</si>
  <si>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</si>
  <si>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</si>
  <si>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</si>
  <si>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</si>
  <si>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</si>
  <si>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</si>
  <si>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</si>
  <si>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</si>
  <si>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</si>
  <si>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</si>
  <si>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</si>
  <si>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</si>
  <si>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</si>
  <si>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</si>
  <si>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</si>
  <si>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</si>
  <si>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</si>
  <si>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</si>
  <si>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</si>
  <si>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</si>
  <si>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</si>
  <si>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</si>
  <si>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</si>
  <si>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</si>
  <si>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</si>
  <si>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</si>
  <si>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</si>
  <si>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</si>
  <si>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</si>
  <si>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</si>
  <si>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</si>
  <si>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</si>
  <si>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</si>
  <si>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</si>
  <si>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</si>
  <si>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</si>
  <si>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</si>
  <si>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</si>
  <si>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</si>
  <si>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</si>
  <si>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</si>
  <si>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</si>
  <si>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</si>
  <si>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</si>
  <si>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</si>
  <si>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</si>
  <si>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</si>
  <si>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</si>
  <si>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</si>
  <si>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</si>
  <si>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</si>
  <si>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</si>
  <si>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</si>
  <si>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</si>
  <si>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</si>
  <si>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</si>
  <si>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</si>
  <si>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</si>
  <si>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</si>
  <si>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</si>
  <si>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</si>
  <si>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</si>
  <si>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</si>
  <si>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</si>
  <si>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</si>
  <si>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</si>
  <si>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</si>
  <si>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</si>
  <si>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</si>
  <si>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</si>
  <si>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</si>
  <si>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</si>
  <si>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</si>
  <si>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</si>
  <si>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</si>
  <si>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</si>
  <si>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</si>
  <si>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</si>
  <si>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</si>
  <si>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</si>
  <si>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</si>
  <si>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</si>
  <si>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</si>
  <si>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</si>
  <si>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</si>
  <si>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</si>
  <si>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</si>
  <si>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</si>
  <si>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</si>
  <si>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</si>
  <si>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</si>
  <si>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</si>
  <si>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</si>
  <si>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</si>
  <si>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</si>
  <si>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</si>
  <si>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</si>
  <si>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</si>
  <si>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</si>
  <si>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</si>
  <si>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</si>
  <si>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</si>
  <si>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</si>
  <si>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</si>
  <si>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</si>
  <si>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</si>
  <si>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</si>
  <si>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</si>
  <si>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</si>
  <si>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</si>
  <si>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</si>
  <si>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</si>
  <si>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</si>
  <si>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</si>
  <si>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</si>
  <si>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</si>
  <si>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</si>
  <si>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</si>
  <si>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</si>
  <si>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</si>
  <si>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</si>
  <si>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</si>
  <si>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</si>
  <si>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</si>
  <si>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</si>
  <si>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</si>
  <si>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</si>
  <si>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</si>
  <si>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</si>
  <si>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</si>
  <si>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</si>
  <si>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</si>
  <si>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</si>
  <si>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</si>
  <si>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</si>
  <si>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</si>
  <si>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</si>
  <si>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</si>
  <si>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</si>
  <si>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</si>
  <si>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</si>
  <si>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</si>
  <si>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</si>
  <si>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</si>
  <si>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</si>
  <si>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</si>
  <si>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</si>
  <si>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</si>
  <si>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</si>
  <si>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</si>
  <si>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</si>
  <si>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</si>
  <si>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</si>
  <si>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</si>
  <si>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</si>
  <si>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</si>
  <si>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</si>
  <si>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</si>
  <si>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</si>
  <si>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</si>
  <si>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</si>
  <si>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</si>
  <si>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</si>
  <si>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</si>
  <si>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</si>
  <si>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</si>
  <si>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</si>
  <si>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</si>
  <si>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</si>
  <si>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</si>
  <si>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</si>
  <si>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</si>
  <si>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</si>
  <si>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</si>
  <si>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</si>
  <si>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</si>
  <si>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</si>
  <si>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</si>
  <si>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</si>
  <si>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</si>
  <si>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</si>
  <si>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</si>
  <si>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</si>
  <si>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</si>
  <si>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</si>
  <si>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</si>
  <si>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</si>
  <si>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</si>
  <si>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</si>
  <si>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</si>
  <si>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</si>
  <si>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</si>
  <si>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</si>
  <si>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</si>
  <si>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</si>
  <si>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</si>
  <si>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</si>
  <si>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</si>
  <si>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</si>
  <si>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</si>
  <si>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</si>
  <si>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</si>
  <si>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</si>
  <si>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</si>
  <si>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</si>
  <si>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</si>
  <si>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</si>
  <si>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</si>
  <si>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</si>
  <si>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</si>
  <si>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</si>
  <si>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</si>
  <si>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</si>
  <si>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</si>
  <si>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</si>
  <si>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</si>
  <si>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</si>
  <si>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</si>
  <si>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</si>
  <si>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</si>
  <si>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</si>
  <si>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</si>
  <si>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</si>
  <si>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</si>
  <si>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</si>
  <si>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</si>
  <si>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</si>
  <si>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</si>
  <si>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</si>
  <si>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</si>
  <si>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</si>
  <si>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</si>
  <si>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</si>
  <si>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</si>
  <si>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</si>
  <si>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</si>
  <si>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</si>
  <si>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</si>
  <si>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</si>
  <si>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</si>
  <si>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</si>
  <si>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</si>
  <si>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</si>
  <si>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</si>
  <si>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</si>
  <si>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</si>
  <si>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</si>
  <si>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</si>
  <si>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</si>
  <si>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</si>
  <si>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</si>
  <si>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</si>
  <si>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</si>
  <si>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</si>
  <si>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</si>
  <si>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</si>
  <si>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</si>
  <si>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</si>
  <si>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</si>
  <si>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</si>
  <si>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</si>
  <si>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</si>
  <si>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</si>
  <si>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</si>
  <si>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</si>
  <si>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</si>
  <si>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</si>
  <si>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</si>
  <si>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</si>
  <si>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</si>
  <si>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</si>
  <si>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</si>
  <si>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</si>
  <si>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</si>
  <si>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</si>
  <si>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</si>
  <si>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</si>
  <si>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</si>
  <si>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</si>
  <si>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</si>
  <si>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</si>
  <si>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</si>
  <si>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</si>
  <si>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</si>
  <si>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</si>
  <si>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</si>
  <si>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</si>
  <si>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</si>
  <si>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</si>
  <si>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</si>
  <si>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</si>
  <si>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</si>
  <si>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</si>
  <si>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</si>
  <si>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</si>
  <si>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</si>
  <si>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</si>
  <si>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</si>
  <si>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</si>
  <si>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</si>
  <si>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</si>
  <si>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</si>
  <si>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</si>
  <si>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</si>
  <si>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</si>
  <si>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</si>
  <si>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</si>
  <si>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</si>
  <si>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</si>
  <si>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</si>
  <si>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</si>
  <si>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</si>
  <si>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</si>
  <si>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</si>
  <si>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</si>
  <si>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</si>
  <si>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</si>
  <si>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</si>
  <si>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</si>
  <si>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</si>
  <si>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</si>
  <si>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</si>
  <si>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</si>
  <si>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</si>
  <si>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</si>
  <si>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</si>
  <si>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</si>
  <si>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</si>
  <si>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</si>
  <si>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</si>
  <si>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</si>
  <si>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</si>
  <si>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</si>
  <si>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</si>
  <si>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</si>
  <si>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</si>
  <si>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</si>
  <si>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</si>
  <si>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</si>
  <si>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</si>
  <si>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</si>
  <si>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</si>
  <si>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</si>
  <si>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</si>
  <si>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</si>
  <si>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</si>
  <si>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</si>
  <si>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</si>
  <si>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</si>
  <si>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</si>
  <si>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</si>
  <si>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</si>
  <si>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</si>
  <si>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</si>
  <si>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</si>
  <si>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</si>
  <si>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</si>
  <si>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</si>
  <si>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</si>
  <si>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</si>
  <si>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</si>
  <si>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</si>
  <si>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</si>
  <si>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</si>
  <si>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</si>
  <si>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</si>
  <si>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</si>
  <si>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</si>
  <si>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</si>
  <si>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</si>
  <si>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</si>
  <si>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</si>
  <si>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</si>
  <si>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</si>
  <si>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</si>
  <si>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</si>
  <si>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</si>
  <si>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</si>
  <si>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</si>
  <si>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</si>
  <si>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</si>
  <si>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</si>
  <si>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</si>
  <si>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</si>
  <si>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</si>
  <si>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</si>
  <si>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</si>
  <si>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</si>
  <si>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</si>
  <si>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</si>
  <si>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</si>
  <si>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</si>
  <si>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</si>
  <si>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</si>
  <si>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</si>
  <si>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</si>
  <si>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</si>
  <si>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</si>
  <si>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</si>
  <si>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</si>
  <si>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</si>
  <si>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</si>
  <si>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</si>
  <si>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</si>
  <si>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</si>
  <si>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</si>
  <si>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</si>
  <si>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</si>
  <si>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</si>
  <si>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</si>
  <si>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</si>
  <si>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</si>
  <si>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</si>
  <si>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</si>
  <si>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</si>
  <si>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</si>
  <si>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</si>
  <si>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</si>
  <si>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</si>
  <si>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</si>
  <si>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</si>
  <si>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</si>
  <si>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</si>
  <si>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</si>
  <si>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</si>
  <si>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</si>
  <si>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</si>
  <si>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</si>
  <si>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</si>
  <si>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</si>
  <si>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</si>
  <si>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</si>
  <si>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</si>
  <si>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</si>
  <si>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</si>
  <si>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</si>
  <si>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</si>
  <si>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</si>
  <si>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</si>
  <si>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</si>
  <si>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</si>
  <si>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</si>
  <si>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</si>
  <si>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</si>
  <si>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</si>
  <si>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</si>
  <si>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</si>
  <si>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</si>
  <si>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</si>
  <si>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</si>
  <si>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</si>
  <si>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</si>
  <si>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</si>
  <si>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</si>
  <si>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</si>
  <si>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</si>
  <si>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</si>
  <si>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</si>
  <si>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</si>
  <si>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</si>
  <si>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</si>
  <si>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</si>
  <si>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</si>
  <si>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</si>
  <si>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</si>
  <si>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</si>
  <si>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</si>
  <si>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</si>
  <si>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</si>
  <si>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</si>
  <si>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</si>
  <si>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</si>
  <si>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</si>
  <si>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</si>
  <si>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</si>
  <si>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</si>
  <si>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</si>
  <si>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</si>
  <si>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</si>
  <si>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</si>
  <si>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</si>
  <si>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</si>
  <si>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</si>
  <si>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</si>
  <si>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</si>
  <si>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</si>
  <si>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</si>
  <si>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</si>
  <si>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</si>
  <si>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</si>
  <si>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</si>
  <si>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</si>
  <si>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</si>
  <si>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</si>
  <si>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</si>
  <si>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</si>
  <si>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</si>
  <si>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</si>
  <si>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</si>
  <si>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</si>
  <si>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</si>
  <si>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</si>
  <si>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</si>
  <si>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</si>
  <si>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</si>
  <si>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</si>
  <si>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</si>
  <si>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</si>
  <si>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</si>
  <si>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</si>
  <si>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</si>
  <si>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</si>
  <si>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</si>
  <si>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</si>
  <si>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</si>
  <si>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</si>
  <si>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</si>
  <si>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</si>
  <si>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</si>
  <si>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</si>
  <si>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</si>
  <si>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</si>
  <si>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</si>
  <si>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</si>
  <si>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</si>
  <si>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</si>
  <si>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</si>
  <si>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</si>
  <si>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</si>
  <si>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</si>
  <si>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</si>
  <si>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</si>
  <si>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</si>
  <si>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</si>
  <si>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</si>
  <si>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</si>
  <si>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</si>
  <si>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</si>
  <si>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</si>
  <si>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</si>
  <si>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</si>
  <si>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</si>
  <si>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</si>
  <si>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</si>
  <si>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</si>
  <si>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</si>
  <si>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</si>
  <si>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</si>
  <si>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</si>
  <si>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</si>
  <si>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</si>
  <si>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</si>
  <si>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</si>
  <si>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</si>
  <si>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</si>
  <si>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</si>
  <si>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</si>
  <si>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</si>
  <si>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</si>
  <si>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</si>
  <si>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</si>
  <si>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</si>
  <si>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</si>
  <si>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</si>
  <si>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</si>
  <si>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</si>
  <si>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</si>
  <si>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</si>
  <si>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</si>
  <si>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</si>
  <si>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</si>
  <si>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</si>
  <si>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</si>
  <si>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</si>
  <si>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</si>
  <si>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</si>
  <si>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</si>
  <si>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</si>
  <si>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</si>
  <si>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</si>
  <si>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</si>
  <si>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</si>
  <si>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</si>
  <si>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</si>
  <si>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</si>
  <si>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</si>
  <si>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</si>
  <si>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</si>
  <si>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</si>
  <si>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</si>
  <si>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</si>
  <si>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</si>
  <si>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</si>
  <si>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</si>
  <si>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</si>
  <si>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</si>
  <si>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</si>
  <si>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</si>
  <si>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</si>
  <si>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</si>
  <si>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</si>
  <si>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</si>
  <si>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</si>
  <si>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</si>
  <si>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</si>
  <si>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</si>
  <si>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</si>
  <si>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</si>
  <si>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</si>
  <si>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</si>
  <si>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</si>
  <si>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</si>
  <si>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</si>
  <si>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</si>
  <si>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</si>
  <si>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</si>
  <si>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</si>
  <si>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</si>
  <si>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</si>
  <si>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</si>
  <si>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</si>
  <si>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</si>
  <si>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</si>
  <si>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</si>
  <si>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</si>
  <si>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</si>
  <si>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</si>
  <si>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</si>
  <si>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</si>
  <si>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</si>
  <si>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</si>
  <si>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</si>
  <si>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</si>
  <si>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</si>
  <si>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</si>
  <si>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</si>
  <si>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</si>
  <si>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</si>
  <si>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</si>
  <si>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</si>
  <si>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</si>
  <si>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</si>
  <si>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</si>
  <si>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</si>
  <si>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</si>
  <si>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</si>
  <si>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</si>
  <si>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</si>
  <si>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</si>
  <si>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</si>
  <si>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</si>
  <si>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</si>
  <si>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</si>
  <si>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</si>
  <si>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</si>
  <si>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</si>
  <si>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</si>
  <si>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</si>
  <si>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</si>
  <si>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</si>
  <si>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</si>
  <si>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</si>
  <si>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</si>
  <si>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</si>
  <si>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</si>
  <si>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</si>
  <si>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</si>
  <si>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</si>
  <si>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</si>
  <si>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</si>
  <si>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</si>
  <si>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</si>
  <si>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</si>
  <si>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</si>
  <si>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</si>
  <si>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</si>
  <si>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</si>
  <si>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</si>
  <si>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</si>
  <si>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</si>
  <si>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</si>
  <si>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</si>
  <si>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</si>
  <si>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</si>
  <si>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</si>
  <si>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</si>
  <si>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</si>
  <si>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</si>
  <si>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</si>
  <si>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</si>
  <si>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</si>
  <si>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</si>
  <si>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</si>
  <si>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</si>
  <si>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</si>
  <si>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</si>
  <si>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</si>
  <si>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</si>
  <si>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</si>
  <si>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</si>
  <si>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</si>
  <si>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</si>
  <si>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</si>
  <si>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</si>
  <si>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</si>
  <si>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</si>
  <si>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</si>
  <si>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</si>
  <si>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</si>
  <si>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</si>
  <si>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</si>
  <si>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</si>
  <si>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</si>
  <si>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</si>
  <si>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</si>
  <si>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</si>
  <si>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</si>
  <si>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</si>
  <si>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</si>
  <si>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</si>
  <si>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</si>
  <si>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</si>
  <si>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</si>
  <si>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</si>
  <si>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</si>
  <si>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</si>
  <si>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</si>
  <si>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</si>
  <si>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</si>
  <si>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</si>
  <si>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</si>
  <si>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</si>
  <si>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</si>
  <si>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</si>
  <si>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</si>
  <si>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</si>
  <si>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</si>
  <si>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</si>
  <si>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</si>
  <si>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</si>
  <si>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</si>
  <si>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</si>
  <si>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</si>
  <si>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</si>
  <si>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</si>
  <si>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</si>
  <si>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</si>
  <si>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</si>
  <si>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</si>
  <si>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</si>
  <si>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</si>
  <si>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</si>
  <si>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</si>
  <si>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</si>
  <si>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</si>
  <si>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</si>
  <si>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</si>
  <si>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</si>
  <si>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</si>
  <si>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</si>
  <si>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</si>
  <si>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</si>
  <si>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</si>
  <si>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</si>
  <si>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</si>
  <si>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</si>
  <si>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</si>
  <si>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</si>
  <si>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</si>
  <si>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</si>
  <si>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</si>
  <si>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</si>
  <si>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</si>
  <si>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</si>
  <si>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</si>
  <si>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</si>
  <si>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</si>
  <si>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</si>
  <si>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</si>
  <si>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</si>
  <si>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</si>
  <si>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</si>
  <si>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</si>
  <si>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</si>
  <si>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</si>
  <si>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</si>
  <si>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</si>
  <si>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</si>
  <si>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</si>
  <si>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</si>
  <si>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</si>
  <si>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</si>
  <si>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</si>
  <si>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</si>
  <si>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</si>
  <si>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</si>
  <si>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</si>
  <si>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</si>
  <si>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</si>
  <si>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</si>
  <si>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</si>
  <si>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</si>
  <si>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</si>
  <si>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</si>
  <si>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</si>
  <si>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</si>
  <si>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</si>
  <si>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</si>
  <si>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</si>
  <si>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</si>
  <si>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</si>
  <si>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</si>
  <si>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</si>
  <si>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</si>
  <si>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</si>
  <si>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</si>
  <si>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</si>
  <si>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</si>
  <si>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</si>
  <si>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</si>
  <si>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</si>
  <si>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</si>
  <si>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</si>
  <si>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</si>
  <si>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</si>
  <si>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</si>
  <si>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</si>
  <si>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</si>
  <si>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</si>
  <si>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</si>
  <si>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</si>
  <si>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</si>
  <si>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</si>
  <si>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</si>
  <si>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</si>
  <si>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</si>
  <si>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</si>
  <si>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</si>
  <si>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</si>
  <si>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</si>
  <si>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</si>
  <si>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</si>
  <si>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</si>
  <si>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</si>
  <si>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</si>
  <si>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</si>
  <si>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</si>
  <si>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</si>
  <si>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</si>
  <si>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</si>
  <si>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</si>
  <si>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</si>
  <si>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</si>
  <si>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</si>
  <si>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</si>
  <si>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</si>
  <si>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</si>
  <si>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</si>
  <si>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</si>
  <si>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</si>
  <si>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</si>
  <si>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</si>
  <si>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</si>
  <si>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</si>
  <si>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</si>
  <si>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</si>
  <si>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</si>
  <si>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</si>
  <si>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</si>
  <si>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</si>
  <si>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</si>
  <si>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</si>
  <si>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</si>
  <si>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</si>
  <si>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</si>
  <si>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</si>
  <si>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</si>
  <si>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</si>
  <si>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</si>
  <si>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</si>
  <si>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</si>
  <si>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</si>
  <si>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</si>
  <si>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</si>
  <si>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</si>
  <si>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</si>
  <si>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</si>
  <si>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</si>
  <si>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</si>
  <si>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</si>
  <si>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</si>
  <si>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</si>
  <si>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</si>
  <si>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</si>
  <si>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</si>
  <si>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</si>
  <si>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</si>
  <si>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</si>
  <si>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</si>
  <si>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</si>
  <si>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</si>
  <si>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</si>
  <si>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</si>
  <si>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</si>
  <si>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</si>
  <si>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</si>
  <si>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</si>
  <si>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</si>
  <si>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</si>
  <si>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</si>
  <si>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</si>
  <si>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</si>
  <si>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</si>
  <si>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</si>
  <si>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</si>
  <si>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</si>
  <si>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</si>
  <si>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</si>
  <si>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</si>
  <si>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</si>
  <si>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</si>
  <si>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</si>
  <si>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</si>
  <si>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</si>
  <si>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</si>
  <si>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</si>
  <si>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</si>
  <si>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</si>
  <si>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</si>
  <si>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</si>
  <si>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</si>
  <si>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</si>
  <si>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</si>
  <si>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</si>
  <si>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</si>
  <si>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</si>
  <si>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</si>
  <si>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</si>
  <si>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</si>
  <si>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</si>
  <si>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</si>
  <si>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</si>
  <si>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</si>
  <si>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</si>
  <si>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</si>
  <si>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</si>
  <si>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</si>
  <si>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</si>
  <si>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</si>
  <si>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</si>
  <si>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</si>
  <si>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</si>
  <si>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</si>
  <si>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</si>
  <si>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</si>
  <si>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</si>
  <si>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</si>
  <si>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</si>
  <si>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</si>
  <si>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</si>
  <si>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</si>
  <si>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</si>
  <si>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</si>
  <si>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</si>
  <si>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</si>
  <si>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</si>
  <si>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</si>
  <si>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</si>
  <si>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</si>
  <si>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</si>
  <si>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</si>
  <si>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</si>
  <si>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</si>
  <si>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</si>
  <si>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</si>
  <si>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</si>
  <si>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</si>
  <si>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</si>
  <si>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</si>
  <si>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</si>
  <si>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</si>
  <si>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</si>
  <si>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</si>
  <si>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</si>
  <si>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</si>
  <si>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</si>
  <si>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</si>
  <si>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</si>
  <si>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</si>
  <si>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</si>
  <si>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</si>
  <si>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</si>
  <si>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</si>
  <si>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</si>
  <si>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</si>
  <si>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</si>
  <si>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</si>
  <si>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</si>
  <si>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</si>
  <si>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</si>
  <si>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</si>
  <si>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</si>
  <si>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</si>
  <si>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</si>
  <si>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</si>
  <si>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</si>
  <si>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</si>
  <si>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</si>
  <si>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</si>
  <si>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</si>
  <si>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</si>
  <si>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</si>
  <si>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</si>
  <si>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</si>
  <si>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</si>
  <si>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</si>
  <si>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</si>
  <si>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</si>
  <si>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</si>
  <si>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</si>
  <si>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</si>
  <si>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</si>
  <si>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</si>
  <si>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</si>
  <si>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</si>
  <si>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</si>
  <si>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</si>
  <si>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</si>
  <si>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</si>
  <si>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</si>
  <si>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</si>
  <si>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</si>
  <si>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</si>
  <si>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</si>
  <si>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</si>
  <si>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</si>
  <si>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</si>
  <si>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</si>
  <si>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</si>
  <si>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</si>
  <si>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</si>
  <si>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</si>
  <si>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</si>
  <si>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</si>
  <si>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</si>
  <si>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</si>
  <si>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</si>
  <si>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</si>
  <si>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</si>
  <si>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</si>
  <si>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</si>
  <si>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</si>
  <si>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</si>
  <si>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</si>
  <si>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</si>
  <si>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</si>
  <si>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</si>
  <si>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</si>
  <si>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</si>
  <si>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</si>
  <si>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</si>
  <si>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</si>
  <si>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</si>
  <si>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</si>
  <si>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</si>
  <si>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</si>
  <si>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</si>
  <si>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</si>
  <si>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</si>
  <si>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</si>
  <si>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</si>
  <si>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</si>
  <si>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</si>
  <si>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</si>
  <si>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</si>
  <si>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</si>
  <si>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</si>
  <si>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</si>
  <si>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</si>
  <si>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</si>
  <si>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</si>
  <si>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</si>
  <si>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</si>
  <si>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</si>
  <si>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</si>
  <si>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</si>
  <si>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</si>
  <si>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</si>
  <si>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</si>
  <si>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</si>
  <si>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</si>
  <si>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</si>
  <si>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</si>
  <si>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</si>
  <si>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</si>
  <si>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</si>
  <si>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</si>
  <si>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</si>
  <si>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</si>
  <si>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</si>
  <si>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</si>
  <si>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</si>
  <si>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</si>
  <si>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</si>
  <si>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</si>
  <si>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</si>
  <si>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</si>
  <si>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</si>
  <si>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</si>
  <si>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</si>
  <si>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</si>
  <si>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</si>
  <si>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</si>
  <si>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</si>
  <si>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</si>
  <si>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</si>
  <si>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</si>
  <si>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</si>
  <si>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</si>
  <si>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</si>
  <si>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</si>
  <si>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</si>
  <si>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</si>
  <si>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</si>
  <si>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</si>
  <si>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</si>
  <si>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</si>
  <si>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</si>
  <si>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</si>
  <si>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</si>
  <si>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</si>
  <si>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</si>
  <si>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</si>
  <si>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</si>
  <si>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</si>
  <si>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</si>
  <si>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</si>
  <si>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</si>
  <si>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</si>
  <si>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</si>
  <si>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</si>
  <si>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</si>
  <si>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</si>
  <si>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</si>
  <si>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</si>
  <si>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</si>
  <si>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</si>
  <si>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</si>
  <si>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</si>
  <si>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</si>
  <si>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</si>
  <si>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</si>
  <si>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</si>
  <si>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</si>
  <si>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</si>
  <si>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</si>
  <si>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</si>
  <si>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</si>
  <si>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</si>
  <si>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</si>
  <si>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</si>
  <si>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</si>
  <si>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</si>
  <si>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</si>
  <si>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</si>
  <si>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</si>
  <si>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</si>
  <si>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</si>
  <si>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</si>
  <si>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</si>
  <si>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</si>
  <si>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</si>
  <si>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</si>
  <si>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</si>
  <si>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</si>
  <si>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</si>
  <si>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</si>
  <si>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</si>
  <si>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</si>
  <si>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</si>
  <si>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</si>
  <si>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</si>
  <si>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</si>
  <si>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</si>
  <si>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</si>
  <si>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</si>
  <si>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</si>
  <si>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</si>
  <si>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</si>
  <si>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</si>
  <si>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</si>
  <si>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</si>
  <si>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</si>
  <si>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</si>
  <si>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</si>
  <si>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</si>
  <si>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</si>
  <si>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</si>
  <si>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</si>
  <si>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</si>
  <si>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</si>
  <si>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</si>
  <si>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</si>
  <si>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</si>
  <si>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</si>
  <si>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</si>
  <si>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</si>
  <si>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</si>
  <si>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</si>
  <si>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</si>
  <si>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</si>
  <si>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</si>
  <si>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</si>
  <si>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</si>
  <si>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</si>
  <si>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</si>
  <si>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</si>
  <si>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</si>
  <si>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</si>
  <si>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</si>
  <si>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</si>
  <si>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</si>
  <si>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</si>
  <si>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</si>
  <si>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</si>
  <si>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</si>
  <si>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</si>
  <si>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</si>
  <si>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</si>
  <si>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</si>
  <si>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</si>
  <si>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</si>
  <si>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</si>
  <si>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</si>
  <si>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</si>
  <si>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</si>
  <si>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</si>
  <si>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</si>
  <si>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</si>
  <si>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</si>
  <si>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</si>
  <si>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</si>
  <si>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</si>
  <si>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</si>
  <si>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</si>
  <si>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</si>
  <si>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</si>
  <si>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</si>
  <si>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</si>
  <si>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</si>
  <si>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</si>
  <si>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</si>
  <si>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</si>
  <si>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</si>
  <si>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</si>
  <si>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</si>
  <si>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</si>
  <si>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</si>
  <si>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</si>
  <si>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</si>
  <si>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</si>
  <si>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</si>
  <si>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</si>
  <si>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</si>
  <si>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</si>
  <si>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</si>
  <si>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</si>
  <si>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</si>
  <si>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</si>
  <si>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</si>
  <si>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</si>
  <si>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</si>
  <si>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</si>
  <si>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</si>
  <si>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</si>
  <si>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</si>
  <si>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</si>
  <si>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</si>
  <si>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</si>
  <si>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</si>
  <si>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</si>
  <si>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</si>
  <si>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</si>
  <si>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</si>
  <si>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</si>
  <si>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</si>
  <si>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</si>
  <si>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</si>
  <si>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</si>
  <si>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</si>
  <si>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</si>
  <si>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</si>
  <si>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</si>
  <si>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</si>
  <si>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</si>
  <si>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</si>
  <si>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</si>
  <si>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</si>
  <si>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</si>
  <si>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</si>
  <si>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</si>
  <si>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</si>
  <si>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</si>
  <si>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</si>
  <si>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</si>
  <si>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</si>
  <si>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</si>
  <si>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</si>
  <si>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</si>
  <si>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</si>
  <si>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</si>
  <si>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</si>
  <si>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</si>
  <si>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</si>
  <si>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</si>
  <si>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</si>
  <si>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</si>
  <si>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</si>
  <si>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</si>
  <si>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</si>
  <si>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</si>
  <si>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</si>
  <si>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</si>
  <si>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</si>
  <si>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</si>
  <si>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</si>
  <si>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</si>
  <si>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</si>
  <si>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</si>
  <si>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</si>
  <si>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</si>
  <si>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</si>
  <si>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</si>
  <si>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</si>
  <si>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</si>
  <si>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</si>
  <si>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</si>
  <si>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</si>
  <si>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</si>
  <si>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</si>
  <si>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</si>
  <si>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</si>
  <si>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</si>
  <si>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</si>
  <si>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</si>
  <si>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</si>
  <si>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</si>
  <si>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</si>
  <si>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</si>
  <si>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</si>
  <si>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</si>
  <si>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</si>
  <si>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</si>
  <si>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</si>
  <si>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</si>
  <si>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</si>
  <si>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</si>
  <si>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</si>
  <si>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</si>
  <si>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</si>
  <si>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</si>
  <si>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</si>
  <si>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</si>
  <si>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</si>
  <si>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</si>
  <si>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</si>
  <si>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</si>
  <si>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</si>
  <si>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</si>
  <si>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</si>
  <si>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</si>
  <si>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</si>
  <si>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</si>
  <si>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</si>
  <si>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</si>
  <si>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</si>
  <si>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</si>
  <si>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</si>
  <si>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</si>
  <si>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</si>
  <si>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</si>
  <si>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</si>
  <si>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</si>
  <si>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</si>
  <si>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</si>
  <si>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</si>
  <si>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</si>
  <si>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</si>
  <si>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</si>
  <si>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</si>
  <si>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</si>
  <si>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</si>
  <si>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</si>
  <si>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</si>
  <si>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</si>
  <si>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</si>
  <si>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</si>
  <si>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</si>
  <si>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</si>
  <si>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</si>
  <si>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</si>
  <si>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</si>
  <si>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</si>
  <si>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</si>
  <si>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</si>
  <si>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</si>
  <si>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</si>
  <si>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</si>
  <si>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</si>
  <si>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</si>
  <si>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</si>
  <si>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</si>
  <si>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</si>
  <si>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</si>
  <si>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</si>
  <si>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</si>
  <si>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</si>
  <si>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</si>
  <si>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</si>
  <si>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</si>
  <si>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</si>
  <si>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</si>
  <si>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</si>
  <si>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</si>
  <si>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</si>
  <si>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</si>
  <si>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</si>
  <si>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</si>
  <si>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</si>
  <si>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</si>
  <si>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</si>
  <si>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</si>
  <si>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</si>
  <si>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</si>
  <si>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</si>
  <si>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</si>
  <si>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</si>
  <si>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</si>
  <si>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</si>
  <si>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</si>
  <si>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</si>
  <si>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</si>
  <si>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</si>
  <si>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</si>
  <si>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</si>
  <si>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</si>
  <si>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</si>
  <si>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</si>
  <si>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</si>
  <si>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</si>
  <si>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</si>
  <si>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</si>
  <si>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</si>
  <si>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</si>
  <si>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</si>
  <si>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</si>
  <si>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</si>
  <si>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</si>
  <si>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</si>
  <si>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</si>
  <si>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</si>
  <si>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</si>
  <si>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</si>
  <si>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</si>
  <si>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</si>
  <si>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</si>
  <si>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</si>
  <si>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</si>
  <si>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</si>
  <si>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</si>
  <si>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</si>
  <si>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</si>
  <si>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</si>
  <si>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</si>
  <si>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</si>
  <si>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</si>
  <si>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</si>
  <si>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</si>
  <si>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</si>
  <si>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</si>
  <si>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</si>
  <si>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</si>
  <si>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</si>
  <si>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</si>
  <si>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</si>
  <si>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</si>
  <si>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</si>
  <si>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</si>
  <si>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</si>
  <si>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</si>
  <si>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</si>
  <si>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</si>
  <si>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</si>
  <si>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</si>
  <si>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</si>
  <si>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</si>
  <si>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</si>
  <si>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</si>
  <si>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</si>
  <si>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</si>
  <si>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</si>
  <si>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</si>
  <si>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</si>
  <si>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</si>
  <si>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</si>
  <si>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</si>
  <si>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</si>
  <si>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</si>
  <si>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</si>
  <si>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</si>
  <si>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</si>
  <si>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</si>
  <si>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</si>
  <si>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</si>
  <si>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</si>
  <si>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</si>
  <si>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</si>
  <si>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</si>
  <si>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</si>
  <si>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</si>
  <si>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</si>
  <si>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</si>
  <si>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</si>
  <si>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</si>
  <si>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</si>
  <si>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</si>
  <si>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</si>
  <si>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</si>
  <si>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</si>
  <si>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</si>
  <si>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</si>
  <si>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</si>
  <si>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</si>
  <si>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</si>
  <si>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</si>
  <si>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</si>
  <si>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</si>
  <si>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</si>
  <si>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</si>
  <si>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</si>
  <si>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</si>
  <si>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</si>
  <si>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</si>
  <si>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</si>
  <si>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</si>
  <si>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</si>
  <si>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</si>
  <si>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</si>
  <si>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</si>
  <si>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</si>
  <si>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</si>
  <si>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</si>
  <si>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</si>
  <si>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</si>
  <si>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</si>
  <si>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</si>
  <si>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</si>
  <si>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</si>
  <si>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</si>
  <si>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</si>
  <si>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</si>
  <si>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</si>
  <si>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</si>
  <si>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</si>
  <si>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</si>
  <si>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</si>
  <si>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</si>
  <si>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</si>
  <si>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</si>
  <si>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</si>
  <si>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</si>
  <si>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</si>
  <si>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</si>
  <si>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</si>
  <si>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</si>
  <si>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</si>
  <si>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</si>
  <si>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</si>
  <si>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</si>
  <si>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</si>
  <si>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</si>
  <si>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</si>
  <si>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</si>
  <si>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</si>
  <si>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</si>
  <si>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</si>
  <si>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</si>
  <si>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</si>
  <si>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</si>
  <si>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</si>
  <si>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</si>
  <si>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</si>
  <si>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</si>
  <si>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</si>
  <si>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</si>
  <si>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</si>
  <si>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</si>
  <si>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</si>
  <si>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</si>
  <si>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</si>
  <si>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</si>
  <si>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</si>
  <si>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</si>
  <si>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</si>
  <si>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</si>
  <si>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</si>
  <si>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</si>
  <si>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</si>
  <si>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</si>
  <si>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</si>
  <si>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</si>
  <si>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</si>
  <si>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</si>
  <si>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</si>
  <si>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</si>
  <si>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</si>
  <si>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</si>
  <si>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</si>
  <si>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</si>
  <si>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</si>
  <si>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</si>
  <si>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</si>
  <si>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</si>
  <si>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</si>
  <si>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</si>
  <si>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</si>
  <si>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</si>
  <si>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</si>
  <si>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</si>
  <si>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</si>
  <si>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</si>
  <si>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</si>
  <si>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</si>
  <si>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</si>
  <si>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</si>
  <si>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</si>
  <si>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</si>
  <si>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</si>
  <si>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</si>
  <si>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</si>
  <si>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</si>
  <si>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</si>
  <si>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</si>
  <si>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</si>
  <si>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</si>
  <si>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</si>
  <si>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</si>
  <si>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</si>
  <si>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</si>
  <si>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</si>
  <si>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</si>
  <si>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</si>
  <si>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</si>
  <si>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</si>
  <si>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</si>
  <si>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</si>
  <si>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</si>
  <si>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</si>
  <si>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</si>
  <si>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</si>
  <si>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</si>
  <si>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</si>
  <si>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</si>
  <si>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</si>
  <si>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</si>
  <si>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</si>
  <si>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</si>
  <si>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</si>
  <si>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</si>
  <si>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</si>
  <si>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</si>
  <si>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</si>
  <si>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</si>
  <si>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</si>
  <si>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</si>
  <si>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</si>
  <si>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</si>
  <si>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</si>
  <si>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</si>
  <si>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</si>
  <si>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</si>
  <si>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</si>
  <si>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</si>
  <si>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</si>
  <si>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</si>
  <si>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</si>
  <si>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</si>
  <si>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</si>
  <si>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</si>
  <si>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</si>
  <si>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</si>
  <si>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</si>
  <si>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</si>
  <si>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</si>
  <si>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</si>
  <si>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</si>
  <si>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</si>
  <si>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</si>
  <si>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</si>
  <si>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</si>
  <si>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</si>
  <si>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</si>
  <si>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</si>
  <si>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</si>
  <si>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</si>
  <si>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</si>
  <si>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</si>
  <si>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</si>
  <si>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</si>
  <si>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</si>
  <si>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</si>
  <si>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</si>
  <si>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</si>
  <si>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</si>
  <si>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</si>
  <si>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</si>
  <si>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</si>
  <si>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</si>
  <si>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</si>
  <si>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</si>
  <si>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</si>
  <si>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</si>
  <si>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</si>
  <si>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</si>
  <si>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</si>
  <si>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</si>
  <si>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</si>
  <si>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</si>
  <si>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</si>
  <si>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</si>
  <si>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</si>
  <si>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</si>
  <si>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</si>
  <si>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</si>
  <si>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</si>
  <si>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</si>
  <si>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</si>
  <si>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</si>
  <si>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</si>
  <si>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</si>
  <si>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</si>
  <si>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</si>
  <si>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</si>
  <si>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</si>
  <si>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</si>
  <si>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</si>
  <si>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</si>
  <si>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</si>
  <si>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</si>
  <si>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</si>
  <si>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</si>
  <si>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</si>
  <si>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</si>
  <si>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</si>
  <si>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</si>
  <si>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</si>
  <si>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</si>
  <si>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</si>
  <si>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</si>
  <si>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</si>
  <si>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</si>
  <si>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</si>
  <si>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</si>
  <si>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</si>
  <si>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</si>
  <si>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</si>
  <si>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</si>
  <si>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</si>
  <si>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</si>
  <si>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</si>
  <si>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</si>
  <si>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</si>
  <si>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</si>
  <si>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</si>
  <si>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</si>
  <si>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</si>
  <si>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</si>
  <si>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</si>
  <si>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</si>
  <si>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</si>
  <si>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博罗县长宁镇东平村九岭经济合作社、埔筏村各前头经济合作社罗浮大道边东面地段</t>
  </si>
  <si>
    <t>惠州市</t>
  </si>
  <si>
    <t>住宅用地</t>
  </si>
  <si>
    <t>＞1.0,≤3.0</t>
  </si>
  <si>
    <t>挂牌</t>
  </si>
  <si>
    <t>2018-01-09</t>
  </si>
  <si>
    <t>保利粤东房地产开发有限公司</t>
  </si>
  <si>
    <t>博罗县石坝镇石坝村委会石坝河草廊坝(土名)地段</t>
  </si>
  <si>
    <t>＞1,≤2.2</t>
  </si>
  <si>
    <t>2017-12-25</t>
  </si>
  <si>
    <t>陈育海,陈广文</t>
  </si>
  <si>
    <t>博罗县石湾镇兴业大道西侧地段</t>
  </si>
  <si>
    <t>2017-11-14</t>
  </si>
  <si>
    <t>惠州市荣利房地产开发有限公司</t>
  </si>
  <si>
    <t>博罗县园洲镇下南经济联合社园洲大道北面地段</t>
  </si>
  <si>
    <t>＞1,≤3.9</t>
  </si>
  <si>
    <t>2017-10-30</t>
  </si>
  <si>
    <t>正黄集团有限公司</t>
  </si>
  <si>
    <t>博罗县福田镇福田村上角、下角、张田、陈竹经济合作社湖洋(土名)地段</t>
  </si>
  <si>
    <t>＞1,≤1.8</t>
  </si>
  <si>
    <t>广东博森旅游文化投资有限公司</t>
  </si>
  <si>
    <t>博罗县石湾镇兴业大道东侧地段</t>
  </si>
  <si>
    <t>2017-09-27</t>
  </si>
  <si>
    <t>博罗县罗阳镇九村社区低田经济合作社莲湖、后背江、中片、西片(土名)地段</t>
  </si>
  <si>
    <t>大于1并且小于或等于2.5</t>
  </si>
  <si>
    <t>2017-09-20</t>
  </si>
  <si>
    <t>惠州日骏房地产开发有限公司</t>
  </si>
  <si>
    <t>博罗县石湾镇铁场村梅花大道南侧地段</t>
  </si>
  <si>
    <t>＞1,≤3</t>
  </si>
  <si>
    <t>2017-09-12</t>
  </si>
  <si>
    <t>东莞市金地宝岛房地产有限公司</t>
  </si>
  <si>
    <t>博罗县杨侨镇广梅公路(205国道)边地段</t>
  </si>
  <si>
    <t>＞1,≤2.5</t>
  </si>
  <si>
    <t>2017-07-16</t>
  </si>
  <si>
    <t>博罗县顶新实业有限公司</t>
  </si>
  <si>
    <t>惠州市友基房地产开发有限公司</t>
  </si>
  <si>
    <t>2017-07-14</t>
  </si>
  <si>
    <t>2017-07-05</t>
  </si>
  <si>
    <t>惠州源惠房地产开发有限公司</t>
  </si>
  <si>
    <t>博罗县泰美镇新星经济联合社仙塘路边(土名)地段</t>
  </si>
  <si>
    <t>＞1,≤2.8</t>
  </si>
  <si>
    <t>2017-06-22</t>
  </si>
  <si>
    <t>博罗泰康实业有限公司</t>
  </si>
  <si>
    <t>博罗县长宁镇东平村双四经济合作社迎宾大道边西面地段</t>
  </si>
  <si>
    <t>＞1,≤3.8</t>
  </si>
  <si>
    <t>2017-06-20</t>
  </si>
  <si>
    <t>惠州长裕房地产开发有限公司</t>
  </si>
  <si>
    <t>＞1,≤2</t>
  </si>
  <si>
    <t>2017-06-08</t>
  </si>
  <si>
    <t>博罗县罗阳镇水西村委会广汕公路以南(土名)地段</t>
  </si>
  <si>
    <t>＞1,≤3.5</t>
  </si>
  <si>
    <t>2017-05-11</t>
  </si>
  <si>
    <t>博罗联运机动车检测有限公司</t>
  </si>
  <si>
    <t>博罗县麻陂镇洋陂岭地段</t>
  </si>
  <si>
    <t>2017-04-01</t>
  </si>
  <si>
    <t>惠州市君瑞实业投资有限公司</t>
  </si>
  <si>
    <t>博罗县园洲镇深沥经济联合社火烧墩(土名)地段</t>
  </si>
  <si>
    <t>＞1,≤4.1</t>
  </si>
  <si>
    <t>2017-03-28</t>
  </si>
  <si>
    <t>惠州中城投资有限公司</t>
  </si>
  <si>
    <t>博罗县龙华镇旭日村委会南门(土名)地段</t>
  </si>
  <si>
    <t>＞1,≤2.1</t>
  </si>
  <si>
    <t>惠州市汇城房地产开发有限公司</t>
  </si>
  <si>
    <t>博罗县杨侨镇旧场部(土名)地段</t>
  </si>
  <si>
    <t>2017-03-17</t>
  </si>
  <si>
    <t>博罗县宏侨实业有限公司</t>
  </si>
  <si>
    <t>博罗县泰美镇良田村石颈组板桥(土名)地段</t>
  </si>
  <si>
    <t>2017-02-24</t>
  </si>
  <si>
    <t>新港源投资管理(深圳)有限公司</t>
  </si>
  <si>
    <t>博罗县长宁镇东平村金三角市场开发区内地段</t>
  </si>
  <si>
    <t>＞1,≤6</t>
  </si>
  <si>
    <t>博罗县嘉盈利房地产开发有限公司</t>
  </si>
  <si>
    <t>博罗县罗阳镇巷口村委会地段(县城江南区)</t>
  </si>
  <si>
    <t>综合用地(含住宅)</t>
  </si>
  <si>
    <t>2017-02-13</t>
  </si>
  <si>
    <t>博罗县桂芳园房地产开发有限公司</t>
  </si>
  <si>
    <t>博罗县罗阳镇塱头村委会贰度坡(土名)地段</t>
  </si>
  <si>
    <t>2016-12-26</t>
  </si>
  <si>
    <t>惠州市龙佳贸易有限公司</t>
  </si>
  <si>
    <t>博罗县长宁镇东平村九岭经济合作社长宁大道边北面地段</t>
  </si>
  <si>
    <t>大于1并且小于或等于4.3</t>
  </si>
  <si>
    <t>2016-11-02</t>
  </si>
  <si>
    <t>惠州市惠福投资有限公司</t>
  </si>
  <si>
    <t>2016-11-01</t>
  </si>
  <si>
    <t>博罗县世纪华城房地产开发有限公司</t>
  </si>
  <si>
    <t>2016-10-14</t>
  </si>
  <si>
    <t>博罗县大盛实业有限公司</t>
  </si>
  <si>
    <t>博罗县福田镇福田村上角、下角、张田经济合作社湖洋(土名)地段</t>
  </si>
  <si>
    <t>大于1并且小于或等于1.8</t>
  </si>
  <si>
    <t>2016-09-30</t>
  </si>
  <si>
    <t>博罗县长宁镇石下屯村油禾岭经济合作社黄龙大道边南面地段</t>
  </si>
  <si>
    <t>大于1并且小于或等于2</t>
  </si>
  <si>
    <t>2016-09-29</t>
  </si>
  <si>
    <t>惠州市东方中量投资有限公司</t>
  </si>
  <si>
    <t>博罗县长宁镇东平村九岭经济合作社罗浮大道边东面地段</t>
  </si>
  <si>
    <t>博罗县罗浮银鹰假日实业有限公司</t>
  </si>
  <si>
    <t>博罗县石湾镇建设东路南侧地段</t>
  </si>
  <si>
    <t>大于1并且小于或等于4</t>
  </si>
  <si>
    <t>2016-09-27</t>
  </si>
  <si>
    <t>惠州市新亚美实业发展有限公司</t>
  </si>
  <si>
    <t>博罗县杨侨镇侨香路地段</t>
  </si>
  <si>
    <t>2016-09-26</t>
  </si>
  <si>
    <t>惠州市远鸿投资有限公司</t>
  </si>
  <si>
    <t>2016-09-22</t>
  </si>
  <si>
    <t>博罗县石湾镇石湾大道西侧地段</t>
  </si>
  <si>
    <t>大于1并且小于或等于2.8</t>
  </si>
  <si>
    <t>2016-09-02</t>
  </si>
  <si>
    <t>惠州市名巨房地产开发有限公司</t>
  </si>
  <si>
    <t>惠阳区淡水街道河畔城西侧地段</t>
  </si>
  <si>
    <t>2016-08-12</t>
  </si>
  <si>
    <t>惠州市天一房地产开发有限公司</t>
  </si>
  <si>
    <t>博罗县石湾镇人民路北侧(原府前路)地段</t>
  </si>
  <si>
    <t>大于1并且小于或等于3.5</t>
  </si>
  <si>
    <t>2016-06-14</t>
  </si>
  <si>
    <t>惠州兆利丰实业有限公司</t>
  </si>
  <si>
    <t>博罗县罗阳镇浪头村委会横岭小组</t>
  </si>
  <si>
    <t>大于1并且小于或等于3</t>
  </si>
  <si>
    <t>2016-05-30</t>
  </si>
  <si>
    <t>博罗县缚娄资源开发有限公司</t>
  </si>
  <si>
    <t>博罗县泰美镇新星村永新组黄浪排屋背、老屋下背(土名)地段</t>
  </si>
  <si>
    <t>2016-05-05</t>
  </si>
  <si>
    <t>聂建雄</t>
  </si>
  <si>
    <t>博罗县泰美镇板桥工业区下埔段园中路地段</t>
  </si>
  <si>
    <t>惠州市新富海投资有限公司</t>
  </si>
  <si>
    <t>博罗县罗阳镇九村居委会上坣村黄豆地(土名)地段</t>
  </si>
  <si>
    <t>大于1并且小于或等于7.5</t>
  </si>
  <si>
    <t>2016-03-09</t>
  </si>
  <si>
    <t>博罗县中泰实业有限公司</t>
  </si>
  <si>
    <t>博罗县罗阳镇浪头村委会二队沙梨园(土名)地段</t>
  </si>
  <si>
    <t>大于1并且小于或等于9.2</t>
  </si>
  <si>
    <t>博罗县罗阳镇上塘村桂园第二村民小组沙堀(土名)地段</t>
  </si>
  <si>
    <t>＞1,≤5</t>
  </si>
  <si>
    <t>2016-02-26</t>
  </si>
  <si>
    <t>惠州金盛投资有限公司</t>
  </si>
  <si>
    <t>2016-01-15</t>
  </si>
  <si>
    <t>博罗县罗阳镇浪头村塘贝岭经济合作社商业东街地段</t>
  </si>
  <si>
    <t>＞1,≤4</t>
  </si>
  <si>
    <t>2016-01-08</t>
  </si>
  <si>
    <t>博罗县红中实业发展有限公司</t>
  </si>
  <si>
    <t>博罗县横河镇社区居民委员会荷苑坝(土名)地段</t>
  </si>
  <si>
    <t>2015-11-30</t>
  </si>
  <si>
    <t>博罗县景源实业有限公司</t>
  </si>
  <si>
    <t>2015-11-26</t>
  </si>
  <si>
    <t>博罗县杨村镇显村地段</t>
  </si>
  <si>
    <t>2015-10-28</t>
  </si>
  <si>
    <t>曾友旺</t>
  </si>
  <si>
    <t>2015-10-09</t>
  </si>
  <si>
    <t>惠州市恒毅模具有限公司</t>
  </si>
  <si>
    <t>2015-10-08</t>
  </si>
  <si>
    <t>博罗县园洲镇上南经济联合社氹田(土名)地段</t>
  </si>
  <si>
    <t>惠州市名远房地产开发有限公司</t>
  </si>
  <si>
    <t>2015-08-19</t>
  </si>
  <si>
    <t>博罗县园洲镇土瓜圩经济联合社、禾山村岗头经济合作社、深沥经济联合社沙田(土名)地段</t>
  </si>
  <si>
    <t>2015-06-25</t>
  </si>
  <si>
    <t>欣旺达惠州新能源有限公司</t>
  </si>
  <si>
    <t>博罗县园洲镇土瓜圩经济联合社、深沥经济联合社沙田(土名)地段</t>
  </si>
  <si>
    <t>博罗县园洲镇禾山村岗头经济合作社、虾江经济联合社沙田(土名)地段</t>
  </si>
  <si>
    <t>博罗县园洲镇上南村西方路(土名)地段</t>
  </si>
  <si>
    <t>＞1,≤8.1</t>
  </si>
  <si>
    <t>2015-06-01</t>
  </si>
  <si>
    <t>惠州润福房地产开发有限公司</t>
  </si>
  <si>
    <t>出让</t>
  </si>
  <si>
    <t>抵押</t>
  </si>
  <si>
    <t>其他：</t>
  </si>
  <si>
    <t>商业</t>
  </si>
  <si>
    <t>居住项目</t>
  </si>
  <si>
    <t>是</t>
    <phoneticPr fontId="3" type="noConversion"/>
  </si>
  <si>
    <t>地上</t>
  </si>
  <si>
    <t>平层住宅</t>
  </si>
  <si>
    <t>综合楼</t>
  </si>
  <si>
    <t>综合楼</t>
    <phoneticPr fontId="14" type="noConversion"/>
  </si>
  <si>
    <t>住宅</t>
    <phoneticPr fontId="7" type="noConversion"/>
  </si>
  <si>
    <t>商业</t>
    <phoneticPr fontId="7" type="noConversion"/>
  </si>
  <si>
    <t>底商</t>
  </si>
  <si>
    <t>成交地面价</t>
    <phoneticPr fontId="233" type="noConversion"/>
  </si>
  <si>
    <t>楼面地价</t>
  </si>
  <si>
    <t>地下</t>
  </si>
  <si>
    <t>车库</t>
  </si>
  <si>
    <t>车库</t>
    <phoneticPr fontId="7" type="noConversion"/>
  </si>
  <si>
    <t>通路</t>
  </si>
  <si>
    <t>通电</t>
  </si>
  <si>
    <t>通上水</t>
  </si>
  <si>
    <t>估价对象周边居住用地比例较小、居住小区规模和社区发展完善程度一般，综合评价居住社区成熟度一般</t>
    <phoneticPr fontId="3" type="noConversion"/>
  </si>
  <si>
    <t>估价对象位于南水园，周边商业氛围一般，人流量一般，商业繁华度一般</t>
    <phoneticPr fontId="3" type="noConversion"/>
  </si>
  <si>
    <t>估价对象周边路网密集度一般、公共交通通达情况一般、停车便捷程度一般，综合评价交通便捷度一般</t>
    <phoneticPr fontId="3" type="noConversion"/>
  </si>
  <si>
    <t>估价对象所在区域基础设施水平达到六通</t>
    <phoneticPr fontId="3" type="noConversion"/>
  </si>
  <si>
    <t>估价对象所在区域公共配套设施齐备情况一般，有雅庭小学、龙溪二中</t>
    <phoneticPr fontId="3" type="noConversion"/>
  </si>
  <si>
    <t>区域自然环境：周边绿化条件较好，有水系；人文环境：缺乏图书馆、剧院等设施；综合评价环境状况较差</t>
    <phoneticPr fontId="3" type="noConversion"/>
  </si>
  <si>
    <t>东莞监测指标情况一览表</t>
  </si>
  <si>
    <t>时间</t>
  </si>
  <si>
    <t>水平值</t>
  </si>
  <si>
    <t>环比增长率</t>
  </si>
  <si>
    <t>指数</t>
  </si>
  <si>
    <t>正常</t>
    <phoneticPr fontId="26" type="noConversion"/>
  </si>
  <si>
    <t>正常</t>
    <phoneticPr fontId="26" type="noConversion"/>
  </si>
  <si>
    <t>住宅、商业</t>
    <phoneticPr fontId="26" type="noConversion"/>
  </si>
  <si>
    <t>住宅</t>
    <phoneticPr fontId="26" type="noConversion"/>
  </si>
  <si>
    <r>
      <t>63.9</t>
    </r>
    <r>
      <rPr>
        <sz val="11"/>
        <color indexed="8"/>
        <rFont val="宋体"/>
        <family val="3"/>
        <charset val="134"/>
      </rPr>
      <t>、</t>
    </r>
    <r>
      <rPr>
        <sz val="11"/>
        <color indexed="8"/>
        <rFont val="Arial"/>
        <family val="2"/>
      </rPr>
      <t>33.9</t>
    </r>
    <phoneticPr fontId="26" type="noConversion"/>
  </si>
  <si>
    <t>70</t>
    <phoneticPr fontId="26" type="noConversion"/>
  </si>
  <si>
    <t>一般</t>
  </si>
  <si>
    <t>较差</t>
  </si>
  <si>
    <t>六通</t>
  </si>
  <si>
    <t>规则</t>
    <phoneticPr fontId="26" type="noConversion"/>
  </si>
  <si>
    <t>较规则</t>
    <phoneticPr fontId="26" type="noConversion"/>
  </si>
  <si>
    <t>不规则</t>
  </si>
  <si>
    <t>不规则</t>
    <phoneticPr fontId="26" type="noConversion"/>
  </si>
  <si>
    <t>六通</t>
    <phoneticPr fontId="26" type="noConversion"/>
  </si>
  <si>
    <t>五通</t>
    <phoneticPr fontId="26" type="noConversion"/>
  </si>
  <si>
    <t>四通</t>
    <phoneticPr fontId="26" type="noConversion"/>
  </si>
  <si>
    <t>三通</t>
  </si>
  <si>
    <t>三通</t>
    <phoneticPr fontId="26" type="noConversion"/>
  </si>
  <si>
    <t>比较法-住宅、综合</t>
  </si>
  <si>
    <t>剩余法-待开发</t>
  </si>
  <si>
    <t>项目全部</t>
  </si>
  <si>
    <t>土地</t>
  </si>
  <si>
    <t>60-70（含）</t>
  </si>
  <si>
    <t>正常</t>
    <phoneticPr fontId="21" type="noConversion"/>
  </si>
  <si>
    <t>钢混</t>
    <phoneticPr fontId="21" type="noConversion"/>
  </si>
  <si>
    <t>普装</t>
    <phoneticPr fontId="21" type="noConversion"/>
  </si>
  <si>
    <t>专业</t>
    <phoneticPr fontId="21" type="noConversion"/>
  </si>
  <si>
    <t>六通</t>
    <phoneticPr fontId="21" type="noConversion"/>
  </si>
  <si>
    <t>精装</t>
    <phoneticPr fontId="21" type="noConversion"/>
  </si>
  <si>
    <t>售价</t>
  </si>
  <si>
    <t>毛坯</t>
    <phoneticPr fontId="21" type="noConversion"/>
  </si>
  <si>
    <t>简装</t>
    <phoneticPr fontId="21" type="noConversion"/>
  </si>
  <si>
    <t>住宅</t>
    <phoneticPr fontId="21" type="noConversion"/>
  </si>
  <si>
    <t>较好</t>
    <phoneticPr fontId="21" type="noConversion"/>
  </si>
  <si>
    <t>较差</t>
    <phoneticPr fontId="21" type="noConversion"/>
  </si>
  <si>
    <t>板塔结合</t>
    <phoneticPr fontId="21" type="noConversion"/>
  </si>
  <si>
    <t>板楼</t>
    <phoneticPr fontId="21" type="noConversion"/>
  </si>
  <si>
    <t>押一</t>
  </si>
  <si>
    <t>土地（套用方法）</t>
  </si>
  <si>
    <t>不动产收益法-商业</t>
  </si>
  <si>
    <t>钢混</t>
    <phoneticPr fontId="3" type="noConversion"/>
  </si>
  <si>
    <t>不动产收益法-车库</t>
  </si>
  <si>
    <t>自定义</t>
  </si>
  <si>
    <t>龙城一号</t>
    <phoneticPr fontId="3" type="noConversion"/>
  </si>
  <si>
    <t>惠州市博罗县龙溪镇</t>
    <phoneticPr fontId="21" type="noConversion"/>
  </si>
  <si>
    <t>凤凰苑</t>
    <phoneticPr fontId="3" type="noConversion"/>
  </si>
  <si>
    <t>星岸城</t>
    <phoneticPr fontId="3" type="noConversion"/>
  </si>
  <si>
    <t>惠州市博罗县龙溪惠州市博罗县</t>
    <phoneticPr fontId="3" type="noConversion"/>
  </si>
  <si>
    <t>一般</t>
    <phoneticPr fontId="21" type="noConversion"/>
  </si>
  <si>
    <t>30-40（含）</t>
  </si>
  <si>
    <t>商业</t>
    <phoneticPr fontId="26" type="noConversion"/>
  </si>
  <si>
    <t>大</t>
    <phoneticPr fontId="26" type="noConversion"/>
  </si>
  <si>
    <t>较大</t>
    <phoneticPr fontId="26" type="noConversion"/>
  </si>
  <si>
    <t>一般</t>
    <phoneticPr fontId="26" type="noConversion"/>
  </si>
  <si>
    <t>较小</t>
    <phoneticPr fontId="26" type="noConversion"/>
  </si>
  <si>
    <t>小</t>
    <phoneticPr fontId="26" type="noConversion"/>
  </si>
  <si>
    <t>独立商业</t>
    <phoneticPr fontId="26" type="noConversion"/>
  </si>
  <si>
    <t>商业街商铺</t>
  </si>
  <si>
    <t>商业街商铺</t>
    <phoneticPr fontId="26" type="noConversion"/>
  </si>
  <si>
    <t>写字楼配套</t>
    <phoneticPr fontId="26" type="noConversion"/>
  </si>
  <si>
    <t>住宅配套</t>
  </si>
  <si>
    <t>住宅配套</t>
    <phoneticPr fontId="26" type="noConversion"/>
  </si>
  <si>
    <t>六通</t>
    <phoneticPr fontId="26" type="noConversion"/>
  </si>
  <si>
    <t>可餐饮</t>
  </si>
  <si>
    <t>可餐饮</t>
    <phoneticPr fontId="26" type="noConversion"/>
  </si>
  <si>
    <t>不可餐饮</t>
  </si>
  <si>
    <t>不可餐饮</t>
    <phoneticPr fontId="26" type="noConversion"/>
  </si>
  <si>
    <t>毛坯</t>
    <phoneticPr fontId="26" type="noConversion"/>
  </si>
  <si>
    <t>正常</t>
    <phoneticPr fontId="26" type="noConversion"/>
  </si>
  <si>
    <t>不可餐饮</t>
    <phoneticPr fontId="26" type="noConversion"/>
  </si>
  <si>
    <t>龙溪新城</t>
    <phoneticPr fontId="3" type="noConversion"/>
  </si>
  <si>
    <t>85-160</t>
    <phoneticPr fontId="26" type="noConversion"/>
  </si>
  <si>
    <t>20-30（含）</t>
  </si>
  <si>
    <t>较差</t>
    <phoneticPr fontId="26" type="noConversion"/>
  </si>
  <si>
    <t>住宅配套</t>
    <phoneticPr fontId="26" type="noConversion"/>
  </si>
  <si>
    <t>不可餐饮</t>
    <phoneticPr fontId="26" type="noConversion"/>
  </si>
  <si>
    <t>简装</t>
    <phoneticPr fontId="26" type="noConversion"/>
  </si>
  <si>
    <t>正常</t>
    <phoneticPr fontId="26" type="noConversion"/>
  </si>
  <si>
    <t>商业</t>
    <phoneticPr fontId="26" type="noConversion"/>
  </si>
  <si>
    <t>不临街</t>
  </si>
  <si>
    <t>多面临街</t>
    <phoneticPr fontId="26" type="noConversion"/>
  </si>
  <si>
    <t>双面临街</t>
    <phoneticPr fontId="26" type="noConversion"/>
  </si>
  <si>
    <t>单面临街</t>
    <phoneticPr fontId="26" type="noConversion"/>
  </si>
  <si>
    <t>不临街</t>
    <phoneticPr fontId="26" type="noConversion"/>
  </si>
  <si>
    <t>单面临街</t>
    <phoneticPr fontId="26" type="noConversion"/>
  </si>
  <si>
    <t>单面临街</t>
    <phoneticPr fontId="26" type="noConversion"/>
  </si>
  <si>
    <t>地价款</t>
    <phoneticPr fontId="9" type="noConversion"/>
  </si>
  <si>
    <t>商业</t>
    <phoneticPr fontId="21" type="noConversion"/>
  </si>
  <si>
    <t>新综合楼</t>
    <phoneticPr fontId="21" type="noConversion"/>
  </si>
  <si>
    <t>85-160</t>
    <phoneticPr fontId="26" type="noConversion"/>
  </si>
  <si>
    <t>160-500</t>
    <phoneticPr fontId="26" type="noConversion"/>
  </si>
  <si>
    <t>500-1000</t>
    <phoneticPr fontId="26" type="noConversion"/>
  </si>
  <si>
    <t>1000-1500</t>
    <phoneticPr fontId="26" type="noConversion"/>
  </si>
  <si>
    <r>
      <t>1</t>
    </r>
    <r>
      <rPr>
        <sz val="10"/>
        <color indexed="8"/>
        <rFont val="宋体"/>
        <family val="3"/>
        <charset val="134"/>
      </rPr>
      <t>层</t>
    </r>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</si>
  <si>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</si>
  <si>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</si>
  <si>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t>1层</t>
  </si>
  <si>
    <t>2层</t>
  </si>
  <si>
    <t>3层</t>
  </si>
  <si>
    <t>广东省惠州市</t>
    <phoneticPr fontId="6" type="noConversion"/>
  </si>
  <si>
    <t>博罗县龙溪镇宫庭村南水园（土名）441322021003GB00392W00000000、441322021003GB00393W00000000、441322021003GB01260W00000000号共计三宗住宅、商业、地下车库用地</t>
    <phoneticPr fontId="6" type="noConversion"/>
  </si>
  <si>
    <t>企业</t>
  </si>
  <si>
    <t>城镇住宅用地</t>
    <phoneticPr fontId="6" type="noConversion"/>
  </si>
  <si>
    <t>住宅、商业、地下车库</t>
    <phoneticPr fontId="6" type="noConversion"/>
  </si>
  <si>
    <t>《国有土地使用证》[粤（2016）博罗县不动产权第0000002、0000003、0000005号]</t>
  </si>
  <si>
    <t>《国有土地使用证》[粤（2016）博罗县不动产权第0000002、0000003、0000005号]</t>
    <phoneticPr fontId="6" type="noConversion"/>
  </si>
  <si>
    <t>《项目总指标》</t>
  </si>
  <si>
    <t>《项目总指标》</t>
    <phoneticPr fontId="6" type="noConversion"/>
  </si>
  <si>
    <t>不一致</t>
  </si>
  <si>
    <t>符合</t>
  </si>
  <si>
    <t>住宅63.9年、商业33.9年、地下车库43.9年</t>
    <phoneticPr fontId="6" type="noConversion"/>
  </si>
  <si>
    <t>否</t>
  </si>
  <si>
    <t>场地平整</t>
  </si>
  <si>
    <t>平整</t>
  </si>
  <si>
    <t>华澳国际信托有限公司</t>
    <phoneticPr fontId="6" type="noConversion"/>
  </si>
  <si>
    <t>吴薇</t>
  </si>
  <si>
    <t>刘梅</t>
  </si>
  <si>
    <t>已注销</t>
  </si>
  <si>
    <t>抵押价格</t>
  </si>
  <si>
    <t>2018-1-0098-P01DYGJ2</t>
    <phoneticPr fontId="6" type="noConversion"/>
  </si>
  <si>
    <t>原件</t>
  </si>
  <si>
    <t>惠州市红升房地产开发有限公司</t>
    <phoneticPr fontId="6" type="noConversion"/>
  </si>
  <si>
    <t>《国有土地使用证》证号</t>
    <phoneticPr fontId="9" type="noConversion"/>
  </si>
  <si>
    <t>抵押情况</t>
    <phoneticPr fontId="9" type="noConversion"/>
  </si>
  <si>
    <r>
      <rPr>
        <sz val="10"/>
        <color indexed="8"/>
        <rFont val="宋体"/>
        <family val="3"/>
        <charset val="134"/>
      </rPr>
      <t>粤（</t>
    </r>
    <r>
      <rPr>
        <sz val="10"/>
        <color indexed="8"/>
        <rFont val="Arial"/>
        <family val="2"/>
      </rPr>
      <t>2016</t>
    </r>
    <r>
      <rPr>
        <sz val="10"/>
        <color indexed="8"/>
        <rFont val="宋体"/>
        <family val="3"/>
        <charset val="134"/>
      </rPr>
      <t>）博罗县不动产权第</t>
    </r>
    <r>
      <rPr>
        <sz val="10"/>
        <color indexed="8"/>
        <rFont val="Arial"/>
        <family val="2"/>
      </rPr>
      <t>0000002</t>
    </r>
    <r>
      <rPr>
        <sz val="10"/>
        <color indexed="8"/>
        <rFont val="宋体"/>
        <family val="3"/>
        <charset val="134"/>
      </rPr>
      <t>号</t>
    </r>
    <phoneticPr fontId="9" type="noConversion"/>
  </si>
  <si>
    <r>
      <rPr>
        <sz val="10"/>
        <color indexed="8"/>
        <rFont val="宋体"/>
        <family val="3"/>
        <charset val="134"/>
      </rPr>
      <t>粤（</t>
    </r>
    <r>
      <rPr>
        <sz val="10"/>
        <color indexed="8"/>
        <rFont val="Arial"/>
        <family val="2"/>
      </rPr>
      <t>2016</t>
    </r>
    <r>
      <rPr>
        <sz val="10"/>
        <color indexed="8"/>
        <rFont val="宋体"/>
        <family val="3"/>
        <charset val="134"/>
      </rPr>
      <t>）博罗县不动产权第</t>
    </r>
    <r>
      <rPr>
        <sz val="10"/>
        <color indexed="8"/>
        <rFont val="Arial"/>
        <family val="2"/>
      </rPr>
      <t>0000003号</t>
    </r>
    <r>
      <rPr>
        <sz val="10"/>
        <color indexed="8"/>
        <rFont val="宋体"/>
        <family val="3"/>
        <charset val="134"/>
      </rPr>
      <t/>
    </r>
  </si>
  <si>
    <r>
      <rPr>
        <sz val="10"/>
        <color indexed="8"/>
        <rFont val="宋体"/>
        <family val="3"/>
        <charset val="134"/>
      </rPr>
      <t>粤（</t>
    </r>
    <r>
      <rPr>
        <sz val="10"/>
        <color indexed="8"/>
        <rFont val="Arial"/>
        <family val="2"/>
      </rPr>
      <t>2016</t>
    </r>
    <r>
      <rPr>
        <sz val="10"/>
        <color indexed="8"/>
        <rFont val="宋体"/>
        <family val="3"/>
        <charset val="134"/>
      </rPr>
      <t>）博罗县不动产权第</t>
    </r>
    <r>
      <rPr>
        <sz val="10"/>
        <color indexed="8"/>
        <rFont val="Arial"/>
        <family val="2"/>
      </rPr>
      <t>0000005</t>
    </r>
    <r>
      <rPr>
        <sz val="10"/>
        <color indexed="8"/>
        <rFont val="宋体"/>
        <family val="3"/>
        <charset val="134"/>
      </rPr>
      <t>号</t>
    </r>
    <phoneticPr fontId="9" type="noConversion"/>
  </si>
  <si>
    <r>
      <t>出让国有建设用地使用权面积/</t>
    </r>
    <r>
      <rPr>
        <sz val="9"/>
        <color theme="1"/>
        <rFont val="宋体"/>
        <family val="3"/>
        <charset val="134"/>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</si>
</sst>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color theme="1"/>
      <name val="Times New Roman"/>
      <family val="1"/>
    </font>
    <font>
      <sz val="9"/>
      <color theme="1"/>
      <name val="仿宋_GB2312"/>
      <family val="3"/>
      <charset val="134"/>
    </font>
    <font>
      <sz val="9"/>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00B05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0" xfId="0" applyAlignment="1">
      <alignment wrapText="1"/>
    </xf>
    <xf numFmtId="0" fontId="145" fillId="0" borderId="0" xfId="0" applyFont="1" applyAlignment="1">
      <alignment wrapText="1"/>
    </xf>
    <xf numFmtId="0" fontId="0" fillId="6" borderId="0" xfId="0" applyFill="1" applyAlignment="1">
      <alignment wrapText="1"/>
    </xf>
    <xf numFmtId="0" fontId="0" fillId="6" borderId="0" xfId="0" applyFill="1" applyAlignment="1"/>
    <xf numFmtId="0" fontId="0" fillId="0" borderId="0" xfId="0" applyFill="1" applyAlignment="1">
      <alignment wrapText="1"/>
    </xf>
    <xf numFmtId="0" fontId="0" fillId="0" borderId="0" xfId="0" applyFill="1" applyAlignment="1"/>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5" fillId="0" borderId="0" xfId="0" applyFont="1" applyAlignment="1">
      <alignment horizontal="center" vertical="center"/>
    </xf>
    <xf numFmtId="0" fontId="286" fillId="17" borderId="153" xfId="0" applyFont="1" applyFill="1" applyBorder="1" applyAlignment="1">
      <alignment horizontal="center"/>
    </xf>
    <xf numFmtId="0" fontId="286"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87" fillId="13" borderId="0" xfId="0" applyFont="1" applyFill="1" applyAlignment="1">
      <alignment horizontal="left" vertical="center" wrapText="1"/>
    </xf>
    <xf numFmtId="0" fontId="287" fillId="13" borderId="155" xfId="0" applyFont="1" applyFill="1" applyBorder="1" applyAlignment="1">
      <alignment horizontal="right" vertical="center" wrapText="1"/>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71" fillId="19" borderId="11" xfId="0" applyFont="1" applyFill="1" applyBorder="1" applyAlignment="1" applyProtection="1">
      <alignment vertical="center"/>
      <protection locked="0"/>
    </xf>
    <xf numFmtId="183" fontId="78" fillId="19" borderId="2" xfId="0" applyNumberFormat="1" applyFont="1" applyFill="1" applyBorder="1" applyAlignment="1" applyProtection="1">
      <alignment horizontal="center" vertical="center" shrinkToFit="1"/>
      <protection locked="0"/>
    </xf>
    <xf numFmtId="0" fontId="144" fillId="0" borderId="6"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2" fillId="8" borderId="0" xfId="0" applyFont="1" applyFill="1" applyProtection="1">
      <alignment vertical="center"/>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176" fontId="80" fillId="0" borderId="64"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88" fillId="0" borderId="0" xfId="0" applyFont="1" applyAlignment="1">
      <alignment vertical="center" wrapText="1"/>
    </xf>
    <xf numFmtId="0" fontId="289" fillId="0" borderId="80" xfId="0" applyFont="1" applyBorder="1" applyAlignment="1">
      <alignment horizontal="center" vertical="center" wrapText="1"/>
    </xf>
    <xf numFmtId="0" fontId="289" fillId="0" borderId="35" xfId="0" applyFont="1" applyBorder="1" applyAlignment="1">
      <alignment horizontal="center" vertical="center" wrapText="1"/>
    </xf>
    <xf numFmtId="0" fontId="289" fillId="0" borderId="80" xfId="0" applyFont="1" applyBorder="1" applyAlignment="1">
      <alignment horizontal="center" vertical="center" wrapText="1"/>
    </xf>
    <xf numFmtId="0" fontId="173" fillId="0" borderId="80"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9" customWidth="1"/>
    <col min="2" max="2" width="20.625" style="3474" customWidth="1"/>
    <col min="3" max="3" width="11.875" style="3474" customWidth="1"/>
    <col min="4" max="4" width="40.5" style="3199" customWidth="1"/>
    <col min="5" max="5" width="15.75" style="3199" customWidth="1"/>
    <col min="6" max="6" width="10.625" style="3199" customWidth="1"/>
    <col min="7" max="7" width="4.875" style="3199" customWidth="1"/>
    <col min="8" max="8" width="8.5" style="3199" customWidth="1"/>
    <col min="9" max="9" width="21.25" style="3199" customWidth="1"/>
    <col min="10" max="10" width="12.25" style="3199" customWidth="1"/>
    <col min="11" max="11" width="40.125" style="3461" customWidth="1"/>
    <col min="12" max="12" width="16.375" style="3199" customWidth="1"/>
    <col min="13" max="13" width="13" style="3199" customWidth="1"/>
    <col min="14" max="14" width="13.75" style="3198" customWidth="1"/>
    <col min="15" max="15" width="5.125" style="3198" customWidth="1"/>
    <col min="16" max="16" width="25.75" style="3198" customWidth="1"/>
    <col min="17" max="17" width="13.75" style="3198" customWidth="1"/>
    <col min="18" max="18" width="20.5" style="3198" customWidth="1"/>
    <col min="19" max="19" width="13.25" style="3198" customWidth="1"/>
    <col min="20" max="37" width="9" style="3198"/>
    <col min="38" max="16384" width="9" style="3199"/>
  </cols>
  <sheetData>
    <row r="1" spans="1:37" s="3188" customFormat="1" ht="21">
      <c r="A1" s="3177" t="s">
        <v>2972</v>
      </c>
      <c r="B1" s="3178"/>
      <c r="C1" s="3179"/>
      <c r="D1" s="3180"/>
      <c r="E1" s="3181" t="s">
        <v>2973</v>
      </c>
      <c r="F1" s="3182" t="b">
        <f>J53</f>
        <v>0</v>
      </c>
      <c r="G1" s="3183">
        <f>MATCH(C1,'[1]数据-取费表'!A6:A16,0)+5</f>
        <v>6</v>
      </c>
      <c r="H1" s="3184"/>
      <c r="I1" s="3185"/>
      <c r="J1" s="3185"/>
      <c r="K1" s="3186"/>
      <c r="L1" s="3185"/>
      <c r="M1" s="3185"/>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row>
    <row r="2" spans="1:37" ht="18" customHeight="1">
      <c r="A2" s="3189" t="s">
        <v>2974</v>
      </c>
      <c r="B2" s="3190" t="e">
        <f ca="1">ROUND(D2/10000,0)</f>
        <v>#DIV/0!</v>
      </c>
      <c r="C2" s="3191" t="s">
        <v>2975</v>
      </c>
      <c r="D2" s="3192" t="e">
        <f ca="1">C40+J29+L46</f>
        <v>#DIV/0!</v>
      </c>
      <c r="E2" s="3193" t="s">
        <v>2976</v>
      </c>
      <c r="F2" s="3194"/>
      <c r="G2" s="3195"/>
      <c r="H2" s="3196"/>
      <c r="I2" s="3196"/>
      <c r="J2" s="3196"/>
      <c r="K2" s="3197"/>
      <c r="L2" s="3196"/>
      <c r="M2" s="3196"/>
    </row>
    <row r="3" spans="1:37" ht="18" customHeight="1" thickBot="1">
      <c r="A3" s="3200" t="s">
        <v>2977</v>
      </c>
      <c r="B3" s="3201">
        <f ca="1">IF(ISERROR(D2/F43),0,ROUND(D2/F43,0))</f>
        <v>0</v>
      </c>
      <c r="C3" s="3191" t="s">
        <v>2978</v>
      </c>
      <c r="D3" s="3191"/>
      <c r="E3" s="3193"/>
      <c r="F3" s="3194"/>
      <c r="G3" s="3195"/>
      <c r="H3" s="3202" t="s">
        <v>2979</v>
      </c>
      <c r="I3" s="3196"/>
      <c r="J3" s="3196"/>
      <c r="K3" s="3197"/>
      <c r="L3" s="3196"/>
      <c r="M3" s="3196"/>
    </row>
    <row r="4" spans="1:37" ht="18" customHeight="1">
      <c r="A4" s="3203" t="s">
        <v>2980</v>
      </c>
      <c r="B4" s="3204" t="s">
        <v>2981</v>
      </c>
      <c r="C4" s="3204" t="s">
        <v>2982</v>
      </c>
      <c r="D4" s="3204" t="s">
        <v>2983</v>
      </c>
      <c r="E4" s="3205" t="s">
        <v>2984</v>
      </c>
      <c r="F4" s="3206"/>
      <c r="G4" s="3207"/>
      <c r="H4" s="3203" t="s">
        <v>2985</v>
      </c>
      <c r="I4" s="3204" t="s">
        <v>2986</v>
      </c>
      <c r="J4" s="3204" t="s">
        <v>2987</v>
      </c>
      <c r="K4" s="3204" t="s">
        <v>2988</v>
      </c>
      <c r="L4" s="3205" t="s">
        <v>2984</v>
      </c>
      <c r="M4" s="3206"/>
    </row>
    <row r="5" spans="1:37" ht="18" customHeight="1">
      <c r="A5" s="3208">
        <v>1</v>
      </c>
      <c r="B5" s="3209" t="s">
        <v>2989</v>
      </c>
      <c r="C5" s="3210">
        <f ca="1">C6+C10+C12</f>
        <v>0</v>
      </c>
      <c r="D5" s="3211" t="s">
        <v>2990</v>
      </c>
      <c r="E5" s="3212"/>
      <c r="F5" s="3213"/>
      <c r="G5" s="3207"/>
      <c r="H5" s="3208">
        <v>1</v>
      </c>
      <c r="I5" s="3209" t="s">
        <v>2989</v>
      </c>
      <c r="J5" s="3210">
        <f ca="1">J6+J10+J12</f>
        <v>0</v>
      </c>
      <c r="K5" s="3211" t="s">
        <v>2990</v>
      </c>
      <c r="L5" s="3212"/>
      <c r="M5" s="3213"/>
    </row>
    <row r="6" spans="1:37" ht="18" customHeight="1">
      <c r="A6" s="3214" t="s">
        <v>2991</v>
      </c>
      <c r="B6" s="3530" t="s">
        <v>2992</v>
      </c>
      <c r="C6" s="3215">
        <f ca="1">ROUND(F6*F8*F7*(1-F9),0)</f>
        <v>0</v>
      </c>
      <c r="D6" s="3216" t="s">
        <v>2993</v>
      </c>
      <c r="E6" s="3217" t="s">
        <v>2994</v>
      </c>
      <c r="F6" s="3218">
        <f ca="1">INDIRECT("'数据-取费表'!u"&amp;$G$1)</f>
        <v>0</v>
      </c>
      <c r="G6" s="3207"/>
      <c r="H6" s="3214" t="s">
        <v>2991</v>
      </c>
      <c r="I6" s="3530" t="s">
        <v>2992</v>
      </c>
      <c r="J6" s="3219">
        <f ca="1">ROUND(M6*M8*M7*(1-M9),0)</f>
        <v>0</v>
      </c>
      <c r="K6" s="3220" t="s">
        <v>2995</v>
      </c>
      <c r="L6" s="3217" t="s">
        <v>2994</v>
      </c>
      <c r="M6" s="3218">
        <f ca="1">INDIRECT("'数据-取费表'!z"&amp;$G$1)</f>
        <v>0</v>
      </c>
    </row>
    <row r="7" spans="1:37" ht="18" customHeight="1">
      <c r="A7" s="3221"/>
      <c r="B7" s="3531"/>
      <c r="C7" s="3222"/>
      <c r="D7" s="3223"/>
      <c r="E7" s="3224" t="s">
        <v>2996</v>
      </c>
      <c r="F7" s="3218">
        <f ca="1">IF(INDIRECT("'数据-取费表'!ah"&amp;$G$1)="",INDIRECT("'数据-取费表'!k"&amp;$G$1),INDIRECT("'数据-取费表'!ah"&amp;$G$1))</f>
        <v>252484</v>
      </c>
      <c r="G7" s="3207"/>
      <c r="H7" s="3225"/>
      <c r="I7" s="3531"/>
      <c r="J7" s="3226"/>
      <c r="K7" s="3223"/>
      <c r="L7" s="3217" t="s">
        <v>2996</v>
      </c>
      <c r="M7" s="3218">
        <f ca="1">F7</f>
        <v>252484</v>
      </c>
    </row>
    <row r="8" spans="1:37" ht="18" customHeight="1">
      <c r="A8" s="3225"/>
      <c r="B8" s="3531"/>
      <c r="C8" s="3226"/>
      <c r="D8" s="3223"/>
      <c r="E8" s="3217" t="s">
        <v>2997</v>
      </c>
      <c r="F8" s="3218">
        <f ca="1">INDIRECT("'数据-取费表'!ai"&amp;$G$1)</f>
        <v>0</v>
      </c>
      <c r="G8" s="3207"/>
      <c r="H8" s="3225"/>
      <c r="I8" s="3531"/>
      <c r="J8" s="3226"/>
      <c r="K8" s="3223"/>
      <c r="L8" s="3217" t="s">
        <v>2997</v>
      </c>
      <c r="M8" s="3218">
        <f ca="1">INDIRECT("'数据-取费表'!ai"&amp;$G$1)</f>
        <v>0</v>
      </c>
    </row>
    <row r="9" spans="1:37" ht="18" customHeight="1">
      <c r="A9" s="3225"/>
      <c r="B9" s="3532"/>
      <c r="C9" s="3226"/>
      <c r="D9" s="3223"/>
      <c r="E9" s="3217" t="s">
        <v>2998</v>
      </c>
      <c r="F9" s="3227">
        <f ca="1">INDIRECT("'数据-取费表'!w"&amp;$G$1)</f>
        <v>0</v>
      </c>
      <c r="G9" s="3207"/>
      <c r="H9" s="3225"/>
      <c r="I9" s="3532"/>
      <c r="J9" s="3226"/>
      <c r="K9" s="3223"/>
      <c r="L9" s="3228" t="s">
        <v>2998</v>
      </c>
      <c r="M9" s="3229">
        <f ca="1">INDIRECT("'数据-取费表'!ab"&amp;$G$1)</f>
        <v>0</v>
      </c>
    </row>
    <row r="10" spans="1:37" ht="18" customHeight="1">
      <c r="A10" s="3214" t="s">
        <v>2999</v>
      </c>
      <c r="B10" s="3230" t="s">
        <v>3000</v>
      </c>
      <c r="C10" s="3231">
        <f>ROUND(IF(F10="押一",F6*F8*F7/12*F11,IF(F10="押二",F6*F8*F7/12*2*F11,IF(F10="押三",F6*F8*F7/12*3*F11,C11*F11))),0)</f>
        <v>0</v>
      </c>
      <c r="D10" s="3232" t="s">
        <v>3001</v>
      </c>
      <c r="E10" s="3228" t="s">
        <v>3002</v>
      </c>
      <c r="F10" s="3233"/>
      <c r="G10" s="3207"/>
      <c r="H10" s="3214" t="s">
        <v>2999</v>
      </c>
      <c r="I10" s="3230" t="s">
        <v>3000</v>
      </c>
      <c r="J10" s="3219">
        <f>ROUND(IF(M10="押一",M6*M8*M7/12*M11,IF(M10="押二",M6*M8*M7/12*2*M11,IF(M10="押三",M6*M8*M7/12*3*M11,J11*M11))),0)</f>
        <v>0</v>
      </c>
      <c r="K10" s="3234" t="s">
        <v>3003</v>
      </c>
      <c r="L10" s="3228" t="s">
        <v>3002</v>
      </c>
      <c r="M10" s="3233"/>
    </row>
    <row r="11" spans="1:37" ht="18" customHeight="1">
      <c r="A11" s="3235"/>
      <c r="B11" s="3236" t="s">
        <v>3004</v>
      </c>
      <c r="C11" s="3237"/>
      <c r="D11" s="3223"/>
      <c r="E11" s="3228" t="s">
        <v>3005</v>
      </c>
      <c r="F11" s="3229">
        <f>'[1]数据-取费表'!B39</f>
        <v>0</v>
      </c>
      <c r="G11" s="3207"/>
      <c r="H11" s="3238"/>
      <c r="I11" s="3236" t="s">
        <v>3006</v>
      </c>
      <c r="J11" s="3237"/>
      <c r="K11" s="3239"/>
      <c r="L11" s="3228" t="s">
        <v>3005</v>
      </c>
      <c r="M11" s="3240">
        <f>'[1]数据-取费表'!B39</f>
        <v>0</v>
      </c>
    </row>
    <row r="12" spans="1:37" ht="18" customHeight="1" thickBot="1">
      <c r="A12" s="3241" t="s">
        <v>3007</v>
      </c>
      <c r="B12" s="3242" t="s">
        <v>3008</v>
      </c>
      <c r="C12" s="3243"/>
      <c r="D12" s="3244"/>
      <c r="E12" s="3245"/>
      <c r="F12" s="3246"/>
      <c r="G12" s="3207"/>
      <c r="H12" s="3241" t="s">
        <v>3007</v>
      </c>
      <c r="I12" s="3242" t="s">
        <v>3008</v>
      </c>
      <c r="J12" s="3243"/>
      <c r="K12" s="3247"/>
      <c r="L12" s="3245"/>
      <c r="M12" s="3248"/>
    </row>
    <row r="13" spans="1:37" ht="18" customHeight="1" thickTop="1">
      <c r="A13" s="3249">
        <v>2</v>
      </c>
      <c r="B13" s="3250" t="s">
        <v>3009</v>
      </c>
      <c r="C13" s="3251">
        <f ca="1">ROUND(C29*F13,0)</f>
        <v>0</v>
      </c>
      <c r="D13" s="3252" t="s">
        <v>3010</v>
      </c>
      <c r="E13" s="3252" t="s">
        <v>3011</v>
      </c>
      <c r="F13" s="3253">
        <f ca="1">INDIRECT("'数据-取费表'!y"&amp;$G$1)</f>
        <v>0</v>
      </c>
      <c r="G13" s="3207"/>
      <c r="H13" s="3249">
        <v>2</v>
      </c>
      <c r="I13" s="3250" t="s">
        <v>3009</v>
      </c>
      <c r="J13" s="3254">
        <f ca="1">ROUND(J14*J15,0)</f>
        <v>0</v>
      </c>
      <c r="K13" s="3255" t="s">
        <v>3010</v>
      </c>
      <c r="L13" s="3256"/>
      <c r="M13" s="3257"/>
    </row>
    <row r="14" spans="1:37" ht="18" customHeight="1">
      <c r="A14" s="3258" t="s">
        <v>3012</v>
      </c>
      <c r="B14" s="3217" t="s">
        <v>3013</v>
      </c>
      <c r="C14" s="3259">
        <f ca="1">ROUND(INDIRECT("'数据-取费表'!l"&amp;$G$1)*F43+'[1]数据-取费表'!L14*INDIRECT("'数据-取费表'!S"&amp;$G$1),0)</f>
        <v>580713200</v>
      </c>
      <c r="D14" s="3260" t="s">
        <v>3014</v>
      </c>
      <c r="E14" s="3261"/>
      <c r="F14" s="3262"/>
      <c r="G14" s="3207"/>
      <c r="H14" s="3258" t="s">
        <v>3015</v>
      </c>
      <c r="I14" s="3217" t="s">
        <v>3016</v>
      </c>
      <c r="J14" s="3263">
        <f ca="1">C29</f>
        <v>667820180</v>
      </c>
      <c r="K14" s="3264"/>
      <c r="L14" s="3265"/>
      <c r="M14" s="3266"/>
    </row>
    <row r="15" spans="1:37" s="3275" customFormat="1" ht="18" customHeight="1" thickBot="1">
      <c r="A15" s="3258" t="s">
        <v>3017</v>
      </c>
      <c r="B15" s="3217" t="s">
        <v>3018</v>
      </c>
      <c r="C15" s="3263">
        <f ca="1">ROUND(C14*F15,0)</f>
        <v>0</v>
      </c>
      <c r="D15" s="3267" t="s">
        <v>3019</v>
      </c>
      <c r="E15" s="3267" t="s">
        <v>3020</v>
      </c>
      <c r="F15" s="3268">
        <f>'[1]数据-取费表'!B33</f>
        <v>0</v>
      </c>
      <c r="G15" s="3269"/>
      <c r="H15" s="3270" t="s">
        <v>2999</v>
      </c>
      <c r="I15" s="3245" t="s">
        <v>3011</v>
      </c>
      <c r="J15" s="3248">
        <f ca="1">INDIRECT("'数据-取费表'!ad"&amp;$G$1)</f>
        <v>0</v>
      </c>
      <c r="K15" s="3271"/>
      <c r="L15" s="3272"/>
      <c r="M15" s="3273"/>
      <c r="N15" s="3274"/>
      <c r="O15" s="3274"/>
      <c r="P15" s="3274"/>
      <c r="Q15" s="3274"/>
      <c r="R15" s="3274"/>
      <c r="S15" s="3274"/>
      <c r="T15" s="3274"/>
      <c r="U15" s="3274"/>
      <c r="V15" s="3274"/>
      <c r="W15" s="3274"/>
      <c r="X15" s="3274"/>
      <c r="Y15" s="3274"/>
      <c r="Z15" s="3274"/>
      <c r="AA15" s="3274"/>
      <c r="AB15" s="3274"/>
      <c r="AC15" s="3274"/>
      <c r="AD15" s="3274"/>
      <c r="AE15" s="3274"/>
      <c r="AF15" s="3274"/>
      <c r="AG15" s="3274"/>
      <c r="AH15" s="3274"/>
      <c r="AI15" s="3274"/>
      <c r="AJ15" s="3274"/>
      <c r="AK15" s="3274"/>
    </row>
    <row r="16" spans="1:37" ht="18" customHeight="1" thickTop="1">
      <c r="A16" s="3258" t="s">
        <v>3021</v>
      </c>
      <c r="B16" s="3217" t="s">
        <v>3022</v>
      </c>
      <c r="C16" s="3263">
        <f ca="1">ROUND(INDIRECT("'数据-取费表'!l"&amp;$G$1)*F43*F16,0)</f>
        <v>0</v>
      </c>
      <c r="D16" s="3217" t="s">
        <v>3023</v>
      </c>
      <c r="E16" s="3217" t="s">
        <v>3024</v>
      </c>
      <c r="F16" s="3276">
        <f ca="1">IF(INDIRECT("'数据-取费表'!c"&amp;$G$1)="住宅",'[1]数据-取费表'!B34,0)</f>
        <v>0</v>
      </c>
      <c r="G16" s="3207"/>
      <c r="H16" s="3249" t="s">
        <v>3025</v>
      </c>
      <c r="I16" s="3250" t="s">
        <v>3026</v>
      </c>
      <c r="J16" s="3251">
        <f ca="1">ROUND(J17+J22+J23+J24,0)</f>
        <v>5609690</v>
      </c>
      <c r="K16" s="3255" t="s">
        <v>3027</v>
      </c>
      <c r="L16" s="3277"/>
      <c r="M16" s="3213"/>
    </row>
    <row r="17" spans="1:37" s="3275" customFormat="1" ht="18" customHeight="1">
      <c r="A17" s="3258" t="s">
        <v>3028</v>
      </c>
      <c r="B17" s="3217" t="s">
        <v>3029</v>
      </c>
      <c r="C17" s="3263">
        <f ca="1">ROUND(F17*(F43+INDIRECT("'数据-取费表'!S"&amp;$G$1)),0)</f>
        <v>0</v>
      </c>
      <c r="D17" s="3217" t="s">
        <v>3030</v>
      </c>
      <c r="E17" s="3217" t="s">
        <v>3031</v>
      </c>
      <c r="F17" s="3278">
        <f>'[1]数据-取费表'!B35</f>
        <v>0</v>
      </c>
      <c r="G17" s="3269"/>
      <c r="H17" s="3258" t="s">
        <v>2991</v>
      </c>
      <c r="I17" s="3217" t="s">
        <v>3032</v>
      </c>
      <c r="J17" s="3263">
        <f ca="1">ROUND(IF([1]项目基本情况!B11="自然人",J5*M17,J18+J19+J20),0)</f>
        <v>5609690</v>
      </c>
      <c r="K17" s="3260" t="s">
        <v>3033</v>
      </c>
      <c r="L17" s="3279" t="s">
        <v>3034</v>
      </c>
      <c r="M17" s="3280">
        <f ca="1">IF([1]项目基本情况!B11="企业","",IF(INDIRECT("'数据-取费表'!c"&amp;$G$1)="住宅",5%,IF(M6*M7*M8/12/(1+'[1]数据-取费表'!C42)&gt;20000,12%,7%)))</f>
        <v>0.05</v>
      </c>
      <c r="N17" s="3274"/>
      <c r="O17" s="3274"/>
      <c r="P17" s="3274"/>
      <c r="Q17" s="3274"/>
      <c r="R17" s="3274"/>
      <c r="S17" s="3274"/>
      <c r="T17" s="3274"/>
      <c r="U17" s="3274"/>
      <c r="V17" s="3274"/>
      <c r="W17" s="3274"/>
      <c r="X17" s="3274"/>
      <c r="Y17" s="3274"/>
      <c r="Z17" s="3274"/>
      <c r="AA17" s="3274"/>
      <c r="AB17" s="3274"/>
      <c r="AC17" s="3274"/>
      <c r="AD17" s="3274"/>
      <c r="AE17" s="3274"/>
      <c r="AF17" s="3274"/>
      <c r="AG17" s="3274"/>
      <c r="AH17" s="3274"/>
      <c r="AI17" s="3274"/>
      <c r="AJ17" s="3274"/>
      <c r="AK17" s="3274"/>
    </row>
    <row r="18" spans="1:37" s="3275" customFormat="1" ht="18" customHeight="1">
      <c r="A18" s="3258" t="s">
        <v>3035</v>
      </c>
      <c r="B18" s="3217" t="s">
        <v>3036</v>
      </c>
      <c r="C18" s="3263">
        <f ca="1">ROUND(C14*F18,0)</f>
        <v>0</v>
      </c>
      <c r="D18" s="3217" t="s">
        <v>3019</v>
      </c>
      <c r="E18" s="3217" t="s">
        <v>3020</v>
      </c>
      <c r="F18" s="3276">
        <f>'[1]数据-取费表'!B36</f>
        <v>0</v>
      </c>
      <c r="G18" s="3269"/>
      <c r="H18" s="3258" t="s">
        <v>3012</v>
      </c>
      <c r="I18" s="3217" t="s">
        <v>3037</v>
      </c>
      <c r="J18" s="3263">
        <f ca="1">ROUND(J5*M18/(1+'[1]数据-取费表'!C42),0)</f>
        <v>0</v>
      </c>
      <c r="K18" s="3279" t="s">
        <v>3038</v>
      </c>
      <c r="L18" s="3217" t="s">
        <v>3024</v>
      </c>
      <c r="M18" s="3276">
        <f>'[1]数据-取费表'!B41</f>
        <v>0</v>
      </c>
      <c r="N18" s="3274"/>
      <c r="O18" s="3274"/>
      <c r="P18" s="3274"/>
      <c r="Q18" s="3274"/>
      <c r="R18" s="3274"/>
      <c r="S18" s="3274"/>
      <c r="T18" s="3274"/>
      <c r="U18" s="3274"/>
      <c r="V18" s="3274"/>
      <c r="W18" s="3274"/>
      <c r="X18" s="3274"/>
      <c r="Y18" s="3274"/>
      <c r="Z18" s="3274"/>
      <c r="AA18" s="3274"/>
      <c r="AB18" s="3274"/>
      <c r="AC18" s="3274"/>
      <c r="AD18" s="3274"/>
      <c r="AE18" s="3274"/>
      <c r="AF18" s="3274"/>
      <c r="AG18" s="3274"/>
      <c r="AH18" s="3274"/>
      <c r="AI18" s="3274"/>
      <c r="AJ18" s="3274"/>
      <c r="AK18" s="3274"/>
    </row>
    <row r="19" spans="1:37" ht="18" customHeight="1">
      <c r="A19" s="3258" t="s">
        <v>3015</v>
      </c>
      <c r="B19" s="3217" t="s">
        <v>3039</v>
      </c>
      <c r="C19" s="3263">
        <f ca="1">SUM(C14:C18)</f>
        <v>580713200</v>
      </c>
      <c r="D19" s="3281" t="s">
        <v>3040</v>
      </c>
      <c r="E19" s="3282"/>
      <c r="F19" s="3278"/>
      <c r="G19" s="3207"/>
      <c r="H19" s="3258" t="s">
        <v>3017</v>
      </c>
      <c r="I19" s="3217" t="s">
        <v>3041</v>
      </c>
      <c r="J19" s="3263">
        <f ca="1">IF(K19="按租金收入计税",ROUND(J5*M19,0),ROUND(C29*M19*0.7,0))</f>
        <v>5609690</v>
      </c>
      <c r="K19" s="3283" t="s">
        <v>3042</v>
      </c>
      <c r="L19" s="3217" t="s">
        <v>3020</v>
      </c>
      <c r="M19" s="3276">
        <f>IF(K19="按租金收入计税",'[1]数据-取费表'!B51,'[1]数据-取费表'!B50)</f>
        <v>1.2E-2</v>
      </c>
    </row>
    <row r="20" spans="1:37" s="3275" customFormat="1" ht="18" customHeight="1">
      <c r="A20" s="3258" t="s">
        <v>2999</v>
      </c>
      <c r="B20" s="3217" t="s">
        <v>3043</v>
      </c>
      <c r="C20" s="3263">
        <f ca="1">ROUND(C19*F20,0)</f>
        <v>0</v>
      </c>
      <c r="D20" s="3284" t="s">
        <v>3044</v>
      </c>
      <c r="E20" s="3217" t="s">
        <v>3020</v>
      </c>
      <c r="F20" s="3276">
        <f>'[1]数据-取费表'!B37</f>
        <v>0</v>
      </c>
      <c r="G20" s="3269"/>
      <c r="H20" s="3258" t="s">
        <v>3021</v>
      </c>
      <c r="I20" s="3216" t="s">
        <v>3045</v>
      </c>
      <c r="J20" s="3285">
        <f ca="1">ROUND(M20*M21,0)</f>
        <v>0</v>
      </c>
      <c r="K20" s="3286" t="s">
        <v>3046</v>
      </c>
      <c r="L20" s="3217" t="s">
        <v>3047</v>
      </c>
      <c r="M20" s="3287">
        <f>'[1]数据-取费表'!B52</f>
        <v>0</v>
      </c>
      <c r="N20" s="3274"/>
      <c r="O20" s="3274"/>
      <c r="P20" s="3274"/>
      <c r="Q20" s="3274"/>
      <c r="R20" s="3274"/>
      <c r="S20" s="3274"/>
      <c r="T20" s="3274"/>
      <c r="U20" s="3274"/>
      <c r="V20" s="3274"/>
      <c r="W20" s="3274"/>
      <c r="X20" s="3274"/>
      <c r="Y20" s="3274"/>
      <c r="Z20" s="3274"/>
      <c r="AA20" s="3274"/>
      <c r="AB20" s="3274"/>
      <c r="AC20" s="3274"/>
      <c r="AD20" s="3274"/>
      <c r="AE20" s="3274"/>
      <c r="AF20" s="3274"/>
      <c r="AG20" s="3274"/>
      <c r="AH20" s="3274"/>
      <c r="AI20" s="3274"/>
      <c r="AJ20" s="3274"/>
      <c r="AK20" s="3274"/>
    </row>
    <row r="21" spans="1:37" s="3275" customFormat="1" ht="18" customHeight="1">
      <c r="A21" s="3258" t="s">
        <v>3007</v>
      </c>
      <c r="B21" s="3217" t="s">
        <v>3048</v>
      </c>
      <c r="C21" s="3263" t="s">
        <v>3049</v>
      </c>
      <c r="D21" s="3284" t="s">
        <v>3050</v>
      </c>
      <c r="E21" s="3217" t="s">
        <v>3051</v>
      </c>
      <c r="F21" s="3276">
        <f>'[1]数据-取费表'!B38</f>
        <v>0</v>
      </c>
      <c r="G21" s="3269"/>
      <c r="H21" s="3288"/>
      <c r="I21" s="3289"/>
      <c r="J21" s="3290"/>
      <c r="K21" s="3291"/>
      <c r="L21" s="3217" t="s">
        <v>3052</v>
      </c>
      <c r="M21" s="3218">
        <f ca="1">INDIRECT("'数据-取费表'!r"&amp;$G$1)</f>
        <v>53563.57</v>
      </c>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4"/>
      <c r="AK21" s="3274"/>
    </row>
    <row r="22" spans="1:37" ht="18" customHeight="1">
      <c r="A22" s="3258" t="s">
        <v>3053</v>
      </c>
      <c r="B22" s="3217" t="s">
        <v>3054</v>
      </c>
      <c r="C22" s="3263"/>
      <c r="D22" s="3281" t="str">
        <f>IF(F23&lt;=1,"单利计息。","复利计息。")&amp;"建造成本、管理费用、销售费用产生的利息。"</f>
        <v>单利计息。建造成本、管理费用、销售费用产生的利息。</v>
      </c>
      <c r="E22" s="3282"/>
      <c r="F22" s="3278"/>
      <c r="G22" s="3207"/>
      <c r="H22" s="3258" t="s">
        <v>2999</v>
      </c>
      <c r="I22" s="3217" t="s">
        <v>3055</v>
      </c>
      <c r="J22" s="3263">
        <f ca="1">ROUND(J14*M22,0)</f>
        <v>0</v>
      </c>
      <c r="K22" s="3279" t="s">
        <v>3056</v>
      </c>
      <c r="L22" s="3217" t="s">
        <v>3020</v>
      </c>
      <c r="M22" s="3292">
        <f ca="1">INDIRECT("'数据-取费表'!Ak"&amp;$G$1)</f>
        <v>0</v>
      </c>
    </row>
    <row r="23" spans="1:37" s="3275" customFormat="1" ht="18" customHeight="1">
      <c r="A23" s="3258" t="s">
        <v>3012</v>
      </c>
      <c r="B23" s="3217" t="s">
        <v>3057</v>
      </c>
      <c r="C23" s="3263">
        <f ca="1">IF('[1]数据-取费表'!B22&lt;=1,ROUND(C19*F24*F23/2,0)+ROUND(C20*F24*F23/2,0),ROUND(C19*(POWER((1+F24),F23/2)-1),0)+ROUND(C20*(POWER((1+F24),F23/2)-1),0))</f>
        <v>0</v>
      </c>
      <c r="D23" s="3293" t="str">
        <f>IF(F23&lt;=1,"(建造成本+管理费用)×利率×(建设周期÷2)","(建造成本+管理费用)×((1+利率)^(建设周期÷2)-1)")</f>
        <v>(建造成本+管理费用)×利率×(建设周期÷2)</v>
      </c>
      <c r="E23" s="3217" t="s">
        <v>3058</v>
      </c>
      <c r="F23" s="3287">
        <f>'[1]数据-取费表'!B20</f>
        <v>0</v>
      </c>
      <c r="G23" s="3269"/>
      <c r="H23" s="3258" t="s">
        <v>3007</v>
      </c>
      <c r="I23" s="3217" t="s">
        <v>3059</v>
      </c>
      <c r="J23" s="3263">
        <f ca="1">ROUND(J13*M23,0)</f>
        <v>0</v>
      </c>
      <c r="K23" s="3279" t="s">
        <v>3060</v>
      </c>
      <c r="L23" s="3217" t="s">
        <v>3020</v>
      </c>
      <c r="M23" s="3294">
        <f ca="1">INDIRECT("'数据-取费表'!Al"&amp;$G$1)</f>
        <v>0</v>
      </c>
      <c r="N23" s="3274"/>
      <c r="O23" s="3274"/>
      <c r="P23" s="3274"/>
      <c r="Q23" s="3274"/>
      <c r="R23" s="3274"/>
      <c r="S23" s="3274"/>
      <c r="T23" s="3274"/>
      <c r="U23" s="3274"/>
      <c r="V23" s="3274"/>
      <c r="W23" s="3274"/>
      <c r="X23" s="3274"/>
      <c r="Y23" s="3274"/>
      <c r="Z23" s="3274"/>
      <c r="AA23" s="3274"/>
      <c r="AB23" s="3274"/>
      <c r="AC23" s="3274"/>
      <c r="AD23" s="3274"/>
      <c r="AE23" s="3274"/>
      <c r="AF23" s="3274"/>
      <c r="AG23" s="3274"/>
      <c r="AH23" s="3274"/>
      <c r="AI23" s="3274"/>
      <c r="AJ23" s="3274"/>
      <c r="AK23" s="3274"/>
    </row>
    <row r="24" spans="1:37" s="3275" customFormat="1" ht="18" customHeight="1" thickBot="1">
      <c r="A24" s="3258" t="s">
        <v>3061</v>
      </c>
      <c r="B24" s="3217" t="s">
        <v>3062</v>
      </c>
      <c r="C24" s="3263">
        <f>ROUND(IF('[1]数据-取费表'!B22&lt;=1,F21*F24*F23/2,F21*(POWER((1+F24),F23/2)-1)),4)</f>
        <v>0</v>
      </c>
      <c r="D24" s="3293" t="str">
        <f>IF(F23&lt;=1,"销售费用×利率×(建设周期÷2)","销售费用×((1+利率)^(建设周期÷2)-1)")</f>
        <v>销售费用×利率×(建设周期÷2)</v>
      </c>
      <c r="E24" s="3217" t="s">
        <v>3063</v>
      </c>
      <c r="F24" s="3295">
        <f>'[1]数据-取费表'!B40</f>
        <v>0</v>
      </c>
      <c r="G24" s="3269"/>
      <c r="H24" s="3270" t="s">
        <v>3053</v>
      </c>
      <c r="I24" s="3245" t="s">
        <v>3043</v>
      </c>
      <c r="J24" s="3296">
        <f ca="1">ROUND(J5*M24,0)</f>
        <v>0</v>
      </c>
      <c r="K24" s="3297" t="s">
        <v>3064</v>
      </c>
      <c r="L24" s="3245" t="s">
        <v>3020</v>
      </c>
      <c r="M24" s="3246">
        <f ca="1">INDIRECT("'数据-取费表'!Am"&amp;$G$1)</f>
        <v>0</v>
      </c>
      <c r="N24" s="3274"/>
      <c r="O24" s="3274"/>
      <c r="P24" s="3274"/>
      <c r="Q24" s="3274"/>
      <c r="R24" s="3274"/>
      <c r="S24" s="3274"/>
      <c r="T24" s="3274"/>
      <c r="U24" s="3274"/>
      <c r="V24" s="3274"/>
      <c r="W24" s="3274"/>
      <c r="X24" s="3274"/>
      <c r="Y24" s="3274"/>
      <c r="Z24" s="3274"/>
      <c r="AA24" s="3274"/>
      <c r="AB24" s="3274"/>
      <c r="AC24" s="3274"/>
      <c r="AD24" s="3274"/>
      <c r="AE24" s="3274"/>
      <c r="AF24" s="3274"/>
      <c r="AG24" s="3274"/>
      <c r="AH24" s="3274"/>
      <c r="AI24" s="3274"/>
      <c r="AJ24" s="3274"/>
      <c r="AK24" s="3274"/>
    </row>
    <row r="25" spans="1:37" ht="18" customHeight="1" thickTop="1">
      <c r="A25" s="3258" t="s">
        <v>3065</v>
      </c>
      <c r="B25" s="3217" t="s">
        <v>3066</v>
      </c>
      <c r="C25" s="3263"/>
      <c r="D25" s="3281" t="s">
        <v>3067</v>
      </c>
      <c r="E25" s="3282"/>
      <c r="F25" s="3278"/>
      <c r="G25" s="3207"/>
      <c r="H25" s="3249" t="s">
        <v>3068</v>
      </c>
      <c r="I25" s="3298" t="s">
        <v>3069</v>
      </c>
      <c r="J25" s="3251">
        <f ca="1">J5-J16</f>
        <v>-5609690</v>
      </c>
      <c r="K25" s="3299" t="s">
        <v>3070</v>
      </c>
      <c r="L25" s="3300"/>
      <c r="M25" s="3301"/>
    </row>
    <row r="26" spans="1:37" ht="18" customHeight="1">
      <c r="A26" s="3258" t="s">
        <v>3012</v>
      </c>
      <c r="B26" s="3217" t="s">
        <v>3071</v>
      </c>
      <c r="C26" s="3263">
        <f ca="1">ROUND((C19+C20)*F26,0)</f>
        <v>87106980</v>
      </c>
      <c r="D26" s="3284" t="s">
        <v>3072</v>
      </c>
      <c r="E26" s="3228" t="s">
        <v>3073</v>
      </c>
      <c r="F26" s="3227">
        <f ca="1">INDIRECT("'数据-取费表'!q"&amp;$G$1)</f>
        <v>0.15</v>
      </c>
      <c r="G26" s="3207"/>
      <c r="H26" s="3208" t="s">
        <v>3074</v>
      </c>
      <c r="I26" s="3209" t="s">
        <v>3075</v>
      </c>
      <c r="J26" s="3219">
        <f ca="1">IF(J5&lt;&gt;0,ROUND(J25*(1-((1+M28)/(1+M26))^M27)/(M26-M28),0),0)</f>
        <v>0</v>
      </c>
      <c r="K26" s="3286" t="s">
        <v>3076</v>
      </c>
      <c r="L26" s="3217" t="s">
        <v>3077</v>
      </c>
      <c r="M26" s="3227">
        <f ca="1">INDIRECT("'数据-取费表'!I"&amp;$G$1)</f>
        <v>0.05</v>
      </c>
    </row>
    <row r="27" spans="1:37" ht="18" customHeight="1">
      <c r="A27" s="3258" t="s">
        <v>3061</v>
      </c>
      <c r="B27" s="3217" t="s">
        <v>3078</v>
      </c>
      <c r="C27" s="3263">
        <f ca="1">ROUND(F21*F26,4)</f>
        <v>0</v>
      </c>
      <c r="D27" s="3284" t="s">
        <v>3079</v>
      </c>
      <c r="E27" s="3267"/>
      <c r="F27" s="3268"/>
      <c r="G27" s="3207"/>
      <c r="H27" s="3225"/>
      <c r="I27" s="3302"/>
      <c r="J27" s="3226"/>
      <c r="K27" s="3303" t="s">
        <v>3080</v>
      </c>
      <c r="L27" s="3217" t="s">
        <v>3081</v>
      </c>
      <c r="M27" s="3304">
        <f ca="1">INDIRECT("'数据-取费表'!ag"&amp;$G$1)</f>
        <v>0</v>
      </c>
    </row>
    <row r="28" spans="1:37" s="3275" customFormat="1" ht="18" customHeight="1">
      <c r="A28" s="3258" t="s">
        <v>3082</v>
      </c>
      <c r="B28" s="3217" t="s">
        <v>3083</v>
      </c>
      <c r="C28" s="3263">
        <f>ROUND(F28/(1+'[1]数据-取费表'!C42),4)</f>
        <v>0</v>
      </c>
      <c r="D28" s="3284" t="s">
        <v>3084</v>
      </c>
      <c r="E28" s="3217" t="s">
        <v>3020</v>
      </c>
      <c r="F28" s="3276">
        <f>'[1]数据-取费表'!B41</f>
        <v>0</v>
      </c>
      <c r="G28" s="3269"/>
      <c r="H28" s="3235"/>
      <c r="I28" s="3305"/>
      <c r="J28" s="3251"/>
      <c r="K28" s="3291"/>
      <c r="L28" s="3217" t="s">
        <v>3085</v>
      </c>
      <c r="M28" s="3227">
        <f ca="1">INDIRECT("'数据-取费表'!aa"&amp;$G$1)</f>
        <v>0</v>
      </c>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row>
    <row r="29" spans="1:37" s="3275" customFormat="1" ht="18" customHeight="1" thickBot="1">
      <c r="A29" s="3270" t="s">
        <v>3086</v>
      </c>
      <c r="B29" s="3245" t="s">
        <v>3087</v>
      </c>
      <c r="C29" s="3296">
        <f ca="1">ROUND((C19+C20+C23+C26)/(1-F21-C24-C27-C28),0)</f>
        <v>667820180</v>
      </c>
      <c r="D29" s="3297"/>
      <c r="E29" s="3245"/>
      <c r="F29" s="3306"/>
      <c r="G29" s="3269"/>
      <c r="H29" s="3307" t="s">
        <v>3088</v>
      </c>
      <c r="I29" s="3308" t="s">
        <v>3089</v>
      </c>
      <c r="J29" s="3309">
        <f ca="1">ROUND(J26/(1+F40)^F41,0)</f>
        <v>0</v>
      </c>
      <c r="K29" s="3310" t="s">
        <v>3090</v>
      </c>
      <c r="L29" s="3311"/>
      <c r="M29" s="3312">
        <f ca="1">INDIRECT("'数据-取费表'!k"&amp;$G$1)</f>
        <v>252484</v>
      </c>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row>
    <row r="30" spans="1:37" ht="18" customHeight="1" thickTop="1">
      <c r="A30" s="3249" t="s">
        <v>3091</v>
      </c>
      <c r="B30" s="3250" t="s">
        <v>3026</v>
      </c>
      <c r="C30" s="3251">
        <f ca="1">ROUND(C31+C36+C37+C38,0)</f>
        <v>5609690</v>
      </c>
      <c r="D30" s="3255" t="s">
        <v>3027</v>
      </c>
      <c r="E30" s="3277"/>
      <c r="F30" s="3213"/>
      <c r="G30" s="3207"/>
      <c r="H30" s="3313"/>
      <c r="I30" s="3314"/>
      <c r="J30" s="3315"/>
      <c r="K30" s="3239"/>
      <c r="L30" s="3316"/>
      <c r="M30" s="3317"/>
    </row>
    <row r="31" spans="1:37" ht="18" customHeight="1">
      <c r="A31" s="3258" t="s">
        <v>2991</v>
      </c>
      <c r="B31" s="3217" t="s">
        <v>3032</v>
      </c>
      <c r="C31" s="3263">
        <f ca="1">ROUND(IF([1]项目基本情况!B11="自然人",C5*F31,C32+C33+C34),0)</f>
        <v>5609690</v>
      </c>
      <c r="D31" s="3260" t="s">
        <v>3033</v>
      </c>
      <c r="E31" s="3279" t="s">
        <v>3034</v>
      </c>
      <c r="F31" s="3280">
        <f ca="1">IF([1]项目基本情况!B11="企业","",IF(INDIRECT("'数据-取费表'!c"&amp;$G$1)="住宅",5%,IF(F6*F7*F8/12/(1+'[1]数据-取费表'!C42)&gt;20000,12%,7%)))</f>
        <v>0.05</v>
      </c>
      <c r="G31" s="3207"/>
      <c r="H31" s="3313"/>
      <c r="I31" s="3314"/>
      <c r="J31" s="3315"/>
      <c r="K31" s="3239"/>
      <c r="L31" s="3316"/>
      <c r="M31" s="3317"/>
    </row>
    <row r="32" spans="1:37" ht="18" customHeight="1">
      <c r="A32" s="3258" t="s">
        <v>3012</v>
      </c>
      <c r="B32" s="3217" t="s">
        <v>3092</v>
      </c>
      <c r="C32" s="3263">
        <f ca="1">IF([1]项目基本情况!B11="自然人","——",ROUND(C5*F32/(1+'[1]数据-取费表'!C42),0))</f>
        <v>0</v>
      </c>
      <c r="D32" s="3279" t="s">
        <v>3093</v>
      </c>
      <c r="E32" s="3217" t="s">
        <v>3020</v>
      </c>
      <c r="F32" s="3295">
        <f>'[1]数据-取费表'!B41</f>
        <v>0</v>
      </c>
      <c r="G32" s="3207"/>
      <c r="H32" s="3313"/>
      <c r="I32" s="3314"/>
      <c r="J32" s="3315"/>
      <c r="K32" s="3239"/>
      <c r="L32" s="3316"/>
      <c r="M32" s="3317"/>
    </row>
    <row r="33" spans="1:18" ht="18" customHeight="1">
      <c r="A33" s="3258" t="s">
        <v>3061</v>
      </c>
      <c r="B33" s="3217" t="s">
        <v>3041</v>
      </c>
      <c r="C33" s="3263">
        <f ca="1">IF([1]项目基本情况!B11="自然人","——",IF(D33="按租金收入计税",ROUND(C5*F33,0),IF(D33="按房产原值计税",ROUND(C29*F33*0.7,0),INDIRECT("'数据-取费表'!Aj"&amp;$G$1))))</f>
        <v>5609690</v>
      </c>
      <c r="D33" s="3283" t="s">
        <v>3042</v>
      </c>
      <c r="E33" s="3217" t="s">
        <v>3020</v>
      </c>
      <c r="F33" s="3276">
        <f>IF(D33="按票据","——",IF(D33="按租金收入计税",'[1]数据-取费表'!B51,'[1]数据-取费表'!B50))</f>
        <v>1.2E-2</v>
      </c>
      <c r="G33" s="3207"/>
      <c r="H33" s="3318"/>
      <c r="I33" s="3319"/>
      <c r="J33" s="3320"/>
      <c r="K33" s="3321"/>
      <c r="L33" s="3318"/>
      <c r="M33" s="3318"/>
    </row>
    <row r="34" spans="1:18" ht="18" customHeight="1">
      <c r="A34" s="3214" t="s">
        <v>3021</v>
      </c>
      <c r="B34" s="3216" t="s">
        <v>3045</v>
      </c>
      <c r="C34" s="3285">
        <f ca="1">IF([1]项目基本情况!B11="自然人","——",ROUND(F34*F35,))</f>
        <v>0</v>
      </c>
      <c r="D34" s="3286" t="s">
        <v>3046</v>
      </c>
      <c r="E34" s="3217" t="s">
        <v>3047</v>
      </c>
      <c r="F34" s="3287">
        <f>'[1]数据-取费表'!B52</f>
        <v>0</v>
      </c>
      <c r="G34" s="3207"/>
      <c r="H34" s="3313"/>
      <c r="I34" s="3319"/>
      <c r="J34" s="3320"/>
      <c r="K34" s="3322"/>
      <c r="L34" s="3323"/>
      <c r="M34" s="3323"/>
    </row>
    <row r="35" spans="1:18" ht="18" customHeight="1">
      <c r="A35" s="3324"/>
      <c r="B35" s="3325"/>
      <c r="C35" s="3290"/>
      <c r="D35" s="3291"/>
      <c r="E35" s="3217" t="s">
        <v>3052</v>
      </c>
      <c r="F35" s="3218">
        <f ca="1">INDIRECT("'数据-取费表'!r"&amp;$G$1)</f>
        <v>53563.57</v>
      </c>
      <c r="G35" s="3207"/>
      <c r="H35" s="3313"/>
      <c r="I35" s="3319"/>
      <c r="J35" s="3320"/>
      <c r="K35" s="3321"/>
      <c r="L35" s="3318"/>
      <c r="M35" s="3318"/>
    </row>
    <row r="36" spans="1:18" ht="18" customHeight="1">
      <c r="A36" s="3326" t="s">
        <v>2999</v>
      </c>
      <c r="B36" s="3217" t="s">
        <v>3055</v>
      </c>
      <c r="C36" s="3263">
        <f ca="1">ROUND(C29*F36,0)</f>
        <v>0</v>
      </c>
      <c r="D36" s="3279" t="s">
        <v>3094</v>
      </c>
      <c r="E36" s="3217" t="s">
        <v>3020</v>
      </c>
      <c r="F36" s="3292">
        <f ca="1">INDIRECT("'数据-取费表'!Ak"&amp;$G$1)</f>
        <v>0</v>
      </c>
      <c r="G36" s="3207"/>
      <c r="H36" s="3318"/>
      <c r="I36" s="3319"/>
      <c r="J36" s="3320"/>
      <c r="K36" s="3327"/>
      <c r="L36" s="3318"/>
      <c r="M36" s="3318"/>
    </row>
    <row r="37" spans="1:18" ht="18" customHeight="1">
      <c r="A37" s="3258" t="s">
        <v>3007</v>
      </c>
      <c r="B37" s="3217" t="s">
        <v>3059</v>
      </c>
      <c r="C37" s="3263">
        <f ca="1">ROUND(C13*F37,0)</f>
        <v>0</v>
      </c>
      <c r="D37" s="3279" t="s">
        <v>3060</v>
      </c>
      <c r="E37" s="3217" t="s">
        <v>3020</v>
      </c>
      <c r="F37" s="3294">
        <f ca="1">INDIRECT("'数据-取费表'!Al"&amp;$G$1)</f>
        <v>0</v>
      </c>
      <c r="G37" s="3207"/>
      <c r="H37" s="3318"/>
      <c r="I37" s="3319"/>
      <c r="J37" s="3320"/>
      <c r="K37" s="3327"/>
      <c r="L37" s="3318"/>
      <c r="M37" s="3318"/>
    </row>
    <row r="38" spans="1:18" ht="18" customHeight="1" thickBot="1">
      <c r="A38" s="3270" t="s">
        <v>3053</v>
      </c>
      <c r="B38" s="3245" t="s">
        <v>3043</v>
      </c>
      <c r="C38" s="3296">
        <f ca="1">ROUND(C5*F38,1)</f>
        <v>0</v>
      </c>
      <c r="D38" s="3297" t="s">
        <v>3064</v>
      </c>
      <c r="E38" s="3245" t="s">
        <v>3020</v>
      </c>
      <c r="F38" s="3246">
        <f ca="1">INDIRECT("'数据-取费表'!Am"&amp;$G$1)</f>
        <v>0</v>
      </c>
      <c r="G38" s="3207"/>
      <c r="H38" s="3318"/>
      <c r="I38" s="3319"/>
      <c r="J38" s="3320"/>
      <c r="K38" s="3328"/>
      <c r="L38" s="3318"/>
      <c r="M38" s="3318"/>
    </row>
    <row r="39" spans="1:18" ht="24.6" customHeight="1" thickTop="1">
      <c r="A39" s="3249" t="s">
        <v>3068</v>
      </c>
      <c r="B39" s="3298" t="s">
        <v>3069</v>
      </c>
      <c r="C39" s="3251">
        <f ca="1">C5-C30</f>
        <v>-5609690</v>
      </c>
      <c r="D39" s="3299" t="s">
        <v>3070</v>
      </c>
      <c r="E39" s="3300"/>
      <c r="F39" s="3301"/>
      <c r="G39" s="3207"/>
      <c r="H39" s="3318"/>
      <c r="I39" s="3319"/>
      <c r="J39" s="3320"/>
      <c r="K39" s="3328"/>
      <c r="L39" s="3318"/>
      <c r="M39" s="3318"/>
    </row>
    <row r="40" spans="1:18" ht="18" customHeight="1">
      <c r="A40" s="3208" t="s">
        <v>3074</v>
      </c>
      <c r="B40" s="3209" t="s">
        <v>3095</v>
      </c>
      <c r="C40" s="3219">
        <f ca="1">ROUND(C39*(1-((1+F42)/(1+F40))^F41)/(F40-F42),0)</f>
        <v>0</v>
      </c>
      <c r="D40" s="3286" t="s">
        <v>3076</v>
      </c>
      <c r="E40" s="3217" t="s">
        <v>3077</v>
      </c>
      <c r="F40" s="3227">
        <f ca="1">INDIRECT("'数据-取费表'!I"&amp;$G$1)</f>
        <v>0.05</v>
      </c>
      <c r="G40" s="3207"/>
      <c r="H40" s="3329"/>
      <c r="I40" s="3319"/>
      <c r="J40" s="3320"/>
      <c r="K40" s="3328"/>
      <c r="L40" s="3329"/>
      <c r="M40" s="3329"/>
    </row>
    <row r="41" spans="1:18" ht="18" customHeight="1">
      <c r="A41" s="3225"/>
      <c r="B41" s="3302"/>
      <c r="C41" s="3226"/>
      <c r="D41" s="3303" t="s">
        <v>3080</v>
      </c>
      <c r="E41" s="3217" t="s">
        <v>3081</v>
      </c>
      <c r="F41" s="3304">
        <f ca="1">IF(INDIRECT("'数据-取费表'!af"&amp;$G$1)=0,INDIRECT("'数据-取费表'!ae"&amp;$G$1),INDIRECT("'数据-取费表'!af"&amp;$G$1))</f>
        <v>0</v>
      </c>
      <c r="G41" s="3207"/>
      <c r="H41" s="3330"/>
      <c r="I41" s="3319"/>
      <c r="J41" s="3320"/>
      <c r="K41" s="3327"/>
      <c r="L41" s="3330"/>
      <c r="M41" s="3330"/>
    </row>
    <row r="42" spans="1:18" ht="18" customHeight="1">
      <c r="A42" s="3235"/>
      <c r="B42" s="3305"/>
      <c r="C42" s="3251"/>
      <c r="D42" s="3291"/>
      <c r="E42" s="3217" t="s">
        <v>3085</v>
      </c>
      <c r="F42" s="3227">
        <f ca="1">INDIRECT("'数据-取费表'!v"&amp;$G$1)</f>
        <v>0</v>
      </c>
      <c r="G42" s="3207"/>
      <c r="H42" s="3330"/>
      <c r="I42" s="3319"/>
      <c r="J42" s="3320"/>
      <c r="K42" s="3327"/>
      <c r="L42" s="3330"/>
      <c r="M42" s="3330"/>
    </row>
    <row r="43" spans="1:18" ht="18" customHeight="1" thickBot="1">
      <c r="A43" s="3307" t="s">
        <v>3088</v>
      </c>
      <c r="B43" s="3308" t="s">
        <v>3096</v>
      </c>
      <c r="C43" s="3309">
        <f ca="1">ROUND(C40/F43,0)</f>
        <v>0</v>
      </c>
      <c r="D43" s="3310" t="s">
        <v>3097</v>
      </c>
      <c r="E43" s="3311" t="s">
        <v>3098</v>
      </c>
      <c r="F43" s="3312">
        <f ca="1">INDIRECT("'数据-取费表'!k"&amp;$G$1)</f>
        <v>252484</v>
      </c>
      <c r="G43" s="3207"/>
      <c r="H43" s="3330"/>
      <c r="I43" s="3330"/>
      <c r="J43" s="3330"/>
      <c r="K43" s="3327"/>
      <c r="L43" s="3330"/>
      <c r="M43" s="3330"/>
    </row>
    <row r="44" spans="1:18" s="3198" customFormat="1" ht="18" customHeight="1">
      <c r="A44" s="3331"/>
      <c r="B44" s="3331"/>
      <c r="C44" s="3332"/>
      <c r="D44" s="3331"/>
      <c r="E44" s="3331"/>
      <c r="F44" s="3331"/>
      <c r="K44" s="3333"/>
    </row>
    <row r="45" spans="1:18" s="3198" customFormat="1" ht="18" customHeight="1" thickBot="1">
      <c r="A45" s="3331"/>
      <c r="B45" s="3331"/>
      <c r="C45" s="3334">
        <f ca="1">C68-C40</f>
        <v>0</v>
      </c>
      <c r="D45" s="3335" t="s">
        <v>3099</v>
      </c>
      <c r="E45" s="3331"/>
      <c r="F45" s="3331"/>
      <c r="O45" s="3336" t="s">
        <v>3100</v>
      </c>
      <c r="P45" s="3329"/>
      <c r="Q45" s="3329"/>
      <c r="R45" s="3329"/>
    </row>
    <row r="46" spans="1:18" s="3198" customFormat="1" ht="13.5" thickBot="1">
      <c r="A46" s="3337" t="s">
        <v>3101</v>
      </c>
      <c r="C46" s="3338">
        <f ca="1">ROUND(C45/10000,0)</f>
        <v>0</v>
      </c>
      <c r="D46" s="3339" t="str">
        <f>C2</f>
        <v>万元</v>
      </c>
      <c r="I46" s="3340" t="s">
        <v>3102</v>
      </c>
      <c r="J46" s="3341"/>
      <c r="K46" s="3342"/>
      <c r="L46" s="3343" t="e">
        <f ca="1">IF(M47="住宅",0,IF(L48&gt;J51,L60,J60))</f>
        <v>#DIV/0!</v>
      </c>
      <c r="O46" s="3344" t="s">
        <v>3103</v>
      </c>
      <c r="P46" s="3345" t="s">
        <v>3104</v>
      </c>
      <c r="Q46" s="3346" t="s">
        <v>3105</v>
      </c>
      <c r="R46" s="3346" t="s">
        <v>3106</v>
      </c>
    </row>
    <row r="47" spans="1:18" s="3198" customFormat="1" ht="13.5" thickBot="1">
      <c r="A47" s="3347" t="s">
        <v>2985</v>
      </c>
      <c r="B47" s="3348" t="s">
        <v>2986</v>
      </c>
      <c r="C47" s="3348" t="s">
        <v>2987</v>
      </c>
      <c r="D47" s="3348" t="s">
        <v>2988</v>
      </c>
      <c r="E47" s="3349" t="s">
        <v>2984</v>
      </c>
      <c r="F47" s="3350"/>
      <c r="G47" s="3351"/>
      <c r="I47" s="3352" t="s">
        <v>3107</v>
      </c>
      <c r="J47" s="3353"/>
      <c r="K47" s="3354" t="s">
        <v>3108</v>
      </c>
      <c r="L47" s="3355">
        <f ca="1">INDIRECT("'数据-取费表'!d"&amp;$G$1)</f>
        <v>70</v>
      </c>
      <c r="M47" s="3356" t="str">
        <f>IF(ISNUMBER(FIND("住宅",C1)),"住宅","非住宅")</f>
        <v>非住宅</v>
      </c>
      <c r="O47" s="3357" t="s">
        <v>2379</v>
      </c>
      <c r="P47" s="3358" t="s">
        <v>3109</v>
      </c>
      <c r="Q47" s="3359">
        <f ca="1">C40+J29</f>
        <v>0</v>
      </c>
      <c r="R47" s="3359" t="s">
        <v>3110</v>
      </c>
    </row>
    <row r="48" spans="1:18" s="3198" customFormat="1" ht="28.5" thickBot="1">
      <c r="A48" s="3360" t="s">
        <v>3111</v>
      </c>
      <c r="B48" s="3209" t="s">
        <v>2989</v>
      </c>
      <c r="C48" s="3361">
        <f ca="1">C49+C53+C55</f>
        <v>0</v>
      </c>
      <c r="D48" s="3362"/>
      <c r="E48" s="3363"/>
      <c r="F48" s="3364"/>
      <c r="G48" s="3351"/>
      <c r="H48" s="3365"/>
      <c r="I48" s="3366" t="s">
        <v>3112</v>
      </c>
      <c r="J48" s="3367"/>
      <c r="K48" s="3368" t="s">
        <v>3113</v>
      </c>
      <c r="L48" s="3369">
        <f ca="1">INDIRECT("'数据-取费表'!f"&amp;$G$1)</f>
        <v>63.93</v>
      </c>
      <c r="O48" s="3357" t="s">
        <v>2381</v>
      </c>
      <c r="P48" s="3358" t="s">
        <v>3114</v>
      </c>
      <c r="Q48" s="3359" t="str">
        <f ca="1">J60</f>
        <v>0</v>
      </c>
      <c r="R48" s="3359" t="s">
        <v>3115</v>
      </c>
    </row>
    <row r="49" spans="1:18" s="3198" customFormat="1" ht="13.5" thickBot="1">
      <c r="A49" s="3370" t="s">
        <v>3116</v>
      </c>
      <c r="B49" s="3371" t="s">
        <v>3117</v>
      </c>
      <c r="C49" s="3372">
        <f ca="1">ROUND(F49*F51*F50*(1-F52),0)</f>
        <v>0</v>
      </c>
      <c r="D49" s="3373" t="s">
        <v>3118</v>
      </c>
      <c r="E49" s="3374" t="s">
        <v>3119</v>
      </c>
      <c r="F49" s="3375"/>
      <c r="G49" s="3376"/>
      <c r="H49" s="3365"/>
      <c r="I49" s="3366" t="s">
        <v>3120</v>
      </c>
      <c r="J49" s="3377"/>
      <c r="K49" s="3368" t="s">
        <v>3121</v>
      </c>
      <c r="L49" s="3378"/>
      <c r="O49" s="3379" t="s">
        <v>2383</v>
      </c>
      <c r="P49" s="3358" t="s">
        <v>3122</v>
      </c>
      <c r="Q49" s="3359">
        <f ca="1">C29</f>
        <v>667820180</v>
      </c>
      <c r="R49" s="3359" t="s">
        <v>3110</v>
      </c>
    </row>
    <row r="50" spans="1:18" s="3198" customFormat="1" ht="13.5" thickBot="1">
      <c r="A50" s="3380"/>
      <c r="B50" s="3381"/>
      <c r="C50" s="3382"/>
      <c r="D50" s="3383"/>
      <c r="E50" s="3384" t="s">
        <v>2996</v>
      </c>
      <c r="F50" s="3385">
        <f ca="1">F7</f>
        <v>252484</v>
      </c>
      <c r="H50" s="3365"/>
      <c r="I50" s="3366" t="s">
        <v>3123</v>
      </c>
      <c r="J50" s="3386">
        <f>SUMPRODUCT((I63:I65=J47)*(J62:L62=J48)*(J63:L65))</f>
        <v>0</v>
      </c>
      <c r="K50" s="3368" t="s">
        <v>3124</v>
      </c>
      <c r="L50" s="3378"/>
      <c r="M50" s="3387"/>
      <c r="O50" s="3379" t="s">
        <v>2384</v>
      </c>
      <c r="P50" s="3358" t="s">
        <v>3125</v>
      </c>
      <c r="Q50" s="3388" t="e">
        <f ca="1">J58</f>
        <v>#VALUE!</v>
      </c>
      <c r="R50" s="3359"/>
    </row>
    <row r="51" spans="1:18" s="3198" customFormat="1" ht="13.5" thickBot="1">
      <c r="A51" s="3389"/>
      <c r="B51" s="3381"/>
      <c r="C51" s="3382"/>
      <c r="D51" s="3383"/>
      <c r="E51" s="3390" t="s">
        <v>2997</v>
      </c>
      <c r="F51" s="3218">
        <f ca="1">F8</f>
        <v>0</v>
      </c>
      <c r="I51" s="3391" t="s">
        <v>3126</v>
      </c>
      <c r="J51" s="3392">
        <f>IF(J49="",J50,J49+J50-YEAR('[1]数据-取费表'!B2))</f>
        <v>0</v>
      </c>
      <c r="K51" s="3393" t="s">
        <v>3127</v>
      </c>
      <c r="L51" s="3394">
        <f ca="1">ROUND(-PV(INDIRECT("'数据-取费表'!h"&amp;$G$1),L48,(C39-C13*C76),0),0)</f>
        <v>-117184594</v>
      </c>
      <c r="M51" s="3395"/>
      <c r="O51" s="3379" t="s">
        <v>2386</v>
      </c>
      <c r="P51" s="3358" t="s">
        <v>3128</v>
      </c>
      <c r="Q51" s="3388">
        <f>J52</f>
        <v>0</v>
      </c>
      <c r="R51" s="3359"/>
    </row>
    <row r="52" spans="1:18" s="3198" customFormat="1" ht="13.5" thickBot="1">
      <c r="A52" s="3389"/>
      <c r="B52" s="3381"/>
      <c r="C52" s="3382"/>
      <c r="D52" s="3383"/>
      <c r="E52" s="3390" t="s">
        <v>2998</v>
      </c>
      <c r="F52" s="3396"/>
      <c r="I52" s="3397" t="s">
        <v>3129</v>
      </c>
      <c r="J52" s="3398"/>
      <c r="K52" s="3397" t="s">
        <v>3130</v>
      </c>
      <c r="L52" s="3398"/>
      <c r="O52" s="3379" t="s">
        <v>2388</v>
      </c>
      <c r="P52" s="3358" t="s">
        <v>3131</v>
      </c>
      <c r="Q52" s="3359" t="b">
        <f>J53</f>
        <v>0</v>
      </c>
      <c r="R52" s="3359" t="s">
        <v>3132</v>
      </c>
    </row>
    <row r="53" spans="1:18" s="3198" customFormat="1" ht="30.75" customHeight="1" thickBot="1">
      <c r="A53" s="3399" t="s">
        <v>3133</v>
      </c>
      <c r="B53" s="3284" t="s">
        <v>3000</v>
      </c>
      <c r="C53" s="3231">
        <f>ROUND(IF(F53="押一",F49*F51*F50/12*F11,IF(F53="押二",F49*F51*F50/12*2*F11,IF(F53="押三",F49*F51*F50/12*3*F11,C54*F11))),0)</f>
        <v>0</v>
      </c>
      <c r="D53" s="3232" t="s">
        <v>3134</v>
      </c>
      <c r="E53" s="3228" t="s">
        <v>3002</v>
      </c>
      <c r="F53" s="3233"/>
      <c r="I53" s="3400" t="s">
        <v>3135</v>
      </c>
      <c r="J53" s="3401" t="b">
        <f>IF(M47="住宅",J51,IF(D1="——",MIN(J51,L48),IF(D1="在建（套用方法）",MIN(J51,L48-'[1]数据-取费表'!B24),IF(D1="土地（套用方法）",MIN(J51,L48-'[1]数据-取费表'!B20)))))</f>
        <v>0</v>
      </c>
      <c r="K53" s="3533" t="s">
        <v>3136</v>
      </c>
      <c r="L53" s="3534"/>
      <c r="O53" s="3357" t="s">
        <v>2391</v>
      </c>
      <c r="P53" s="3358" t="s">
        <v>3137</v>
      </c>
      <c r="Q53" s="3359">
        <f ca="1">Q47+Q48</f>
        <v>0</v>
      </c>
      <c r="R53" s="3359" t="s">
        <v>2392</v>
      </c>
    </row>
    <row r="54" spans="1:18" s="3198" customFormat="1" ht="13.5" thickBot="1">
      <c r="A54" s="3370"/>
      <c r="B54" s="3402" t="s">
        <v>3006</v>
      </c>
      <c r="C54" s="3237"/>
      <c r="D54" s="3232"/>
      <c r="E54" s="3403"/>
      <c r="F54" s="3404"/>
      <c r="I54"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6"/>
      <c r="K54" s="3406"/>
      <c r="L54" s="3406"/>
      <c r="M54" s="3376"/>
      <c r="O54" s="3336" t="s">
        <v>3138</v>
      </c>
      <c r="P54" s="3329"/>
      <c r="Q54" s="3329"/>
      <c r="R54" s="3329"/>
    </row>
    <row r="55" spans="1:18" s="3198" customFormat="1" ht="13.5" thickBot="1">
      <c r="A55" s="3241" t="s">
        <v>3007</v>
      </c>
      <c r="B55" s="3242" t="s">
        <v>3008</v>
      </c>
      <c r="C55" s="3243"/>
      <c r="D55" s="3232"/>
      <c r="E55" s="3403"/>
      <c r="F55" s="3404"/>
      <c r="I55" s="3407" t="s">
        <v>3139</v>
      </c>
      <c r="J55" s="3408" t="e">
        <f ca="1">ROUND(IF(J47="钢混",J57/J50,1-(1-2%)*(J50-J57)/J50),3)</f>
        <v>#VALUE!</v>
      </c>
      <c r="K55" s="3409" t="s">
        <v>3140</v>
      </c>
      <c r="L55" s="3410"/>
      <c r="O55" s="3344" t="s">
        <v>3103</v>
      </c>
      <c r="P55" s="3345" t="s">
        <v>3104</v>
      </c>
      <c r="Q55" s="3346" t="s">
        <v>3105</v>
      </c>
      <c r="R55" s="3346" t="s">
        <v>3106</v>
      </c>
    </row>
    <row r="56" spans="1:18" s="3198" customFormat="1" ht="36" customHeight="1" thickTop="1" thickBot="1">
      <c r="A56" s="3411">
        <v>2</v>
      </c>
      <c r="B56" s="3412" t="s">
        <v>3009</v>
      </c>
      <c r="C56" s="3413">
        <f ca="1">C13</f>
        <v>0</v>
      </c>
      <c r="D56" s="3414"/>
      <c r="E56" s="3415"/>
      <c r="F56" s="3404"/>
      <c r="I56" s="3416" t="s">
        <v>3141</v>
      </c>
      <c r="J56" s="3417"/>
      <c r="K56" s="3366" t="s">
        <v>3142</v>
      </c>
      <c r="L56" s="3369">
        <f ca="1">IF(L48&lt;J51,"——",L48-J51)</f>
        <v>63.93</v>
      </c>
      <c r="O56" s="3357" t="s">
        <v>2379</v>
      </c>
      <c r="P56" s="3358" t="s">
        <v>3109</v>
      </c>
      <c r="Q56" s="3359">
        <f ca="1">C40+J29</f>
        <v>0</v>
      </c>
      <c r="R56" s="3359" t="s">
        <v>3110</v>
      </c>
    </row>
    <row r="57" spans="1:18" s="3198" customFormat="1" ht="24.75" thickBot="1">
      <c r="A57" s="3418"/>
      <c r="B57" s="3419" t="s">
        <v>3087</v>
      </c>
      <c r="C57" s="3420">
        <f ca="1">C29</f>
        <v>667820180</v>
      </c>
      <c r="D57" s="3421"/>
      <c r="E57" s="3422"/>
      <c r="F57" s="3423"/>
      <c r="I57" s="3424" t="s">
        <v>3143</v>
      </c>
      <c r="J57" s="3425" t="str">
        <f ca="1">IF(OR(M47="住宅",J51&lt;L48,J56="是"),"——",J51-L48)</f>
        <v>——</v>
      </c>
      <c r="K57" s="3366" t="s">
        <v>3144</v>
      </c>
      <c r="L57" s="3369">
        <f ca="1">IF(L48&lt;J51,"——",IF(L55="比较法",L49,IF(L55="基准地价",L50,L51)))</f>
        <v>-117184594</v>
      </c>
      <c r="O57" s="3357" t="s">
        <v>2381</v>
      </c>
      <c r="P57" s="3358" t="s">
        <v>3145</v>
      </c>
      <c r="Q57" s="3359" t="e">
        <f ca="1">L60</f>
        <v>#DIV/0!</v>
      </c>
      <c r="R57" s="3359" t="s">
        <v>3146</v>
      </c>
    </row>
    <row r="58" spans="1:18" s="3198" customFormat="1" ht="24.75" thickBot="1">
      <c r="A58" s="3426" t="s">
        <v>3091</v>
      </c>
      <c r="B58" s="3412" t="s">
        <v>3026</v>
      </c>
      <c r="C58" s="3231">
        <f ca="1">ROUND(C59+C64+C65+C66,0)</f>
        <v>5609690</v>
      </c>
      <c r="D58" s="3427" t="s">
        <v>3027</v>
      </c>
      <c r="E58" s="3428"/>
      <c r="F58" s="3364"/>
      <c r="I58" s="3424" t="s">
        <v>3147</v>
      </c>
      <c r="J58" s="3429" t="e">
        <f ca="1">IF(J55&lt;0.4,0.4,J55)</f>
        <v>#VALUE!</v>
      </c>
      <c r="K58" s="3393" t="s">
        <v>3148</v>
      </c>
      <c r="L58" s="3369" t="e">
        <f ca="1">ROUND(POWER(1+L52,L47-L48)*(POWER(1+L52,L48)-1)/(POWER(1+L52,L47)-1),4)</f>
        <v>#DIV/0!</v>
      </c>
      <c r="O58" s="3379" t="s">
        <v>2383</v>
      </c>
      <c r="P58" s="3358" t="s">
        <v>3149</v>
      </c>
      <c r="Q58" s="3359">
        <f>IF(L55="比较法",L49,IF(L55="基准地价",L50,0))</f>
        <v>0</v>
      </c>
      <c r="R58" s="3359" t="s">
        <v>3110</v>
      </c>
    </row>
    <row r="59" spans="1:18" s="3198" customFormat="1" ht="24.75" thickBot="1">
      <c r="A59" s="3258" t="s">
        <v>2991</v>
      </c>
      <c r="B59" s="3419" t="s">
        <v>3032</v>
      </c>
      <c r="C59" s="3263">
        <f ca="1">ROUND(IF([1]项目基本情况!B11="自然人",C48*F59,C60+C61+C62),0)</f>
        <v>5609690</v>
      </c>
      <c r="D59" s="3430" t="s">
        <v>3033</v>
      </c>
      <c r="E59" s="3431" t="s">
        <v>3034</v>
      </c>
      <c r="F59" s="3280">
        <f ca="1">IF([1]项目基本情况!B11="企业","",IF(INDIRECT("'数据-取费表'!c"&amp;$G$1)="住宅",5%,IF(F49*F50*F51/12/(1+'[1]数据-取费表'!C42)&gt;20000,12%,7%)))</f>
        <v>0.05</v>
      </c>
      <c r="I59" s="3424" t="s">
        <v>3150</v>
      </c>
      <c r="J59" s="3425" t="str">
        <f ca="1">IF(OR(M47="住宅",J51&lt;L48,J56="是"),"——",ROUND(C29*J58,0))</f>
        <v>——</v>
      </c>
      <c r="K59" s="33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9" t="e">
        <f ca="1">ROUND(IF(D1="在建（套用方法）",M59,IF(D1="土地（套用方法）",N59,POWER(1+L52,L47-J51)*(POWER(1+L52,J51)-1)/(POWER(1+L52,L47)-1))),4)</f>
        <v>#DIV/0!</v>
      </c>
      <c r="M59" s="3329" t="e">
        <f ca="1">ROUND(POWER(1+L52,L47-(J51+'[1]数据-取费表'!B24))*(POWER(1+L52,(J51+'[1]数据-取费表'!B24))-1)/(POWER(1+L52,L47)-1),4)</f>
        <v>#DIV/0!</v>
      </c>
      <c r="N59" s="3329" t="e">
        <f ca="1">ROUND(POWER(1+L52,L47-(J51+'[1]数据-取费表'!B20))*(POWER(1+L52,(J51+'[1]数据-取费表'!B20))-1)/(POWER(1+L52,L47)-1),4)</f>
        <v>#DIV/0!</v>
      </c>
      <c r="O59" s="3379" t="s">
        <v>2384</v>
      </c>
      <c r="P59" s="3358" t="s">
        <v>3151</v>
      </c>
      <c r="Q59" s="3388">
        <f>L52</f>
        <v>0</v>
      </c>
      <c r="R59" s="3359"/>
    </row>
    <row r="60" spans="1:18" s="3198" customFormat="1" ht="16.5" thickBot="1">
      <c r="A60" s="3258" t="s">
        <v>3012</v>
      </c>
      <c r="B60" s="3419" t="s">
        <v>3092</v>
      </c>
      <c r="C60" s="3263">
        <f ca="1">IF([1]项目基本情况!B11="自然人","——",ROUND(C48*F60/(1+'[1]数据-取费表'!C42),0))</f>
        <v>0</v>
      </c>
      <c r="D60" s="3431" t="s">
        <v>3093</v>
      </c>
      <c r="E60" s="3419" t="s">
        <v>3020</v>
      </c>
      <c r="F60" s="3295">
        <f t="shared" ref="F60:F66" si="0">F32</f>
        <v>0</v>
      </c>
      <c r="I60" s="3432" t="s">
        <v>3152</v>
      </c>
      <c r="J60" s="3433" t="str">
        <f ca="1">IF(OR(M47="住宅",J51&lt;L48,J56="是"),"0",ROUND(J59/(1+J52)^J53,0))</f>
        <v>0</v>
      </c>
      <c r="K60" s="3434" t="s">
        <v>3153</v>
      </c>
      <c r="L60" s="3433" t="e">
        <f ca="1">IF(OR(M47="住宅",L48&lt;J51),0,ROUND(L57*(L58/L59-1),0))</f>
        <v>#DIV/0!</v>
      </c>
      <c r="O60" s="3379" t="s">
        <v>2386</v>
      </c>
      <c r="P60" s="3358" t="s">
        <v>3154</v>
      </c>
      <c r="Q60" s="3359" t="e">
        <f ca="1">L58</f>
        <v>#DIV/0!</v>
      </c>
      <c r="R60" s="3359" t="s">
        <v>3155</v>
      </c>
    </row>
    <row r="61" spans="1:18" s="3198" customFormat="1" ht="13.5" thickBot="1">
      <c r="A61" s="3258" t="s">
        <v>3156</v>
      </c>
      <c r="B61" s="3419" t="s">
        <v>3041</v>
      </c>
      <c r="C61" s="3263">
        <f ca="1">IF([1]项目基本情况!B11="自然人","——",IF(D61="按租金收入计税",ROUND(C48*F61,0),IF(D61="按房产原值计税",ROUND(C57*F61*0.7,0),INDIRECT("'数据-取费表'!Aj"&amp;$G$1))))</f>
        <v>5609690</v>
      </c>
      <c r="D61" s="3283" t="s">
        <v>3042</v>
      </c>
      <c r="E61" s="3419" t="s">
        <v>3020</v>
      </c>
      <c r="F61" s="3276">
        <f t="shared" si="0"/>
        <v>1.2E-2</v>
      </c>
      <c r="I61" s="3435"/>
      <c r="J61" s="3435"/>
      <c r="K61" s="3435"/>
      <c r="L61" s="3435"/>
      <c r="O61" s="3379" t="s">
        <v>2388</v>
      </c>
      <c r="P61" s="3358" t="str">
        <f>K59</f>
        <v>建设期及建筑物耐用年限下的土地年期修正系数Kn</v>
      </c>
      <c r="Q61" s="3359" t="e">
        <f ca="1">L59</f>
        <v>#DIV/0!</v>
      </c>
      <c r="R61" s="3359" t="s">
        <v>3157</v>
      </c>
    </row>
    <row r="62" spans="1:18" s="3198" customFormat="1" ht="13.5" thickBot="1">
      <c r="A62" s="3258" t="s">
        <v>3158</v>
      </c>
      <c r="B62" s="3436" t="s">
        <v>3045</v>
      </c>
      <c r="C62" s="3285">
        <f ca="1">IF([1]项目基本情况!B11="自然人","——",ROUND(F62*F63,0))</f>
        <v>0</v>
      </c>
      <c r="D62" s="3437" t="s">
        <v>3046</v>
      </c>
      <c r="E62" s="3419" t="s">
        <v>3047</v>
      </c>
      <c r="F62" s="3287">
        <f t="shared" si="0"/>
        <v>0</v>
      </c>
      <c r="I62" s="3438" t="s">
        <v>3159</v>
      </c>
      <c r="J62" s="3439" t="s">
        <v>3160</v>
      </c>
      <c r="K62" s="3439" t="s">
        <v>3161</v>
      </c>
      <c r="L62" s="3439" t="s">
        <v>3162</v>
      </c>
      <c r="M62" s="3440" t="s">
        <v>3163</v>
      </c>
      <c r="O62" s="3357" t="s">
        <v>2391</v>
      </c>
      <c r="P62" s="3358" t="s">
        <v>3137</v>
      </c>
      <c r="Q62" s="3359" t="e">
        <f ca="1">Q56+Q57</f>
        <v>#DIV/0!</v>
      </c>
      <c r="R62" s="3359" t="s">
        <v>2392</v>
      </c>
    </row>
    <row r="63" spans="1:18" s="3198" customFormat="1" ht="13.5" thickBot="1">
      <c r="A63" s="3288"/>
      <c r="B63" s="3441"/>
      <c r="C63" s="3290"/>
      <c r="D63" s="3442"/>
      <c r="E63" s="3419" t="s">
        <v>3052</v>
      </c>
      <c r="F63" s="3218">
        <f t="shared" ca="1" si="0"/>
        <v>53563.57</v>
      </c>
      <c r="I63" s="3438" t="s">
        <v>3164</v>
      </c>
      <c r="J63" s="3439">
        <v>70</v>
      </c>
      <c r="K63" s="3439">
        <v>50</v>
      </c>
      <c r="L63" s="3439">
        <v>80</v>
      </c>
      <c r="M63" s="3443">
        <v>0.02</v>
      </c>
      <c r="O63" s="3336" t="s">
        <v>3165</v>
      </c>
      <c r="P63" s="3329"/>
      <c r="Q63" s="3329"/>
      <c r="R63" s="3329"/>
    </row>
    <row r="64" spans="1:18" s="3198" customFormat="1" ht="13.5" thickBot="1">
      <c r="A64" s="3258" t="s">
        <v>2999</v>
      </c>
      <c r="B64" s="3419" t="s">
        <v>3055</v>
      </c>
      <c r="C64" s="3263">
        <f ca="1">ROUND(C57*F64,0)</f>
        <v>0</v>
      </c>
      <c r="D64" s="3431" t="s">
        <v>3094</v>
      </c>
      <c r="E64" s="3419" t="s">
        <v>3020</v>
      </c>
      <c r="F64" s="3292">
        <f t="shared" ca="1" si="0"/>
        <v>0</v>
      </c>
      <c r="I64" s="3438" t="s">
        <v>3166</v>
      </c>
      <c r="J64" s="3439">
        <v>50</v>
      </c>
      <c r="K64" s="3439">
        <v>35</v>
      </c>
      <c r="L64" s="3439">
        <v>60</v>
      </c>
      <c r="M64" s="3440">
        <v>0</v>
      </c>
      <c r="O64" s="3344" t="s">
        <v>3103</v>
      </c>
      <c r="P64" s="3345" t="s">
        <v>3104</v>
      </c>
      <c r="Q64" s="3346" t="s">
        <v>3105</v>
      </c>
      <c r="R64" s="3346" t="s">
        <v>3106</v>
      </c>
    </row>
    <row r="65" spans="1:18" s="3198" customFormat="1" ht="13.5" thickBot="1">
      <c r="A65" s="3258" t="s">
        <v>3167</v>
      </c>
      <c r="B65" s="3419" t="s">
        <v>3059</v>
      </c>
      <c r="C65" s="3263">
        <f ca="1">ROUND(C56*F65,0)</f>
        <v>0</v>
      </c>
      <c r="D65" s="3431" t="s">
        <v>3060</v>
      </c>
      <c r="E65" s="3419" t="s">
        <v>3020</v>
      </c>
      <c r="F65" s="3294">
        <f t="shared" ca="1" si="0"/>
        <v>0</v>
      </c>
      <c r="I65" s="3438" t="s">
        <v>3168</v>
      </c>
      <c r="J65" s="3439">
        <v>40</v>
      </c>
      <c r="K65" s="3439">
        <v>30</v>
      </c>
      <c r="L65" s="3439">
        <v>50</v>
      </c>
      <c r="M65" s="3443">
        <v>0.02</v>
      </c>
      <c r="O65" s="3357" t="s">
        <v>2379</v>
      </c>
      <c r="P65" s="3358" t="s">
        <v>3109</v>
      </c>
      <c r="Q65" s="3359">
        <f ca="1">C40+J29</f>
        <v>0</v>
      </c>
      <c r="R65" s="3359" t="s">
        <v>3110</v>
      </c>
    </row>
    <row r="66" spans="1:18" s="3198" customFormat="1" ht="16.5" thickBot="1">
      <c r="A66" s="3258" t="s">
        <v>3169</v>
      </c>
      <c r="B66" s="3419" t="s">
        <v>3043</v>
      </c>
      <c r="C66" s="3263">
        <f ca="1">ROUND(C48*F66,0)</f>
        <v>0</v>
      </c>
      <c r="D66" s="3431" t="s">
        <v>3064</v>
      </c>
      <c r="E66" s="3419" t="s">
        <v>3020</v>
      </c>
      <c r="F66" s="3227">
        <f t="shared" ca="1" si="0"/>
        <v>0</v>
      </c>
      <c r="O66" s="3357" t="s">
        <v>2381</v>
      </c>
      <c r="P66" s="3358" t="s">
        <v>3145</v>
      </c>
      <c r="Q66" s="3359" t="e">
        <f ca="1">L60</f>
        <v>#DIV/0!</v>
      </c>
      <c r="R66" s="3359" t="s">
        <v>3170</v>
      </c>
    </row>
    <row r="67" spans="1:18" s="3198" customFormat="1" ht="16.5" thickBot="1">
      <c r="A67" s="3411" t="s">
        <v>3068</v>
      </c>
      <c r="B67" s="3444" t="s">
        <v>3069</v>
      </c>
      <c r="C67" s="3231">
        <f ca="1">C48-C58</f>
        <v>-5609690</v>
      </c>
      <c r="D67" s="3430" t="s">
        <v>3070</v>
      </c>
      <c r="E67" s="3445"/>
      <c r="F67" s="3446"/>
      <c r="O67" s="3379" t="s">
        <v>2383</v>
      </c>
      <c r="P67" s="3358" t="s">
        <v>3149</v>
      </c>
      <c r="Q67" s="3447">
        <f ca="1">L51</f>
        <v>-117184594</v>
      </c>
      <c r="R67" s="3359" t="s">
        <v>3171</v>
      </c>
    </row>
    <row r="68" spans="1:18" s="3198" customFormat="1" ht="16.5" thickBot="1">
      <c r="A68" s="3448" t="s">
        <v>3074</v>
      </c>
      <c r="B68" s="3449" t="s">
        <v>3095</v>
      </c>
      <c r="C68" s="3219">
        <f ca="1">ROUND(C67*(1-((1+F70)/(1+F68))^F69)/(F68-F70),0)</f>
        <v>0</v>
      </c>
      <c r="D68" s="3437" t="s">
        <v>3076</v>
      </c>
      <c r="E68" s="3419" t="s">
        <v>3077</v>
      </c>
      <c r="F68" s="3227">
        <f ca="1">F40</f>
        <v>0.05</v>
      </c>
      <c r="O68" s="3379" t="s">
        <v>2384</v>
      </c>
      <c r="P68" s="3450" t="s">
        <v>3172</v>
      </c>
      <c r="Q68" s="3359">
        <f ca="1">ROUND(Q69-Q70*Q71,0)</f>
        <v>-5609690</v>
      </c>
      <c r="R68" s="3359" t="s">
        <v>3173</v>
      </c>
    </row>
    <row r="69" spans="1:18" s="3198" customFormat="1" ht="13.5" thickBot="1">
      <c r="A69" s="3451"/>
      <c r="B69" s="3452"/>
      <c r="C69" s="3226"/>
      <c r="D69" s="3453" t="s">
        <v>3080</v>
      </c>
      <c r="E69" s="3419" t="s">
        <v>3081</v>
      </c>
      <c r="F69" s="3304">
        <f ca="1">F41</f>
        <v>0</v>
      </c>
      <c r="O69" s="3379" t="s">
        <v>2399</v>
      </c>
      <c r="P69" s="3450" t="s">
        <v>3174</v>
      </c>
      <c r="Q69" s="3359">
        <f ca="1">C39</f>
        <v>-5609690</v>
      </c>
      <c r="R69" s="3359" t="s">
        <v>3110</v>
      </c>
    </row>
    <row r="70" spans="1:18" s="3198" customFormat="1" ht="13.5" thickBot="1">
      <c r="A70" s="3454"/>
      <c r="B70" s="3455"/>
      <c r="C70" s="3251"/>
      <c r="D70" s="3442"/>
      <c r="E70" s="3419" t="s">
        <v>3085</v>
      </c>
      <c r="F70" s="3396">
        <f ca="1">F42</f>
        <v>0</v>
      </c>
      <c r="O70" s="3379" t="s">
        <v>2401</v>
      </c>
      <c r="P70" s="3450" t="s">
        <v>3175</v>
      </c>
      <c r="Q70" s="3359">
        <f ca="1">C13</f>
        <v>0</v>
      </c>
      <c r="R70" s="3359" t="s">
        <v>3110</v>
      </c>
    </row>
    <row r="71" spans="1:18" s="3198" customFormat="1" ht="13.5" thickBot="1">
      <c r="A71" s="3456" t="s">
        <v>3088</v>
      </c>
      <c r="B71" s="3457" t="s">
        <v>3096</v>
      </c>
      <c r="C71" s="3309">
        <f ca="1">ROUND(C68/F71,0)</f>
        <v>0</v>
      </c>
      <c r="D71" s="3458" t="s">
        <v>3097</v>
      </c>
      <c r="E71" s="3459" t="s">
        <v>3098</v>
      </c>
      <c r="F71" s="3312">
        <f ca="1">F43</f>
        <v>252484</v>
      </c>
      <c r="O71" s="3379" t="s">
        <v>2403</v>
      </c>
      <c r="P71" s="3450" t="s">
        <v>3176</v>
      </c>
      <c r="Q71" s="3388">
        <f ca="1">C76</f>
        <v>8.5000000000000006E-2</v>
      </c>
      <c r="R71" s="3359"/>
    </row>
    <row r="72" spans="1:18" s="3198" customFormat="1" ht="13.5" thickBot="1">
      <c r="B72" s="3460"/>
      <c r="C72" s="3460"/>
      <c r="O72" s="3379" t="s">
        <v>2386</v>
      </c>
      <c r="P72" s="3358" t="s">
        <v>3151</v>
      </c>
      <c r="Q72" s="3388">
        <f>L52</f>
        <v>0</v>
      </c>
      <c r="R72" s="3359"/>
    </row>
    <row r="73" spans="1:18" ht="16.5" thickBot="1">
      <c r="A73" s="3198"/>
      <c r="B73" s="3460"/>
      <c r="C73" s="3460"/>
      <c r="D73" s="3198"/>
      <c r="E73" s="3198"/>
      <c r="F73" s="3198"/>
      <c r="O73" s="3379" t="s">
        <v>2388</v>
      </c>
      <c r="P73" s="3358" t="s">
        <v>3154</v>
      </c>
      <c r="Q73" s="3359" t="e">
        <f ca="1">L58</f>
        <v>#DIV/0!</v>
      </c>
      <c r="R73" s="3359" t="s">
        <v>3155</v>
      </c>
    </row>
    <row r="74" spans="1:18" ht="13.5" thickBot="1">
      <c r="A74" s="3198"/>
      <c r="B74" s="3462" t="s">
        <v>3177</v>
      </c>
      <c r="C74" s="3463"/>
      <c r="D74" s="3198"/>
      <c r="E74" s="3198"/>
      <c r="F74" s="3198"/>
      <c r="O74" s="3379" t="s">
        <v>3178</v>
      </c>
      <c r="P74" s="3358" t="str">
        <f>K59</f>
        <v>建设期及建筑物耐用年限下的土地年期修正系数Kn</v>
      </c>
      <c r="Q74" s="3359" t="e">
        <f ca="1">L59</f>
        <v>#DIV/0!</v>
      </c>
      <c r="R74" s="3359" t="s">
        <v>3157</v>
      </c>
    </row>
    <row r="75" spans="1:18" ht="13.5" thickBot="1">
      <c r="A75" s="3198"/>
      <c r="B75" s="3464" t="s">
        <v>3179</v>
      </c>
      <c r="C75" s="3465">
        <f ca="1">ROUND(C13*C76,0)</f>
        <v>0</v>
      </c>
      <c r="D75" s="3198"/>
      <c r="E75" s="3198"/>
      <c r="F75" s="3198"/>
      <c r="K75" s="3333"/>
      <c r="L75" s="3198"/>
      <c r="O75" s="3357" t="s">
        <v>2391</v>
      </c>
      <c r="P75" s="3358" t="s">
        <v>3137</v>
      </c>
      <c r="Q75" s="3359" t="e">
        <f ca="1">Q65+Q66</f>
        <v>#DIV/0!</v>
      </c>
      <c r="R75" s="3359" t="s">
        <v>2392</v>
      </c>
    </row>
    <row r="76" spans="1:18">
      <c r="B76" s="3466" t="s">
        <v>3180</v>
      </c>
      <c r="C76" s="3467">
        <f ca="1">INDIRECT("'数据-取费表'!j"&amp;$G$1)</f>
        <v>8.5000000000000006E-2</v>
      </c>
      <c r="I76" s="3198"/>
      <c r="J76" s="3198"/>
      <c r="K76" s="3333"/>
      <c r="L76" s="3198"/>
    </row>
    <row r="77" spans="1:18">
      <c r="B77" s="3468" t="s">
        <v>3181</v>
      </c>
      <c r="C77" s="3469"/>
      <c r="I77" s="3198"/>
      <c r="J77" s="3198"/>
      <c r="K77" s="3333"/>
      <c r="L77" s="3198"/>
    </row>
    <row r="78" spans="1:18">
      <c r="B78" s="3470" t="s">
        <v>3182</v>
      </c>
      <c r="C78" s="3471"/>
    </row>
    <row r="79" spans="1:18">
      <c r="B79" s="3464" t="s">
        <v>3183</v>
      </c>
      <c r="C79" s="3472">
        <f ca="1">1-C80</f>
        <v>1</v>
      </c>
    </row>
    <row r="80" spans="1:18">
      <c r="B80" s="3464" t="s">
        <v>3184</v>
      </c>
      <c r="C80" s="3472">
        <f ca="1">ROUND(C75/C39,3)</f>
        <v>0</v>
      </c>
    </row>
    <row r="81" spans="2:3">
      <c r="B81" s="3470" t="s">
        <v>3185</v>
      </c>
      <c r="C81" s="3420"/>
    </row>
    <row r="82" spans="2:3">
      <c r="B82" s="3462" t="s">
        <v>3186</v>
      </c>
      <c r="C82" s="3473" t="e">
        <f ca="1">1-C83</f>
        <v>#DIV/0!</v>
      </c>
    </row>
    <row r="83" spans="2:3">
      <c r="B83" s="3462" t="s">
        <v>3187</v>
      </c>
      <c r="C83" s="347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5" sqref="B1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2547</v>
      </c>
      <c r="R1" s="2606" t="s">
        <v>2541</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2542</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2543</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4" t="s">
        <v>761</v>
      </c>
      <c r="Q4" s="9" t="s">
        <v>92</v>
      </c>
      <c r="R4" s="1004" t="s">
        <v>2544</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547</v>
      </c>
      <c r="Q5" s="9" t="s">
        <v>97</v>
      </c>
      <c r="R5" s="1004" t="s">
        <v>2545</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2546</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40" t="s">
        <v>2954</v>
      </c>
      <c r="C18" s="1553"/>
    </row>
    <row r="19" spans="1:3">
      <c r="A19" s="8" t="s">
        <v>120</v>
      </c>
      <c r="B19" s="3140" t="s">
        <v>2962</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40" t="s">
        <v>3370</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惠州市博罗县龙溪镇宫庭村南水园（土名）441322021003GB00392W00000000、441322021003GB00393W00000000、441322021003GB01260W00000000号共计三宗住宅、商业、地下车库用地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562"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住宅63.9年、商业33.9年、地下车库43.9年的出让国有建设用地使用权价格。</v>
      </c>
      <c r="D53" s="1767"/>
      <c r="E53" s="1767"/>
    </row>
    <row r="54" spans="1:5">
      <c r="A54" s="3562"/>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62"/>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62"/>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62"/>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C11" sqref="C11"/>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578" t="str">
        <f>IF(B10="北京市","北京市",C10)&amp;F10&amp;B16&amp;"国有建设用地使用权"&amp;B9&amp;"预评估"</f>
        <v>广东省惠州市博罗县龙溪镇宫庭村南水园（土名）441322021003GB00392W00000000、441322021003GB00393W00000000、441322021003GB01260W00000000号共计三宗住宅、商业、地下车库用地出让国有建设用地使用权抵押价格预评估</v>
      </c>
      <c r="C1" s="3579"/>
      <c r="D1" s="3579"/>
      <c r="E1" s="3579"/>
      <c r="F1" s="3579"/>
      <c r="G1" s="3579"/>
      <c r="H1" s="3579"/>
      <c r="I1" s="3580"/>
      <c r="J1" s="1692"/>
      <c r="K1" s="2478" t="str">
        <f>IF(B10="北京市","北京市",C10)&amp;F10&amp;B16&amp;"国有建设用地使用权"&amp;B9</f>
        <v>广东省惠州市博罗县龙溪镇宫庭村南水园（土名）441322021003GB00392W00000000、441322021003GB00393W00000000、441322021003GB01260W00000000号共计三宗住宅、商业、地下车库用地出让国有建设用地使用权抵押价格</v>
      </c>
      <c r="L1" s="1721"/>
      <c r="M1" s="1721"/>
      <c r="N1" s="1692"/>
      <c r="O1" s="1693"/>
      <c r="P1" s="1692"/>
      <c r="Q1" s="1692"/>
      <c r="R1" s="1692"/>
      <c r="S1" s="1692"/>
      <c r="T1" s="1692"/>
      <c r="U1" s="1692"/>
    </row>
    <row r="2" spans="1:21">
      <c r="A2" s="1658" t="s">
        <v>1941</v>
      </c>
      <c r="B2" s="1840" t="s">
        <v>3512</v>
      </c>
      <c r="D2" s="1692"/>
      <c r="E2" s="1692"/>
      <c r="F2" s="1692"/>
      <c r="G2" s="1692"/>
      <c r="H2" s="1658"/>
      <c r="I2" s="1693"/>
      <c r="J2" s="1692"/>
      <c r="K2" s="2478" t="str">
        <f>IF(B10="北京市","北京市",C10)&amp;F10&amp;B16&amp;"国有建设用地使用权"</f>
        <v>广东省惠州市博罗县龙溪镇宫庭村南水园（土名）441322021003GB00392W00000000、441322021003GB00393W00000000、441322021003GB01260W00000000号共计三宗住宅、商业、地下车库用地出让国有建设用地使用权</v>
      </c>
      <c r="L2" s="1721"/>
      <c r="M2" s="1721"/>
      <c r="N2" s="1692"/>
      <c r="O2" s="1693"/>
      <c r="P2" s="1692"/>
      <c r="Q2" s="1692"/>
      <c r="R2" s="1692"/>
      <c r="S2" s="1692"/>
      <c r="T2" s="1692"/>
      <c r="U2" s="1692"/>
    </row>
    <row r="3" spans="1:21">
      <c r="A3" s="1659" t="s">
        <v>1942</v>
      </c>
      <c r="B3" s="1660">
        <v>43138</v>
      </c>
      <c r="C3" s="1661" t="s">
        <v>1997</v>
      </c>
      <c r="D3" s="1660">
        <v>43138</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3508</v>
      </c>
      <c r="C4" s="1844">
        <f ca="1">SUMIF(土地估价师,B4,估价师及机构信息!E3:E24)</f>
        <v>2002110125</v>
      </c>
      <c r="D4" s="1841" t="s">
        <v>3509</v>
      </c>
      <c r="E4" s="1844">
        <f ca="1">SUMIF(土地估价师,D4,估价师及机构信息!E3:E24)</f>
        <v>2008110059</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吴薇、刘梅</v>
      </c>
      <c r="L4" s="1721"/>
      <c r="M4" s="1721"/>
      <c r="N4" s="1692"/>
      <c r="O4" s="1693"/>
      <c r="P4" s="1692"/>
      <c r="Q4" s="1692"/>
      <c r="R4" s="1692"/>
      <c r="S4" s="1692"/>
      <c r="T4" s="1692"/>
      <c r="U4" s="1692"/>
    </row>
    <row r="5" spans="1:21" ht="15" thickTop="1">
      <c r="A5" s="1663" t="s">
        <v>1944</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t="s">
        <v>3507</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3362</v>
      </c>
      <c r="C8" s="1669"/>
      <c r="D8" s="3584" t="s">
        <v>1947</v>
      </c>
      <c r="E8" s="1842" t="s">
        <v>3510</v>
      </c>
      <c r="F8" s="1670"/>
      <c r="G8" s="1658"/>
      <c r="H8" s="1658"/>
      <c r="I8" s="1705"/>
      <c r="J8" s="1692"/>
      <c r="K8" s="1772"/>
      <c r="L8" s="1721"/>
      <c r="M8" s="1721"/>
      <c r="N8" s="1692"/>
      <c r="O8" s="1693"/>
      <c r="P8" s="1692"/>
      <c r="Q8" s="1692"/>
      <c r="R8" s="1692"/>
      <c r="S8" s="1692"/>
      <c r="T8" s="1692"/>
      <c r="U8" s="1692"/>
    </row>
    <row r="9" spans="1:21" ht="15" thickBot="1">
      <c r="A9" s="1671" t="s">
        <v>1946</v>
      </c>
      <c r="B9" s="1672" t="s">
        <v>3511</v>
      </c>
      <c r="C9" s="1673"/>
      <c r="D9" s="3585"/>
      <c r="E9" s="1672" t="s">
        <v>952</v>
      </c>
      <c r="F9" s="1745"/>
      <c r="G9" s="1740"/>
      <c r="H9" s="1740"/>
      <c r="I9" s="1741"/>
      <c r="J9" s="1692"/>
      <c r="K9" s="1772"/>
      <c r="L9" s="1721"/>
      <c r="M9" s="1721"/>
      <c r="N9" s="1692"/>
      <c r="O9" s="1693"/>
      <c r="P9" s="1692"/>
      <c r="Q9" s="1692"/>
      <c r="R9" s="1692"/>
      <c r="S9" s="1692"/>
      <c r="T9" s="1692"/>
      <c r="U9" s="1692"/>
    </row>
    <row r="10" spans="1:21" ht="15" thickTop="1">
      <c r="A10" s="1742" t="s">
        <v>2000</v>
      </c>
      <c r="B10" s="1717" t="s">
        <v>3363</v>
      </c>
      <c r="C10" s="1674" t="s">
        <v>3492</v>
      </c>
      <c r="D10" s="1665"/>
      <c r="E10" s="1675" t="s">
        <v>1949</v>
      </c>
      <c r="F10" s="1676" t="s">
        <v>3493</v>
      </c>
      <c r="G10" s="1743"/>
      <c r="H10" s="1744"/>
      <c r="I10" s="1665"/>
      <c r="J10" s="1692"/>
      <c r="K10" s="1772"/>
      <c r="L10" s="1721"/>
      <c r="M10" s="1721"/>
      <c r="N10" s="1692"/>
      <c r="O10" s="1693"/>
      <c r="P10" s="1692"/>
      <c r="Q10" s="1692"/>
      <c r="R10" s="1692"/>
      <c r="S10" s="1692"/>
      <c r="T10" s="1692"/>
      <c r="U10" s="1692"/>
    </row>
    <row r="11" spans="1:21" ht="42.75">
      <c r="A11" s="1695" t="s">
        <v>2001</v>
      </c>
      <c r="B11" s="1696" t="s">
        <v>3494</v>
      </c>
      <c r="C11" s="1677" t="s">
        <v>3514</v>
      </c>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581" t="s">
        <v>3495</v>
      </c>
      <c r="C12" s="3582"/>
      <c r="D12" s="3583"/>
      <c r="E12" s="1697" t="s">
        <v>2062</v>
      </c>
      <c r="F12" s="3599" t="s">
        <v>3498</v>
      </c>
      <c r="G12" s="3600"/>
      <c r="H12" s="3600"/>
      <c r="I12" s="3601"/>
      <c r="J12" s="1692"/>
      <c r="K12" s="1772"/>
      <c r="L12" s="1721"/>
      <c r="M12" s="1721"/>
      <c r="N12" s="1692"/>
      <c r="O12" s="1693"/>
      <c r="P12" s="1692"/>
      <c r="Q12" s="1692"/>
      <c r="R12" s="1692"/>
      <c r="S12" s="1692"/>
      <c r="T12" s="1692"/>
      <c r="U12" s="1692"/>
    </row>
    <row r="13" spans="1:21">
      <c r="A13" s="1685" t="s">
        <v>2060</v>
      </c>
      <c r="B13" s="3581" t="s">
        <v>3496</v>
      </c>
      <c r="C13" s="3582"/>
      <c r="D13" s="3583"/>
      <c r="E13" s="1697" t="s">
        <v>2062</v>
      </c>
      <c r="F13" s="3599" t="s">
        <v>3500</v>
      </c>
      <c r="G13" s="3600"/>
      <c r="H13" s="3600"/>
      <c r="I13" s="3601"/>
      <c r="J13" s="1692"/>
      <c r="K13" s="1772"/>
      <c r="L13" s="1721"/>
      <c r="M13" s="1721"/>
      <c r="N13" s="1692"/>
      <c r="O13" s="1693"/>
      <c r="P13" s="1692"/>
      <c r="Q13" s="1692"/>
      <c r="R13" s="1692"/>
      <c r="S13" s="1692"/>
      <c r="T13" s="1692"/>
      <c r="U13" s="1692"/>
    </row>
    <row r="14" spans="1:21">
      <c r="A14" s="1659" t="s">
        <v>2063</v>
      </c>
      <c r="B14" s="1697"/>
      <c r="C14" s="1843" t="s">
        <v>3501</v>
      </c>
      <c r="D14" s="1731" t="str">
        <f>IF(C14="不一致","是否符合证载地类范围","")</f>
        <v>是否符合证载地类范围</v>
      </c>
      <c r="E14" s="1697"/>
      <c r="F14" s="1788" t="s">
        <v>3502</v>
      </c>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3361</v>
      </c>
      <c r="C16" s="1697" t="s">
        <v>1951</v>
      </c>
      <c r="D16" s="2670" t="s">
        <v>1952</v>
      </c>
      <c r="E16" s="1720" t="s">
        <v>3364</v>
      </c>
      <c r="F16" s="1720"/>
      <c r="G16" s="1720" t="s">
        <v>3377</v>
      </c>
      <c r="H16" s="1720"/>
      <c r="I16" s="1684" t="s">
        <v>1957</v>
      </c>
      <c r="J16" s="1692"/>
      <c r="K16" s="2479" t="str">
        <f>IF(D17="","",D16&amp;TEXT(D17,"yyyy年m月d日;;"))</f>
        <v>住宅2081年12月31日</v>
      </c>
      <c r="L16" s="1697" t="str">
        <f>IF(OR(K16="",M16=""),"","、")</f>
        <v>、</v>
      </c>
      <c r="M16" s="2479" t="str">
        <f>IF(E17="","",E16&amp;TEXT(E17,"yyyy年m月d日;;"))</f>
        <v>商业2051年12月31日</v>
      </c>
      <c r="N16" s="1697" t="str">
        <f>IF(OR(M16="",O16=""),"","、")</f>
        <v/>
      </c>
      <c r="O16" s="2479" t="str">
        <f>IF(F17="","",F16&amp;TEXT(F17,"yyyy年m月d日;;"))</f>
        <v/>
      </c>
      <c r="P16" s="1697" t="str">
        <f>IF(OR(O16="",Q16=""),"","、")</f>
        <v/>
      </c>
      <c r="Q16" s="2479" t="str">
        <f>IF(G17="","",G16&amp;TEXT(G17,"yyyy年m月d日;;"))</f>
        <v>车库2061年12月31日</v>
      </c>
      <c r="R16" s="1697" t="str">
        <f>IF(OR(Q16="",S16=""),"","、")</f>
        <v/>
      </c>
      <c r="S16" s="2479" t="str">
        <f>IF(H17="","",H16&amp;TEXT(H17,"yyyy年m月d日;;"))</f>
        <v/>
      </c>
      <c r="T16" s="1697" t="str">
        <f>IF(OR(S16="",U16=""),"","、")</f>
        <v/>
      </c>
      <c r="U16" s="2479" t="str">
        <f>IF(I17="","",I16&amp;TEXT(I17,"yyyy年m月d日;;"))</f>
        <v/>
      </c>
    </row>
    <row r="17" spans="1:21">
      <c r="A17" s="1761"/>
      <c r="B17" s="1680"/>
      <c r="C17" s="1681" t="s">
        <v>1958</v>
      </c>
      <c r="D17" s="1698">
        <v>66476</v>
      </c>
      <c r="E17" s="1698">
        <v>55518</v>
      </c>
      <c r="F17" s="1698"/>
      <c r="G17" s="3521">
        <v>59171</v>
      </c>
      <c r="H17" s="1698"/>
      <c r="I17" s="1698"/>
      <c r="J17" s="1692"/>
      <c r="K17" s="2478" t="str">
        <f>CONCATENATE(K16,L16,M16,N16,O16,P16,Q16,R16,S16,T16,,U16)</f>
        <v>住宅2081年12月31日、商业2051年12月31日车库2061年12月31日</v>
      </c>
      <c r="L17" s="1721"/>
      <c r="M17" s="1721"/>
      <c r="N17" s="1692"/>
      <c r="O17" s="1693"/>
      <c r="P17" s="1692"/>
      <c r="Q17" s="1692"/>
      <c r="R17" s="1692"/>
      <c r="S17" s="1692"/>
      <c r="T17" s="1692"/>
      <c r="U17" s="1692"/>
    </row>
    <row r="18" spans="1:21">
      <c r="A18" s="1761"/>
      <c r="B18" s="1680"/>
      <c r="C18" s="1681" t="s">
        <v>1959</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63.93</v>
      </c>
      <c r="E19" s="1683">
        <f>IF(B16="出让",IF(E17="","",ROUNDDOWN(MIN((E17-$D$3)/365,E18),2)),E18)</f>
        <v>33.909999999999997</v>
      </c>
      <c r="F19" s="1683" t="str">
        <f>IF(B16="出让",IF(F17="","",ROUNDDOWN(MIN((F17-$D$3)/365,F18),2)),F18)</f>
        <v/>
      </c>
      <c r="G19" s="1683">
        <f>IF(B16="出让",IF(G17="","",ROUNDDOWN(MIN((G17-$D$3)/365,G18),2)),G18)</f>
        <v>43.92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596" t="s">
        <v>3503</v>
      </c>
      <c r="E20" s="3597"/>
      <c r="F20" s="3597"/>
      <c r="G20" s="3597"/>
      <c r="H20" s="3597"/>
      <c r="I20" s="3598"/>
      <c r="J20" s="1692"/>
      <c r="K20" s="1772"/>
      <c r="L20" s="1721"/>
      <c r="M20" s="1721"/>
      <c r="N20" s="1692"/>
      <c r="O20" s="1693"/>
      <c r="P20" s="1692"/>
      <c r="Q20" s="1692"/>
      <c r="R20" s="1692"/>
      <c r="S20" s="1692"/>
      <c r="T20" s="1692"/>
      <c r="U20" s="1692"/>
    </row>
    <row r="21" spans="1:21">
      <c r="A21" s="1761" t="s">
        <v>1961</v>
      </c>
      <c r="B21" s="1762" t="s">
        <v>1962</v>
      </c>
      <c r="C21" s="1757">
        <f>'数据-汇总表'!E3</f>
        <v>358341</v>
      </c>
      <c r="D21" s="1758" t="s">
        <v>1963</v>
      </c>
      <c r="E21" s="3586" t="s">
        <v>3499</v>
      </c>
      <c r="F21" s="3587"/>
      <c r="G21" s="3587"/>
      <c r="H21" s="3587"/>
      <c r="I21" s="3588"/>
      <c r="J21" s="1692"/>
      <c r="K21" s="1772"/>
      <c r="L21" s="1721"/>
      <c r="M21" s="1721"/>
      <c r="N21" s="1692"/>
      <c r="O21" s="1693"/>
      <c r="P21" s="1692"/>
      <c r="Q21" s="1692"/>
      <c r="R21" s="1692"/>
      <c r="S21" s="1692"/>
      <c r="T21" s="1692"/>
      <c r="U21" s="1692"/>
    </row>
    <row r="22" spans="1:21">
      <c r="A22" s="2661" t="s">
        <v>952</v>
      </c>
      <c r="B22" s="1659" t="s">
        <v>1964</v>
      </c>
      <c r="C22" s="1684">
        <f>'数据-汇总表'!D3</f>
        <v>74806</v>
      </c>
      <c r="D22" s="1685" t="s">
        <v>1963</v>
      </c>
      <c r="E22" s="3586" t="s">
        <v>3497</v>
      </c>
      <c r="F22" s="3587"/>
      <c r="G22" s="3587"/>
      <c r="H22" s="3587"/>
      <c r="I22" s="3588"/>
      <c r="J22" s="1692"/>
      <c r="K22" s="1772"/>
      <c r="L22" s="1721"/>
      <c r="M22" s="1721"/>
      <c r="N22" s="1692"/>
      <c r="O22" s="1693"/>
      <c r="P22" s="1692"/>
      <c r="Q22" s="1692"/>
      <c r="R22" s="1692"/>
      <c r="S22" s="1692"/>
      <c r="T22" s="1692"/>
      <c r="U22" s="1692"/>
    </row>
    <row r="23" spans="1:21" ht="43.5" thickBot="1">
      <c r="A23" s="1763" t="s">
        <v>1965</v>
      </c>
      <c r="B23" s="1699" t="s">
        <v>1966</v>
      </c>
      <c r="C23" s="1700" t="s">
        <v>1679</v>
      </c>
      <c r="D23" s="1701" t="s">
        <v>1967</v>
      </c>
      <c r="E23" s="1702" t="s">
        <v>3504</v>
      </c>
      <c r="F23" s="1703" t="str">
        <f>IF(AND(C23="是",E23="否"),"是否提供他项权证或相关说明","")</f>
        <v>是否提供他项权证或相关说明</v>
      </c>
      <c r="G23" s="1704" t="s">
        <v>3504</v>
      </c>
      <c r="H23" s="1692"/>
      <c r="I23" s="1705"/>
      <c r="J23" s="1692"/>
      <c r="K23" s="1772"/>
      <c r="L23" s="1721"/>
      <c r="M23" s="1721"/>
      <c r="N23" s="1692"/>
      <c r="O23" s="1693"/>
      <c r="P23" s="1692"/>
      <c r="Q23" s="1692"/>
      <c r="R23" s="1692"/>
      <c r="S23" s="1692"/>
      <c r="T23" s="1692"/>
      <c r="U23" s="1692"/>
    </row>
    <row r="24" spans="1:21">
      <c r="A24" s="1748" t="s">
        <v>1968</v>
      </c>
      <c r="B24" s="3589" t="s">
        <v>1969</v>
      </c>
      <c r="C24" s="3590"/>
      <c r="D24" s="3591" t="s">
        <v>1970</v>
      </c>
      <c r="E24" s="3592"/>
      <c r="F24" s="1706" t="s">
        <v>1971</v>
      </c>
      <c r="G24" s="1692"/>
      <c r="H24" s="1692"/>
      <c r="I24" s="1705"/>
      <c r="J24" s="1692"/>
      <c r="K24" s="3577" t="s">
        <v>1972</v>
      </c>
      <c r="L24" s="2480"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21"/>
      <c r="N24" s="1692"/>
      <c r="O24" s="1693"/>
      <c r="P24" s="1692"/>
      <c r="Q24" s="1692"/>
      <c r="R24" s="1692"/>
      <c r="S24" s="1692"/>
      <c r="T24" s="1692"/>
      <c r="U24" s="1692"/>
    </row>
    <row r="25" spans="1:21">
      <c r="A25" s="1749"/>
      <c r="B25" s="1746" t="s">
        <v>952</v>
      </c>
      <c r="C25" s="1707" t="s">
        <v>952</v>
      </c>
      <c r="D25" s="1708"/>
      <c r="E25" s="1709" t="s">
        <v>952</v>
      </c>
      <c r="F25" s="1710"/>
      <c r="G25" s="1692"/>
      <c r="H25" s="1692"/>
      <c r="I25" s="1705"/>
      <c r="J25" s="1692"/>
      <c r="K25" s="3577"/>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3513</v>
      </c>
      <c r="D26" s="1658"/>
      <c r="E26" s="1658"/>
      <c r="F26" s="1686"/>
      <c r="G26" s="1692"/>
      <c r="H26" s="1692"/>
      <c r="I26" s="1705"/>
      <c r="J26" s="1692"/>
      <c r="K26" s="3577"/>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75"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76"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76"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77" t="s">
        <v>1978</v>
      </c>
      <c r="E30" s="1716"/>
      <c r="F30" s="1687"/>
      <c r="G30" s="1740"/>
      <c r="H30" s="1740"/>
      <c r="I30" s="1741"/>
      <c r="J30" s="1692"/>
      <c r="K30" s="1772"/>
      <c r="L30" s="1721"/>
      <c r="M30" s="1721"/>
      <c r="N30" s="1692"/>
      <c r="O30" s="1693"/>
      <c r="P30" s="1692"/>
      <c r="Q30" s="1692"/>
      <c r="R30" s="1692"/>
      <c r="S30" s="1692"/>
      <c r="T30" s="1692"/>
      <c r="U30" s="1692"/>
    </row>
    <row r="31" spans="1:21" ht="15" thickTop="1">
      <c r="A31" s="3563" t="s">
        <v>2002</v>
      </c>
      <c r="B31" s="1762" t="s">
        <v>2003</v>
      </c>
      <c r="C31" s="3602" t="s">
        <v>3365</v>
      </c>
      <c r="D31" s="3603"/>
      <c r="E31" s="1692"/>
      <c r="F31" s="1692"/>
      <c r="G31" s="1692"/>
      <c r="H31" s="1692"/>
      <c r="I31" s="1705"/>
      <c r="J31" s="1692"/>
      <c r="K31" s="2481"/>
      <c r="L31" s="1692"/>
      <c r="M31" s="1692"/>
      <c r="N31" s="1692"/>
      <c r="O31" s="1692"/>
      <c r="P31" s="1692"/>
      <c r="Q31" s="1692"/>
      <c r="R31" s="1692"/>
      <c r="S31" s="1692"/>
      <c r="T31" s="1692"/>
      <c r="U31" s="1692"/>
    </row>
    <row r="32" spans="1:21">
      <c r="A32" s="3563"/>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563"/>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564"/>
      <c r="B34" s="1659" t="s">
        <v>2006</v>
      </c>
      <c r="C34" s="3565"/>
      <c r="D34" s="3566"/>
      <c r="E34" s="1692"/>
      <c r="F34" s="1692"/>
      <c r="G34" s="1692"/>
      <c r="H34" s="1692"/>
      <c r="I34" s="1705"/>
      <c r="J34" s="1692"/>
      <c r="K34" s="2481"/>
      <c r="L34" s="1692"/>
      <c r="M34" s="1692"/>
      <c r="N34" s="1692"/>
      <c r="O34" s="1692"/>
      <c r="P34" s="1692"/>
      <c r="Q34" s="1692"/>
      <c r="R34" s="1692"/>
      <c r="S34" s="1692"/>
      <c r="T34" s="1692"/>
      <c r="U34" s="1692"/>
    </row>
    <row r="35" spans="1:21">
      <c r="A35" s="3567" t="s">
        <v>847</v>
      </c>
      <c r="B35" s="1720" t="s">
        <v>3505</v>
      </c>
      <c r="C35" s="1774" t="str">
        <f>IF(B35="场地平整","——","具体情况：")</f>
        <v>——</v>
      </c>
      <c r="D35" s="3569"/>
      <c r="E35" s="3570"/>
      <c r="F35" s="3570"/>
      <c r="G35" s="3570"/>
      <c r="H35" s="3570"/>
      <c r="I35" s="3571"/>
      <c r="J35" s="1692"/>
      <c r="K35" s="1773"/>
      <c r="L35" s="1721"/>
      <c r="M35" s="1721"/>
      <c r="N35" s="1692"/>
      <c r="O35" s="1693"/>
      <c r="P35" s="1692"/>
      <c r="Q35" s="1692"/>
      <c r="R35" s="1692"/>
      <c r="S35" s="1692"/>
      <c r="T35" s="1692"/>
      <c r="U35" s="1692"/>
    </row>
    <row r="36" spans="1:21">
      <c r="A36" s="3563"/>
      <c r="B36" s="3572" t="s">
        <v>2055</v>
      </c>
      <c r="C36" s="3573"/>
      <c r="D36" s="1790" t="s">
        <v>3506</v>
      </c>
      <c r="E36" s="3574"/>
      <c r="F36" s="3574"/>
      <c r="G36" s="1685" t="str">
        <f>IF(B35="场地未平整","估价结果处理","")</f>
        <v/>
      </c>
      <c r="H36" s="3575"/>
      <c r="I36" s="3575"/>
      <c r="J36" s="1692"/>
      <c r="K36" s="1773"/>
      <c r="L36" s="1721"/>
      <c r="M36" s="1721"/>
      <c r="N36" s="1692"/>
      <c r="O36" s="1693"/>
      <c r="P36" s="1692"/>
      <c r="Q36" s="1692"/>
      <c r="R36" s="1692"/>
      <c r="S36" s="1692"/>
      <c r="T36" s="1692"/>
      <c r="U36" s="1692"/>
    </row>
    <row r="37" spans="1:21" ht="28.5">
      <c r="A37" s="3563"/>
      <c r="B37" s="3593" t="s">
        <v>848</v>
      </c>
      <c r="C37" s="1722" t="s">
        <v>849</v>
      </c>
      <c r="D37" s="1723">
        <v>43187</v>
      </c>
      <c r="E37" s="1724"/>
      <c r="F37" s="1692"/>
      <c r="G37" s="1692"/>
      <c r="H37" s="1692"/>
      <c r="I37" s="1705"/>
      <c r="J37" s="1692"/>
      <c r="K37" s="1773"/>
      <c r="L37" s="1692"/>
      <c r="M37" s="1692"/>
      <c r="N37" s="1692"/>
      <c r="O37" s="1692"/>
      <c r="P37" s="1692"/>
      <c r="Q37" s="1692"/>
      <c r="R37" s="1692"/>
      <c r="S37" s="1692"/>
      <c r="T37" s="1692"/>
      <c r="U37" s="1692"/>
    </row>
    <row r="38" spans="1:21">
      <c r="A38" s="3563"/>
      <c r="B38" s="3594"/>
      <c r="C38" s="1667" t="s">
        <v>850</v>
      </c>
      <c r="D38" s="1789">
        <f>ROUNDDOWN(MIN(('数据-取费表'!$B$2-D37)/365,D34),1)</f>
        <v>-0.1</v>
      </c>
      <c r="E38" s="1725" t="s">
        <v>851</v>
      </c>
      <c r="F38" s="1692"/>
      <c r="G38" s="1692"/>
      <c r="H38" s="1692"/>
      <c r="I38" s="1705"/>
      <c r="J38" s="1692"/>
      <c r="K38" s="1773"/>
      <c r="L38" s="1692"/>
      <c r="M38" s="1692"/>
      <c r="N38" s="1692"/>
      <c r="O38" s="1692"/>
      <c r="P38" s="1692"/>
      <c r="Q38" s="1692"/>
      <c r="R38" s="1692"/>
      <c r="S38" s="1692"/>
      <c r="T38" s="1692"/>
      <c r="U38" s="1692"/>
    </row>
    <row r="39" spans="1:21">
      <c r="A39" s="3564"/>
      <c r="B39" s="3595"/>
      <c r="C39" s="1695" t="str">
        <f>IF(D38&lt;1,"不存在土地闲置",IF(B35="宗地内已开工建设","已开工，不存在土地闲置","估价对象已涉嫌土地闲置"))</f>
        <v>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3379</v>
      </c>
      <c r="C40" s="1688" t="s">
        <v>3380</v>
      </c>
      <c r="D40" s="1688" t="s">
        <v>3381</v>
      </c>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576" t="s">
        <v>1987</v>
      </c>
      <c r="T40" s="1729" t="str">
        <f>NUMBERSTRING(7-K40,1)&amp;"通"</f>
        <v>七通</v>
      </c>
      <c r="U40" s="1692"/>
    </row>
    <row r="41" spans="1:21" ht="28.5">
      <c r="A41" s="1661"/>
      <c r="B41" s="3568" t="s">
        <v>1722</v>
      </c>
      <c r="C41" s="3568"/>
      <c r="D41" s="3568"/>
      <c r="E41" s="3568"/>
      <c r="F41" s="1730" t="str">
        <f>C10</f>
        <v>广东省惠州市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576"/>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2891</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2332</v>
      </c>
      <c r="BA2" s="2360"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30000+32471+12335</f>
        <v>74806</v>
      </c>
      <c r="B3" s="22">
        <f>IF(C3="否",G5-AT5,G5)</f>
        <v>358341</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358341</v>
      </c>
      <c r="H5" s="27">
        <f t="shared" ref="H5:AT5" si="0">SUM(H13:H641)</f>
        <v>354241</v>
      </c>
      <c r="I5" s="27">
        <f t="shared" si="0"/>
        <v>252484</v>
      </c>
      <c r="J5" s="27">
        <f t="shared" si="0"/>
        <v>0</v>
      </c>
      <c r="K5" s="27">
        <f t="shared" si="0"/>
        <v>1500</v>
      </c>
      <c r="L5" s="27">
        <f t="shared" si="0"/>
        <v>0</v>
      </c>
      <c r="M5" s="27">
        <f t="shared" si="0"/>
        <v>3737</v>
      </c>
      <c r="N5" s="27">
        <f t="shared" si="0"/>
        <v>0</v>
      </c>
      <c r="O5" s="27">
        <f t="shared" si="0"/>
        <v>96520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4100</v>
      </c>
      <c r="AD5" s="27">
        <f t="shared" si="0"/>
        <v>4100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358341</v>
      </c>
      <c r="BA5" s="29">
        <f t="shared" si="1"/>
        <v>354241</v>
      </c>
      <c r="BB5" s="29">
        <f t="shared" si="1"/>
        <v>252484</v>
      </c>
      <c r="BC5" s="29">
        <f t="shared" si="1"/>
        <v>1500</v>
      </c>
      <c r="BD5" s="29">
        <f t="shared" si="1"/>
        <v>3737</v>
      </c>
      <c r="BE5" s="29">
        <f t="shared" si="1"/>
        <v>96520</v>
      </c>
      <c r="BF5" s="29">
        <f t="shared" si="1"/>
        <v>0</v>
      </c>
      <c r="BG5" s="29">
        <f t="shared" si="1"/>
        <v>0</v>
      </c>
      <c r="BH5" s="29">
        <f t="shared" si="1"/>
        <v>0</v>
      </c>
      <c r="BI5" s="29">
        <f t="shared" si="1"/>
        <v>0</v>
      </c>
      <c r="BJ5" s="29">
        <f t="shared" si="1"/>
        <v>0</v>
      </c>
      <c r="BK5" s="29">
        <f t="shared" si="1"/>
        <v>0</v>
      </c>
      <c r="BL5" s="29">
        <f t="shared" si="1"/>
        <v>4100</v>
      </c>
      <c r="BM5" s="29">
        <f t="shared" si="1"/>
        <v>4100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74805.989999999991</v>
      </c>
      <c r="F6" s="27" t="s">
        <v>1</v>
      </c>
      <c r="G6" s="27" t="s">
        <v>2</v>
      </c>
      <c r="H6" s="33">
        <f>SUMIF(I$12:AB$12,"总值",I6:AB6)</f>
        <v>73950.09</v>
      </c>
      <c r="I6" s="27">
        <f t="shared" ref="I6:AB6" si="2">ROUND($A$3*I5/$B$3,2)</f>
        <v>52707.67</v>
      </c>
      <c r="J6" s="27">
        <f t="shared" si="2"/>
        <v>0</v>
      </c>
      <c r="K6" s="27">
        <f t="shared" si="2"/>
        <v>313.13</v>
      </c>
      <c r="L6" s="27">
        <f t="shared" si="2"/>
        <v>0</v>
      </c>
      <c r="M6" s="27">
        <f t="shared" si="2"/>
        <v>780.12</v>
      </c>
      <c r="N6" s="27">
        <f t="shared" si="2"/>
        <v>0</v>
      </c>
      <c r="O6" s="27">
        <f t="shared" si="2"/>
        <v>20149.169999999998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855.9</v>
      </c>
      <c r="AD6" s="27">
        <f t="shared" ref="AD6:AS6" si="3">ROUND($A$3*AD5/$B$3,2)</f>
        <v>855.9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74806</v>
      </c>
      <c r="AZ6" s="27" t="s">
        <v>3</v>
      </c>
      <c r="BA6" s="27">
        <f>ROUND($AY$6*BA5/$AZ$5,2)</f>
        <v>73950.100000000006</v>
      </c>
      <c r="BB6" s="27">
        <f>ROUND($AY$6*BB5/$AZ$5,2)</f>
        <v>52707.67</v>
      </c>
      <c r="BC6" s="27">
        <f t="shared" ref="BC6:BH6" si="4">ROUND($AY$6*BC5/$AZ$5,2)</f>
        <v>313.13</v>
      </c>
      <c r="BD6" s="27">
        <f t="shared" si="4"/>
        <v>780.12</v>
      </c>
      <c r="BE6" s="27">
        <f t="shared" si="4"/>
        <v>20149.169999999998</v>
      </c>
      <c r="BF6" s="27">
        <f t="shared" si="4"/>
        <v>0</v>
      </c>
      <c r="BG6" s="27">
        <f t="shared" si="4"/>
        <v>0</v>
      </c>
      <c r="BH6" s="27">
        <f t="shared" si="4"/>
        <v>0</v>
      </c>
      <c r="BI6" s="27">
        <f t="shared" ref="BI6:BT6" si="5">ROUND($AY$6*BI5/$AZ$5,2)</f>
        <v>0</v>
      </c>
      <c r="BJ6" s="27">
        <f t="shared" si="5"/>
        <v>0</v>
      </c>
      <c r="BK6" s="27">
        <f t="shared" si="5"/>
        <v>0</v>
      </c>
      <c r="BL6" s="27">
        <f t="shared" si="5"/>
        <v>855.9</v>
      </c>
      <c r="BM6" s="27">
        <f t="shared" si="5"/>
        <v>855.9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2" t="s">
        <v>3367</v>
      </c>
      <c r="J9" s="51"/>
      <c r="K9" s="3042" t="s">
        <v>3367</v>
      </c>
      <c r="L9" s="51"/>
      <c r="M9" s="3042" t="s">
        <v>3367</v>
      </c>
      <c r="N9" s="51"/>
      <c r="O9" s="59" t="s">
        <v>3376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2" t="s">
        <v>923</v>
      </c>
      <c r="J10" s="51"/>
      <c r="K10" s="3044" t="s">
        <v>3364</v>
      </c>
      <c r="L10" s="51"/>
      <c r="M10" s="3044" t="s">
        <v>3364</v>
      </c>
      <c r="N10" s="51"/>
      <c r="O10" s="66" t="s">
        <v>3377</v>
      </c>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2330</v>
      </c>
      <c r="AK10" s="2332"/>
      <c r="AL10" s="2313" t="s">
        <v>2320</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3" t="s">
        <v>3368</v>
      </c>
      <c r="J11" s="71"/>
      <c r="K11" s="3043" t="s">
        <v>3373</v>
      </c>
      <c r="L11" s="71"/>
      <c r="M11" s="70" t="s">
        <v>3369</v>
      </c>
      <c r="N11" s="71"/>
      <c r="O11" s="70"/>
      <c r="P11" s="71"/>
      <c r="Q11" s="70"/>
      <c r="R11" s="71"/>
      <c r="S11" s="70"/>
      <c r="T11" s="71"/>
      <c r="U11" s="70"/>
      <c r="V11" s="71"/>
      <c r="W11" s="70"/>
      <c r="X11" s="71"/>
      <c r="Y11" s="70"/>
      <c r="Z11" s="71"/>
      <c r="AA11" s="70"/>
      <c r="AB11" s="71"/>
      <c r="AC11" s="55"/>
      <c r="AD11" s="2333" t="s">
        <v>2329</v>
      </c>
      <c r="AE11" s="1000"/>
      <c r="AF11" s="2333" t="s">
        <v>2329</v>
      </c>
      <c r="AG11" s="1000"/>
      <c r="AH11" s="2333" t="s">
        <v>2328</v>
      </c>
      <c r="AI11" s="2334"/>
      <c r="AJ11" s="2333" t="s">
        <v>2328</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底商</v>
      </c>
      <c r="BD12" s="79" t="str">
        <f>M11</f>
        <v>综合楼</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7"/>
      <c r="B13" s="3037"/>
      <c r="C13" s="3037"/>
      <c r="D13" s="3038" t="s">
        <v>3366</v>
      </c>
      <c r="E13" s="27">
        <f t="shared" ref="E13:E20" si="6">IF($C$3="是",ROUND($A$3*G13/$B$3,2),ROUND($A$3*(G13-AT13)/$B$3,2))</f>
        <v>74806</v>
      </c>
      <c r="F13" s="81"/>
      <c r="G13" s="82">
        <f t="shared" ref="G13:G20" si="7">H13+AC13+AT13</f>
        <v>358341</v>
      </c>
      <c r="H13" s="33">
        <f t="shared" ref="H13:H20" si="8">SUMIF(I$12:AB$12,"总值",I13:AB13)</f>
        <v>354241</v>
      </c>
      <c r="I13" s="3041">
        <v>252484</v>
      </c>
      <c r="J13" s="3041"/>
      <c r="K13" s="3041">
        <v>1500</v>
      </c>
      <c r="L13" s="3041"/>
      <c r="M13" s="3041">
        <v>3737</v>
      </c>
      <c r="N13" s="83"/>
      <c r="O13" s="83">
        <v>96520</v>
      </c>
      <c r="P13" s="83"/>
      <c r="Q13" s="83"/>
      <c r="R13" s="83"/>
      <c r="S13" s="83"/>
      <c r="T13" s="83"/>
      <c r="U13" s="83"/>
      <c r="V13" s="83"/>
      <c r="W13" s="83"/>
      <c r="X13" s="83"/>
      <c r="Y13" s="83"/>
      <c r="Z13" s="83"/>
      <c r="AA13" s="83"/>
      <c r="AB13" s="83"/>
      <c r="AC13" s="27">
        <f t="shared" ref="AC13:AC20" si="9">SUMIF(AD$12:AS$12,"总值",AD13:AS13)</f>
        <v>4100</v>
      </c>
      <c r="AD13" s="3045">
        <f>900+3200</f>
        <v>4100</v>
      </c>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0</v>
      </c>
      <c r="AY13" s="994">
        <f t="shared" ref="AY13:AY20" si="11">ROUND($AY$6*AZ13/$AZ$5,2)</f>
        <v>74806</v>
      </c>
      <c r="AZ13" s="27">
        <f t="shared" ref="AZ13:AZ20" si="12">BA13+BL13</f>
        <v>358341</v>
      </c>
      <c r="BA13" s="27">
        <f t="shared" ref="BA13:BA20" si="13">SUM(BB13:BK13)</f>
        <v>354241</v>
      </c>
      <c r="BB13" s="27">
        <f t="shared" ref="BB13:BB20" si="14">IF($D13="是",I13-J13,0)</f>
        <v>252484</v>
      </c>
      <c r="BC13" s="27">
        <f t="shared" ref="BC13:BC20" si="15">IF($D13="是",K13-L13,0)</f>
        <v>1500</v>
      </c>
      <c r="BD13" s="27">
        <f t="shared" ref="BD13:BD20" si="16">IF($D13="是",M13-N13,0)</f>
        <v>3737</v>
      </c>
      <c r="BE13" s="27">
        <f t="shared" ref="BE13:BE20" si="17">IF($D13="是",O13-P13,0)</f>
        <v>96520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4100</v>
      </c>
      <c r="BM13" s="27">
        <f t="shared" ref="BM13:BM20" si="25">IF($D13="是",AD13-AE13,0)</f>
        <v>4100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4" t="s">
        <v>0</v>
      </c>
      <c r="B1" s="3604" t="s">
        <v>4</v>
      </c>
      <c r="C1" s="3604" t="s">
        <v>5</v>
      </c>
      <c r="D1" s="3605" t="s">
        <v>40</v>
      </c>
      <c r="E1" s="3605" t="s">
        <v>41</v>
      </c>
      <c r="F1" s="3605"/>
      <c r="G1" s="3605"/>
      <c r="H1" s="3605"/>
      <c r="I1" s="3605"/>
      <c r="J1" s="3605"/>
      <c r="K1" s="3605"/>
      <c r="L1" s="3605"/>
      <c r="M1" s="3605"/>
    </row>
    <row r="2" spans="1:13" ht="27" customHeight="1">
      <c r="A2" s="3604"/>
      <c r="B2" s="3604"/>
      <c r="C2" s="3604"/>
      <c r="D2" s="3605"/>
      <c r="E2" s="3605" t="s">
        <v>24</v>
      </c>
      <c r="F2" s="3605" t="s">
        <v>25</v>
      </c>
      <c r="G2" s="3605"/>
      <c r="H2" s="3605"/>
      <c r="I2" s="3605"/>
      <c r="J2" s="3605" t="s">
        <v>26</v>
      </c>
      <c r="K2" s="3605"/>
      <c r="L2" s="3605"/>
      <c r="M2" s="3605"/>
    </row>
    <row r="3" spans="1:13" ht="28.5">
      <c r="A3" s="3604"/>
      <c r="B3" s="3604"/>
      <c r="C3" s="3604"/>
      <c r="D3" s="3605"/>
      <c r="E3" s="36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5" t="s">
        <v>42</v>
      </c>
      <c r="B9" s="3605"/>
      <c r="C9" s="36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topLeftCell="A10" zoomScale="90" zoomScaleNormal="90" zoomScaleSheetLayoutView="90" workbookViewId="0">
      <selection activeCell="F31" sqref="F31:G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615" t="s">
        <v>203</v>
      </c>
      <c r="B2" s="3615"/>
      <c r="C2" s="3615"/>
      <c r="D2" s="1974" t="s">
        <v>204</v>
      </c>
      <c r="E2" s="106" t="s">
        <v>205</v>
      </c>
      <c r="F2" s="1983"/>
      <c r="G2" s="1196"/>
      <c r="H2" s="1197"/>
      <c r="I2" s="1198" t="s">
        <v>857</v>
      </c>
      <c r="J2" s="1983"/>
      <c r="K2" s="1983"/>
      <c r="L2" s="1983"/>
    </row>
    <row r="3" spans="1:16" ht="15.75" thickBot="1">
      <c r="A3" s="3616" t="s">
        <v>206</v>
      </c>
      <c r="B3" s="3616"/>
      <c r="C3" s="3616"/>
      <c r="D3" s="107">
        <f>'数据-基础表'!AY6</f>
        <v>74806</v>
      </c>
      <c r="E3" s="107">
        <f>'数据-基础表'!AZ5</f>
        <v>358341</v>
      </c>
      <c r="F3" s="1983"/>
      <c r="G3" s="280" t="s">
        <v>858</v>
      </c>
      <c r="H3" s="275" t="s">
        <v>859</v>
      </c>
      <c r="I3" s="1975">
        <f>ROUND('数据-基础表'!B3/'数据-基础表'!A3,2)</f>
        <v>4.79</v>
      </c>
      <c r="J3" s="1983"/>
      <c r="K3" s="1983"/>
      <c r="L3" s="1983"/>
    </row>
    <row r="4" spans="1:16" ht="15">
      <c r="A4" s="3617"/>
      <c r="B4" s="3618"/>
      <c r="C4" s="3619"/>
      <c r="D4" s="108" t="s">
        <v>204</v>
      </c>
      <c r="E4" s="109" t="s">
        <v>205</v>
      </c>
      <c r="F4" s="1983"/>
      <c r="G4" s="1199"/>
      <c r="H4" s="275" t="s">
        <v>860</v>
      </c>
      <c r="I4" s="1975">
        <f>ROUND(SUMIF('数据-基础表'!I9:AS9,"地上",'数据-基础表'!I5:AS5)/'数据-基础表'!A3,2)</f>
        <v>3.5</v>
      </c>
      <c r="J4" s="1983"/>
      <c r="K4" s="1983"/>
      <c r="L4" s="1983"/>
    </row>
    <row r="5" spans="1:16">
      <c r="A5" s="110" t="s">
        <v>207</v>
      </c>
      <c r="B5" s="3620" t="s">
        <v>230</v>
      </c>
      <c r="C5" s="3620"/>
      <c r="D5" s="111">
        <f>ROUND($D$3*E5/$E$3,2)</f>
        <v>52707.67</v>
      </c>
      <c r="E5" s="112">
        <f>SUMIF('数据-基础表'!$11:$11,"住宅",'数据-基础表'!$5:$5)</f>
        <v>252484</v>
      </c>
      <c r="F5" s="1983"/>
      <c r="G5" s="280" t="s">
        <v>861</v>
      </c>
      <c r="H5" s="275" t="s">
        <v>859</v>
      </c>
      <c r="I5" s="1975">
        <f>ROUND(E31/D31,2)</f>
        <v>4.79</v>
      </c>
      <c r="J5" s="1983"/>
      <c r="K5" s="1983"/>
      <c r="L5" s="1983"/>
    </row>
    <row r="6" spans="1:16" ht="15" thickBot="1">
      <c r="A6" s="113"/>
      <c r="B6" s="3620" t="s">
        <v>208</v>
      </c>
      <c r="C6" s="3620"/>
      <c r="D6" s="111">
        <f>ROUND($D$3*E6/$E$3,2)</f>
        <v>22098.33</v>
      </c>
      <c r="E6" s="112">
        <f>E3-E5</f>
        <v>105857</v>
      </c>
      <c r="F6" s="1983"/>
      <c r="G6" s="1199"/>
      <c r="H6" s="275" t="s">
        <v>860</v>
      </c>
      <c r="I6" s="1975">
        <f>ROUND(F31/D31,2)</f>
        <v>3.5</v>
      </c>
      <c r="J6" s="1983"/>
      <c r="K6" s="1983"/>
      <c r="L6" s="1983"/>
    </row>
    <row r="7" spans="1:16" ht="15">
      <c r="A7" s="3612"/>
      <c r="B7" s="3613"/>
      <c r="C7" s="3614"/>
      <c r="D7" s="108" t="s">
        <v>204</v>
      </c>
      <c r="E7" s="114" t="s">
        <v>231</v>
      </c>
      <c r="F7" s="1983"/>
      <c r="G7" s="1154" t="s">
        <v>1646</v>
      </c>
      <c r="H7" s="1155"/>
      <c r="I7" s="1845"/>
      <c r="J7" s="1983"/>
      <c r="K7" s="1983"/>
      <c r="L7" s="1983"/>
    </row>
    <row r="8" spans="1:16">
      <c r="A8" s="110" t="s">
        <v>209</v>
      </c>
      <c r="B8" s="115" t="s">
        <v>210</v>
      </c>
      <c r="C8" s="111" t="s">
        <v>211</v>
      </c>
      <c r="D8" s="111">
        <f t="shared" ref="D8:D15" si="0">ROUND($D$3*E8/$E$3,2)</f>
        <v>53800.92</v>
      </c>
      <c r="E8" s="116">
        <f>SUMIF('数据-基础表'!BB10:BK10,"地上",'数据-基础表'!BB5:BK5)</f>
        <v>257721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20149.169999999998</v>
      </c>
      <c r="E13" s="116">
        <f>SUMPRODUCT(('数据-基础表'!BB10:BK10="地下")*('数据-基础表'!BB11:BK11="车库")*('数据-基础表'!BB5:BK5))</f>
        <v>96520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73950.09</v>
      </c>
      <c r="E16" s="120">
        <f>SUM(E8:E15)</f>
        <v>354241</v>
      </c>
      <c r="F16" s="1983"/>
      <c r="G16" s="1985"/>
      <c r="H16" s="966" t="s">
        <v>219</v>
      </c>
      <c r="I16" s="967"/>
      <c r="J16" s="1983"/>
      <c r="K16" s="3606" t="s">
        <v>2568</v>
      </c>
      <c r="L16" s="3607"/>
      <c r="M16" s="3607"/>
      <c r="N16" s="3607"/>
      <c r="O16" s="3607"/>
      <c r="P16" s="3608"/>
    </row>
    <row r="17" spans="1:19" ht="15">
      <c r="A17" s="121" t="s">
        <v>216</v>
      </c>
      <c r="B17" s="122" t="s">
        <v>217</v>
      </c>
      <c r="C17" s="2297" t="s">
        <v>2314</v>
      </c>
      <c r="D17" s="108" t="s">
        <v>204</v>
      </c>
      <c r="E17" s="124" t="s">
        <v>205</v>
      </c>
      <c r="F17" s="125"/>
      <c r="G17" s="1364"/>
      <c r="H17" s="968" t="s">
        <v>218</v>
      </c>
      <c r="I17" s="969" t="s">
        <v>2313</v>
      </c>
      <c r="J17" s="1983"/>
      <c r="K17" s="3609" t="s">
        <v>2569</v>
      </c>
      <c r="L17" s="3610"/>
      <c r="M17" s="3611"/>
      <c r="N17" s="3609" t="s">
        <v>2570</v>
      </c>
      <c r="O17" s="3610"/>
      <c r="P17" s="3611"/>
      <c r="R17" s="2298" t="s">
        <v>2312</v>
      </c>
      <c r="S17" s="144"/>
    </row>
    <row r="18" spans="1:19" ht="15">
      <c r="A18" s="117"/>
      <c r="B18" s="128"/>
      <c r="C18" s="129"/>
      <c r="D18" s="2666"/>
      <c r="E18" s="130" t="s">
        <v>220</v>
      </c>
      <c r="F18" s="131" t="s">
        <v>221</v>
      </c>
      <c r="G18" s="1365" t="s">
        <v>222</v>
      </c>
      <c r="H18" s="970" t="s">
        <v>223</v>
      </c>
      <c r="I18" s="971" t="s">
        <v>224</v>
      </c>
      <c r="J18" s="1983"/>
      <c r="K18" s="2628" t="s">
        <v>2571</v>
      </c>
      <c r="L18" s="2629" t="s">
        <v>2572</v>
      </c>
      <c r="M18" s="2630" t="s">
        <v>2573</v>
      </c>
      <c r="N18" s="2628" t="s">
        <v>2571</v>
      </c>
      <c r="O18" s="2629" t="s">
        <v>2572</v>
      </c>
      <c r="P18" s="2630" t="s">
        <v>2573</v>
      </c>
      <c r="R18" s="2299" t="s">
        <v>2310</v>
      </c>
      <c r="S18" s="2299" t="s">
        <v>2311</v>
      </c>
    </row>
    <row r="19" spans="1:19">
      <c r="A19" s="133"/>
      <c r="B19" s="115" t="s">
        <v>225</v>
      </c>
      <c r="C19" s="3048" t="s">
        <v>3371</v>
      </c>
      <c r="D19" s="111">
        <f t="shared" ref="D19:D26" si="1">ROUND($D$3*E19/$E$3,2)</f>
        <v>52707.67</v>
      </c>
      <c r="E19" s="134">
        <f t="shared" ref="E19:E26" si="2">SUM(F19:G19)</f>
        <v>252484</v>
      </c>
      <c r="F19" s="135">
        <f>'数据-基础表'!I13</f>
        <v>252484</v>
      </c>
      <c r="G19" s="1366"/>
      <c r="H19" s="972">
        <f>ROUND($D$3*I19/$E$3,2)</f>
        <v>855.9</v>
      </c>
      <c r="I19" s="116">
        <f>IF($I$17="自定义",P19,M19)</f>
        <v>4100</v>
      </c>
      <c r="J19" s="1983"/>
      <c r="K19" s="2631">
        <f t="shared" ref="K19:K26" si="3">ROUND(E$28*E19/E$27,2)</f>
        <v>0</v>
      </c>
      <c r="L19" s="275">
        <f t="shared" ref="L19:L26" si="4">ROUND(IF(COUNTIF(C19,"*住宅*")&gt;0,E$29*E19/E$32,0),2)</f>
        <v>4100</v>
      </c>
      <c r="M19" s="2632">
        <f>K19+L19</f>
        <v>4100</v>
      </c>
      <c r="N19" s="2633"/>
      <c r="O19" s="2634"/>
      <c r="P19" s="2635">
        <f>N19+O19</f>
        <v>0</v>
      </c>
      <c r="R19" s="275">
        <f t="shared" ref="R19:S26" si="5">D19+H19</f>
        <v>53563.57</v>
      </c>
      <c r="S19" s="2300">
        <f t="shared" si="5"/>
        <v>256584</v>
      </c>
    </row>
    <row r="20" spans="1:19">
      <c r="A20" s="138"/>
      <c r="B20" s="115" t="s">
        <v>226</v>
      </c>
      <c r="C20" s="3048" t="s">
        <v>3372</v>
      </c>
      <c r="D20" s="111">
        <f t="shared" si="1"/>
        <v>1093.26</v>
      </c>
      <c r="E20" s="134">
        <f t="shared" si="2"/>
        <v>5237</v>
      </c>
      <c r="F20" s="135">
        <f>'数据-基础表'!K13+'数据-基础表'!M13</f>
        <v>5237</v>
      </c>
      <c r="G20" s="1366"/>
      <c r="H20" s="972">
        <f t="shared" ref="H20:H26" si="6">ROUND($D$3*I20/$E$3,2)</f>
        <v>0</v>
      </c>
      <c r="I20" s="116">
        <f t="shared" ref="I20:I26" si="7">IF($I$17="自定义",P20,M20)</f>
        <v>0</v>
      </c>
      <c r="J20" s="1983"/>
      <c r="K20" s="2631">
        <f t="shared" si="3"/>
        <v>0</v>
      </c>
      <c r="L20" s="275">
        <f t="shared" si="4"/>
        <v>0</v>
      </c>
      <c r="M20" s="2632">
        <f t="shared" ref="M20:M26" si="8">K20+L20</f>
        <v>0</v>
      </c>
      <c r="N20" s="2633"/>
      <c r="O20" s="2634"/>
      <c r="P20" s="2635">
        <f t="shared" ref="P20:P26" si="9">N20+O20</f>
        <v>0</v>
      </c>
      <c r="R20" s="275">
        <f t="shared" si="5"/>
        <v>1093.26</v>
      </c>
      <c r="S20" s="2300">
        <f t="shared" si="5"/>
        <v>5237</v>
      </c>
    </row>
    <row r="21" spans="1:19">
      <c r="A21" s="138"/>
      <c r="B21" s="115" t="s">
        <v>226</v>
      </c>
      <c r="C21" s="3048" t="s">
        <v>3378</v>
      </c>
      <c r="D21" s="111">
        <f t="shared" si="1"/>
        <v>20149.169999999998</v>
      </c>
      <c r="E21" s="134">
        <f t="shared" si="2"/>
        <v>96520</v>
      </c>
      <c r="F21" s="135"/>
      <c r="G21" s="1366">
        <f>'数据-基础表'!O13</f>
        <v>96520</v>
      </c>
      <c r="H21" s="972">
        <f t="shared" si="6"/>
        <v>0</v>
      </c>
      <c r="I21" s="116">
        <f t="shared" si="7"/>
        <v>0</v>
      </c>
      <c r="J21" s="1983"/>
      <c r="K21" s="2631">
        <f t="shared" si="3"/>
        <v>0</v>
      </c>
      <c r="L21" s="275">
        <f t="shared" si="4"/>
        <v>0</v>
      </c>
      <c r="M21" s="2632">
        <f t="shared" si="8"/>
        <v>0</v>
      </c>
      <c r="N21" s="2633"/>
      <c r="O21" s="2634"/>
      <c r="P21" s="2635">
        <f t="shared" si="9"/>
        <v>0</v>
      </c>
      <c r="R21" s="275">
        <f t="shared" si="5"/>
        <v>20149.169999999998</v>
      </c>
      <c r="S21" s="2300">
        <f t="shared" si="5"/>
        <v>96520</v>
      </c>
    </row>
    <row r="22" spans="1:19">
      <c r="A22" s="138"/>
      <c r="B22" s="115" t="s">
        <v>226</v>
      </c>
      <c r="C22" s="1363"/>
      <c r="D22" s="111">
        <f t="shared" si="1"/>
        <v>0</v>
      </c>
      <c r="E22" s="134">
        <f t="shared" si="2"/>
        <v>0</v>
      </c>
      <c r="F22" s="140"/>
      <c r="G22" s="1367"/>
      <c r="H22" s="972">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73950.100000000006</v>
      </c>
      <c r="E27" s="143">
        <f>IF(SUM(E19:E26)='数据-基础表'!BA5,SUM(E19:E26),IF(F27="地上面积有误","面积有误","地下面积有误"))</f>
        <v>354241</v>
      </c>
      <c r="F27" s="134">
        <f>IF(SUM(F19:F26)=E8,SUM(F19:F26),"地上面积有误")</f>
        <v>257721</v>
      </c>
      <c r="G27" s="112">
        <f>SUM(G19:G26)</f>
        <v>96520</v>
      </c>
      <c r="H27" s="973">
        <f>SUM(H19:H26)</f>
        <v>855.9</v>
      </c>
      <c r="I27" s="974">
        <f>SUM(I19:I26)</f>
        <v>4100</v>
      </c>
      <c r="J27" s="1983"/>
      <c r="K27" s="2640">
        <f>SUM(K19:K26)</f>
        <v>0</v>
      </c>
      <c r="L27" s="2641">
        <f>SUM(L19:L26)</f>
        <v>4100</v>
      </c>
      <c r="M27" s="2642">
        <f>SUM(M19:M26)</f>
        <v>4100</v>
      </c>
      <c r="N27" s="2640">
        <f t="shared" ref="N27:O27" si="10">SUM(N19:N26)</f>
        <v>0</v>
      </c>
      <c r="O27" s="2641">
        <f t="shared" si="10"/>
        <v>0</v>
      </c>
      <c r="P27" s="2643">
        <f>SUM(P19:P26)</f>
        <v>0</v>
      </c>
      <c r="R27" s="2304">
        <f>IF(SUM(R19:R26)=$D$3,SUM(R19:R26),SUM(R19:R26)&amp;"误差"&amp;ROUND(SUM(R19:R26)-$D$3,2))</f>
        <v>74806</v>
      </c>
      <c r="S27" s="275">
        <f>IF(SUM(S19:S26)=$E$3,SUM(S19:S26),SUM(S19:S26)&amp;"误差"&amp;ROUND(SUM(S19:S26)-E3,2))</f>
        <v>358341</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855.9</v>
      </c>
      <c r="E29" s="134">
        <f>SUM(F29:G29)</f>
        <v>4100</v>
      </c>
      <c r="F29" s="144">
        <f>'数据-基础表'!BM5+'数据-基础表'!BO5</f>
        <v>4100</v>
      </c>
      <c r="G29" s="146">
        <f>'数据-基础表'!BN5+'数据-基础表'!BP5</f>
        <v>0</v>
      </c>
      <c r="H29" s="1983"/>
      <c r="I29" s="1983"/>
      <c r="J29" s="1983"/>
      <c r="K29" s="1983"/>
      <c r="L29" s="1983"/>
    </row>
    <row r="30" spans="1:19">
      <c r="A30" s="138"/>
      <c r="B30" s="111"/>
      <c r="C30" s="147" t="s">
        <v>215</v>
      </c>
      <c r="D30" s="134">
        <f>SUM(D28:D29)</f>
        <v>855.9</v>
      </c>
      <c r="E30" s="134">
        <f>SUM(E28:E29)</f>
        <v>4100</v>
      </c>
      <c r="F30" s="134">
        <f>SUM(F28:F29)</f>
        <v>4100</v>
      </c>
      <c r="G30" s="112">
        <f>SUM(G28:G29)</f>
        <v>0</v>
      </c>
      <c r="H30" s="1983"/>
      <c r="I30" s="1983"/>
      <c r="J30" s="1983"/>
      <c r="K30" s="1983"/>
      <c r="L30" s="1983"/>
    </row>
    <row r="31" spans="1:19" ht="32.25" customHeight="1" thickBot="1">
      <c r="A31" s="1368"/>
      <c r="B31" s="1369" t="s">
        <v>229</v>
      </c>
      <c r="C31" s="2329" t="s">
        <v>2323</v>
      </c>
      <c r="D31" s="1370">
        <f>D27+D30</f>
        <v>74806</v>
      </c>
      <c r="E31" s="1370">
        <f>E27+E30</f>
        <v>358341</v>
      </c>
      <c r="F31" s="1371">
        <f>F27+F30</f>
        <v>261821</v>
      </c>
      <c r="G31" s="1372">
        <f>G27+G30</f>
        <v>96520</v>
      </c>
      <c r="H31" s="1983"/>
      <c r="I31" s="1983"/>
      <c r="J31" s="1983"/>
      <c r="K31" s="1983"/>
      <c r="L31" s="1983"/>
    </row>
    <row r="32" spans="1:19">
      <c r="A32" s="1983"/>
      <c r="B32" s="2362" t="s">
        <v>2322</v>
      </c>
      <c r="C32" s="2671"/>
      <c r="D32" s="1199"/>
      <c r="E32" s="1199">
        <f>SUMIF(C19:C26,"*住宅*",E19:E26)</f>
        <v>252484</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J24" sqref="AJ24"/>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43138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2830</v>
      </c>
      <c r="O5" s="163" t="s">
        <v>246</v>
      </c>
      <c r="P5" s="165" t="s">
        <v>247</v>
      </c>
      <c r="Q5" s="166" t="s">
        <v>248</v>
      </c>
      <c r="R5" s="167" t="s">
        <v>249</v>
      </c>
      <c r="S5" s="2644" t="s">
        <v>2574</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66476</v>
      </c>
      <c r="F6" s="174">
        <f>SUMIF(项目基本情况!D$15:I$15,C6,项目基本情况!D$19:I$19)</f>
        <v>63.93</v>
      </c>
      <c r="G6" s="175">
        <f>IF(ISERROR(ROUND(POWER(1+H6,D6-F6)*(POWER(1+H6,F6)-1)/(POWER(1+H6,D6)-1),3)),0,ROUND(POWER(1+H6,D6-F6)*(POWER(1+H6,F6)-1)/(POWER(1+H6,D6)-1),3))</f>
        <v>0.98499999999999999</v>
      </c>
      <c r="H6" s="3049">
        <v>4.4999999999999998E-2</v>
      </c>
      <c r="I6" s="3049">
        <v>0.05</v>
      </c>
      <c r="J6" s="176">
        <v>8.5000000000000006E-2</v>
      </c>
      <c r="K6" s="179">
        <f>SUMIF('数据-汇总表'!C$19:C$33,'数据-取费表'!A6,'数据-汇总表'!E$19:E$33)</f>
        <v>252484</v>
      </c>
      <c r="L6" s="3050">
        <v>2300</v>
      </c>
      <c r="M6" s="177">
        <f t="shared" ref="M6:M14" si="0">ROUND(K6*L6/10000,0)</f>
        <v>58071</v>
      </c>
      <c r="N6" s="3051">
        <v>0</v>
      </c>
      <c r="O6" s="177">
        <f>IF($N$5="成新度","——",ROUND(M6*N6,0))</f>
        <v>0</v>
      </c>
      <c r="P6" s="178">
        <f>IF($N$5="成新度","——",M6-O6)</f>
        <v>58071</v>
      </c>
      <c r="Q6" s="3052">
        <v>0.15</v>
      </c>
      <c r="R6" s="179">
        <f>SUMIF('数据-汇总表'!C$19:C$33,A6,'数据-汇总表'!R$19:R$33)</f>
        <v>53563.57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0">
        <f ca="1">IF(AN6="",0,SUMIF(INDIRECT("'"&amp;AN6&amp;"'"&amp;"!E:E"),$AE$5,INDIRECT("'"&amp;AN6&amp;"'"&amp;"!F:F")))</f>
        <v>0</v>
      </c>
      <c r="AF6" s="141"/>
      <c r="AG6" s="1211">
        <f>IF(AF6="",0,AE6-AF6)</f>
        <v>0</v>
      </c>
      <c r="AH6" s="141"/>
      <c r="AI6" s="187"/>
      <c r="AJ6" s="188"/>
      <c r="AK6" s="189"/>
      <c r="AL6" s="190"/>
      <c r="AM6" s="3063"/>
      <c r="AN6" s="2415"/>
      <c r="AO6" s="1999"/>
      <c r="AP6" s="1202">
        <f>ROUND(1-1/(1+H6)^F6,3)</f>
        <v>0.94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商业</v>
      </c>
      <c r="B7" s="2336" t="str">
        <f t="shared" ref="B7:B13" si="1">IF(A7=0,"","经营性")</f>
        <v>经营性</v>
      </c>
      <c r="C7" s="173" t="s">
        <v>3364</v>
      </c>
      <c r="D7" s="2307">
        <f>SUMIF(项目基本情况!D$15:I$15,C7,项目基本情况!D$18:I$18)</f>
        <v>40</v>
      </c>
      <c r="E7" s="2308">
        <f>IF(B7="","",SUMIF(项目基本情况!D$15:I$15,C7,项目基本情况!D$17:I$17))</f>
        <v>55518</v>
      </c>
      <c r="F7" s="174">
        <f>SUMIF(项目基本情况!D$15:I$15,C7,项目基本情况!D$19:I$19)</f>
        <v>33.909999999999997</v>
      </c>
      <c r="G7" s="175">
        <f t="shared" ref="G7:G11" si="2">IF(ISERROR(ROUND(POWER(1+H7,D7-F7)*(POWER(1+H7,F7)-1)/(POWER(1+H7,D7)-1),3)),0,ROUND(POWER(1+H7,D7-F7)*(POWER(1+H7,F7)-1)/(POWER(1+H7,D7)-1),3))</f>
        <v>0.94299999999999995</v>
      </c>
      <c r="H7" s="3049">
        <v>0.05</v>
      </c>
      <c r="I7" s="3049">
        <v>5.5E-2</v>
      </c>
      <c r="J7" s="176">
        <v>8.5000000000000006E-2</v>
      </c>
      <c r="K7" s="179">
        <f>SUMIF('数据-汇总表'!C$19:C$33,'数据-取费表'!A7,'数据-汇总表'!E$19:E$33)</f>
        <v>5237</v>
      </c>
      <c r="L7" s="3050">
        <v>2300</v>
      </c>
      <c r="M7" s="177">
        <f t="shared" si="0"/>
        <v>1205</v>
      </c>
      <c r="N7" s="3051">
        <v>0</v>
      </c>
      <c r="O7" s="177">
        <f t="shared" ref="O7:O14" si="3">IF($N$5="成新度","——",ROUND(M7*N7,0))</f>
        <v>0</v>
      </c>
      <c r="P7" s="178">
        <f t="shared" ref="P7:P14" si="4">IF($N$5="成新度","——",M7-O7)</f>
        <v>1205</v>
      </c>
      <c r="Q7" s="3052">
        <v>0.2</v>
      </c>
      <c r="R7" s="179">
        <f>SUMIF('数据-汇总表'!C$19:C$33,A7,'数据-汇总表'!R$19:R$33)</f>
        <v>1093.26</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3520"/>
      <c r="V7" s="181"/>
      <c r="W7" s="181"/>
      <c r="X7" s="2320"/>
      <c r="Y7" s="182"/>
      <c r="Z7" s="183"/>
      <c r="AA7" s="176"/>
      <c r="AB7" s="176"/>
      <c r="AC7" s="2323"/>
      <c r="AD7" s="184"/>
      <c r="AE7" s="970">
        <f t="shared" ref="AE7:AE13" ca="1" si="6">IF(AN7="",0,SUMIF(INDIRECT("'"&amp;AN7&amp;"'"&amp;"!E:E"),$AE$5,INDIRECT("'"&amp;AN7&amp;"'"&amp;"!F:F")))</f>
        <v>30.909999999999997</v>
      </c>
      <c r="AF7" s="141"/>
      <c r="AG7" s="1211">
        <f t="shared" ref="AG7:AG13" si="7">IF(AF7="",0,AE7-AF7)</f>
        <v>0</v>
      </c>
      <c r="AH7" s="141"/>
      <c r="AI7" s="187">
        <v>365</v>
      </c>
      <c r="AJ7" s="188">
        <v>1.2</v>
      </c>
      <c r="AK7" s="189">
        <v>1.4999999999999999E-2</v>
      </c>
      <c r="AL7" s="190">
        <v>1.5E-3</v>
      </c>
      <c r="AM7" s="2413">
        <v>0.02</v>
      </c>
      <c r="AN7" s="2415" t="s">
        <v>3432</v>
      </c>
      <c r="AO7" s="1999"/>
      <c r="AP7" s="1202">
        <f t="shared" ref="AP7:AP13" si="8">ROUND(1-1/(1+H7)^F7,3)</f>
        <v>0.80900000000000005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t="str">
        <f>'数据-汇总表'!C21</f>
        <v>车库</v>
      </c>
      <c r="B8" s="2336" t="str">
        <f t="shared" si="1"/>
        <v>经营性</v>
      </c>
      <c r="C8" s="173" t="s">
        <v>3377</v>
      </c>
      <c r="D8" s="2307">
        <f>SUMIF(项目基本情况!D$15:I$15,C8,项目基本情况!D$18:I$18)</f>
        <v>50</v>
      </c>
      <c r="E8" s="2308">
        <f>IF(B8="","",SUMIF(项目基本情况!D$15:I$15,C8,项目基本情况!D$17:I$17))</f>
        <v>59171</v>
      </c>
      <c r="F8" s="174">
        <f>SUMIF(项目基本情况!D$15:I$15,C8,项目基本情况!D$19:I$19)</f>
        <v>43.92</v>
      </c>
      <c r="G8" s="175">
        <f t="shared" si="2"/>
        <v>0.95599999999999996</v>
      </c>
      <c r="H8" s="3049">
        <v>0.04</v>
      </c>
      <c r="I8" s="3049">
        <v>4.4999999999999998E-2</v>
      </c>
      <c r="J8" s="176">
        <v>8.5000000000000006E-2</v>
      </c>
      <c r="K8" s="179">
        <f>SUMIF('数据-汇总表'!C$19:C$33,'数据-取费表'!A8,'数据-汇总表'!E$19:E$33)</f>
        <v>96520</v>
      </c>
      <c r="L8" s="3050">
        <v>1800</v>
      </c>
      <c r="M8" s="177">
        <f>ROUND(K8*L8/10000,0)</f>
        <v>17374</v>
      </c>
      <c r="N8" s="3051">
        <v>0</v>
      </c>
      <c r="O8" s="177">
        <f t="shared" si="3"/>
        <v>0</v>
      </c>
      <c r="P8" s="178">
        <f t="shared" si="4"/>
        <v>17374</v>
      </c>
      <c r="Q8" s="3052">
        <v>0.1</v>
      </c>
      <c r="R8" s="179">
        <f>SUMIF('数据-汇总表'!C$19:C$33,A8,'数据-汇总表'!R$19:R$33)</f>
        <v>20149.169999999998</v>
      </c>
      <c r="S8" s="132">
        <f>IF('数据-汇总表'!$I$17="按面积比例",SUMIF('数据-汇总表'!C$19:C$33,A8,'数据-汇总表'!K$19:K$33),SUMIF('数据-汇总表'!C$19:C$33,A8,'数据-汇总表'!N$19:N$33))</f>
        <v>0</v>
      </c>
      <c r="T8" s="2233" t="str">
        <f t="shared" si="5"/>
        <v>0</v>
      </c>
      <c r="U8" s="180">
        <v>500</v>
      </c>
      <c r="V8" s="181">
        <v>0.02</v>
      </c>
      <c r="W8" s="181">
        <v>0.1</v>
      </c>
      <c r="X8" s="2320"/>
      <c r="Y8" s="182">
        <v>1</v>
      </c>
      <c r="Z8" s="183"/>
      <c r="AA8" s="176"/>
      <c r="AB8" s="176"/>
      <c r="AC8" s="2323"/>
      <c r="AD8" s="184"/>
      <c r="AE8" s="970">
        <f t="shared" ca="1" si="6"/>
        <v>40.92</v>
      </c>
      <c r="AF8" s="141"/>
      <c r="AG8" s="1211">
        <f t="shared" si="7"/>
        <v>0</v>
      </c>
      <c r="AH8" s="141">
        <v>2525</v>
      </c>
      <c r="AI8" s="187">
        <v>12</v>
      </c>
      <c r="AJ8" s="188">
        <v>1.2</v>
      </c>
      <c r="AK8" s="189">
        <v>1.4999999999999999E-2</v>
      </c>
      <c r="AL8" s="190">
        <v>1.5E-3</v>
      </c>
      <c r="AM8" s="2413">
        <v>1.4999999999999999E-2</v>
      </c>
      <c r="AN8" s="2415" t="s">
        <v>3434</v>
      </c>
      <c r="AO8" s="1999"/>
      <c r="AP8" s="1202">
        <f t="shared" si="8"/>
        <v>0.82099999999999995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2317</v>
      </c>
      <c r="B15" s="2305" t="s">
        <v>1680</v>
      </c>
      <c r="C15" s="2306" t="s">
        <v>2316</v>
      </c>
      <c r="D15" s="2307"/>
      <c r="E15" s="2308"/>
      <c r="F15" s="174"/>
      <c r="G15" s="175"/>
      <c r="H15" s="2309"/>
      <c r="I15" s="2309"/>
      <c r="J15" s="2309"/>
      <c r="K15" s="179">
        <f>SUMIF('数据-汇总表'!C$19:C$33,'数据-取费表'!A15,'数据-汇总表'!E$19:E$33)</f>
        <v>4100</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0.97599999999999998</v>
      </c>
      <c r="H16" s="203">
        <f>ROUND(SUMPRODUCT(H6:H13,K6:K13)/SUMPRODUCT((H6:H13&gt;0)*(K6:K13)),3)</f>
        <v>4.3999999999999997E-2</v>
      </c>
      <c r="I16" s="204"/>
      <c r="J16" s="204"/>
      <c r="K16" s="205">
        <f>SUM(K6:K15)</f>
        <v>358341</v>
      </c>
      <c r="L16" s="206">
        <f>ROUND(M16*10000/SUM(K6:K14),0)</f>
        <v>2164</v>
      </c>
      <c r="M16" s="206">
        <f>SUM(M6:M14)</f>
        <v>76650</v>
      </c>
      <c r="N16" s="207">
        <f>ROUND(SUMPRODUCT(M6:M14,N6:N14)/M16,3)</f>
        <v>0</v>
      </c>
      <c r="O16" s="206">
        <f>SUM(O6:O14)</f>
        <v>0</v>
      </c>
      <c r="P16" s="206">
        <f>SUM(P6:P14)</f>
        <v>76650</v>
      </c>
      <c r="Q16" s="208">
        <f>ROUND(SUMPRODUCT(Q6:Q13,K6:K13)/SUMPRODUCT((Q6:Q13&gt;0)*(K6:K13)),2)</f>
        <v>0.14000000000000001</v>
      </c>
      <c r="R16" s="2310">
        <f>SUM(R6:R13)</f>
        <v>74806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0.90600000000000003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2337</v>
      </c>
      <c r="B27" s="227">
        <f>ROUND(L16*0.04,0)</f>
        <v>87</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2338</v>
      </c>
      <c r="B28" s="229">
        <f>B27</f>
        <v>87</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2336</v>
      </c>
      <c r="B29" s="232"/>
      <c r="C29" s="1551"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274</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2895</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8"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9"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9"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4.5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1408</v>
      </c>
      <c r="C53" s="3100" t="s">
        <v>2903</v>
      </c>
      <c r="D53" s="3101"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2905</v>
      </c>
      <c r="B54" s="186"/>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2906</v>
      </c>
      <c r="B55" s="186"/>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2907</v>
      </c>
      <c r="B56" s="186"/>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2908</v>
      </c>
      <c r="B57" s="186"/>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2909</v>
      </c>
      <c r="B58" s="186">
        <v>4.5</v>
      </c>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2910</v>
      </c>
      <c r="B59" s="186"/>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621" t="s">
        <v>1664</v>
      </c>
      <c r="B1" s="3622"/>
      <c r="C1" s="3622"/>
      <c r="D1" s="3622"/>
      <c r="E1" s="3622"/>
      <c r="F1" s="3622"/>
      <c r="G1" s="3622"/>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67.5">
      <c r="A3" s="1225" t="s">
        <v>1667</v>
      </c>
      <c r="B3" s="1226" t="s">
        <v>1654</v>
      </c>
      <c r="C3" s="3487" t="s">
        <v>3382</v>
      </c>
      <c r="D3" s="2008"/>
      <c r="E3" s="1227" t="s">
        <v>1667</v>
      </c>
      <c r="F3" s="1228" t="s">
        <v>1655</v>
      </c>
      <c r="G3" s="3108" t="s">
        <v>2919</v>
      </c>
      <c r="H3" s="2007"/>
      <c r="I3" s="2007"/>
      <c r="J3" s="2007"/>
      <c r="K3" s="2007"/>
      <c r="L3" s="2007"/>
      <c r="M3" s="2007"/>
      <c r="N3" s="2007"/>
      <c r="O3" s="2007"/>
      <c r="P3" s="2007"/>
      <c r="Q3" s="2007"/>
      <c r="R3" s="2007"/>
    </row>
    <row r="4" spans="1:18" ht="40.5">
      <c r="A4" s="1227"/>
      <c r="B4" s="1229" t="s">
        <v>1668</v>
      </c>
      <c r="C4" s="3488" t="s">
        <v>3383</v>
      </c>
      <c r="D4" s="2008"/>
      <c r="E4" s="1230"/>
      <c r="F4" s="1231" t="s">
        <v>1669</v>
      </c>
      <c r="G4" s="3106" t="s">
        <v>2916</v>
      </c>
      <c r="H4" s="2007"/>
      <c r="I4" s="2007"/>
      <c r="J4" s="2007"/>
      <c r="K4" s="2007"/>
      <c r="L4" s="2007"/>
      <c r="M4" s="2007"/>
      <c r="N4" s="2007"/>
      <c r="O4" s="2007"/>
      <c r="P4" s="2007"/>
      <c r="Q4" s="2007"/>
      <c r="R4" s="2007"/>
    </row>
    <row r="5" spans="1:18" ht="27">
      <c r="A5" s="1227"/>
      <c r="B5" s="1229" t="s">
        <v>1670</v>
      </c>
      <c r="C5" s="3105"/>
      <c r="D5" s="2008"/>
      <c r="E5" s="1230"/>
      <c r="F5" s="1229" t="s">
        <v>2548</v>
      </c>
      <c r="G5" s="3106" t="s">
        <v>2917</v>
      </c>
      <c r="H5" s="2007"/>
      <c r="I5" s="2007"/>
      <c r="J5" s="2007"/>
      <c r="K5" s="2007"/>
      <c r="L5" s="2007"/>
      <c r="M5" s="2007"/>
      <c r="N5" s="2007"/>
      <c r="O5" s="2007"/>
      <c r="P5" s="2007"/>
      <c r="Q5" s="2007"/>
      <c r="R5" s="2007"/>
    </row>
    <row r="6" spans="1:18" ht="67.5">
      <c r="A6" s="1227"/>
      <c r="B6" s="1229" t="s">
        <v>1656</v>
      </c>
      <c r="C6" s="3489" t="s">
        <v>3384</v>
      </c>
      <c r="D6" s="2008"/>
      <c r="E6" s="1230"/>
      <c r="F6" s="1229" t="s">
        <v>2549</v>
      </c>
      <c r="G6" s="3106" t="s">
        <v>2915</v>
      </c>
      <c r="H6" s="2007"/>
      <c r="I6" s="2007"/>
      <c r="J6" s="2007"/>
      <c r="K6" s="2007"/>
      <c r="L6" s="2007"/>
      <c r="M6" s="2007"/>
      <c r="N6" s="2007"/>
      <c r="O6" s="2007"/>
      <c r="P6" s="2007"/>
      <c r="Q6" s="2007"/>
      <c r="R6" s="2007"/>
    </row>
    <row r="7" spans="1:18" ht="41.25" thickBot="1">
      <c r="A7" s="1227"/>
      <c r="B7" s="1229" t="s">
        <v>2548</v>
      </c>
      <c r="C7" s="3489" t="s">
        <v>3386</v>
      </c>
      <c r="D7" s="2009"/>
      <c r="E7" s="1232"/>
      <c r="F7" s="1233" t="s">
        <v>1671</v>
      </c>
      <c r="G7" s="3109" t="s">
        <v>2918</v>
      </c>
      <c r="H7" s="2007"/>
      <c r="I7" s="2007"/>
      <c r="J7" s="2007"/>
      <c r="K7" s="2007"/>
      <c r="L7" s="2007"/>
      <c r="M7" s="2007"/>
      <c r="N7" s="2007"/>
      <c r="O7" s="2007"/>
      <c r="P7" s="2007"/>
      <c r="Q7" s="2007"/>
      <c r="R7" s="2007"/>
    </row>
    <row r="8" spans="1:18" ht="27">
      <c r="A8" s="1227"/>
      <c r="B8" s="1229" t="s">
        <v>2549</v>
      </c>
      <c r="C8" s="3489" t="s">
        <v>3385</v>
      </c>
      <c r="D8" s="2009"/>
      <c r="E8" s="2009"/>
      <c r="F8" s="1552"/>
      <c r="G8" s="1552"/>
      <c r="H8" s="2007"/>
      <c r="I8" s="2007"/>
      <c r="J8" s="2007"/>
      <c r="K8" s="2007"/>
      <c r="L8" s="2007"/>
      <c r="M8" s="2007"/>
      <c r="N8" s="2007"/>
      <c r="O8" s="2007"/>
      <c r="P8" s="2007"/>
      <c r="Q8" s="2007"/>
      <c r="R8" s="2007"/>
    </row>
    <row r="9" spans="1:18" ht="67.5">
      <c r="A9" s="1227"/>
      <c r="B9" s="1229" t="s">
        <v>1657</v>
      </c>
      <c r="C9" s="3488" t="s">
        <v>3387</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107"/>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2"/>
      <c r="E13" s="2601"/>
      <c r="F13" s="2601"/>
      <c r="G13" s="2601"/>
    </row>
    <row r="14" spans="1:18" ht="14.25" thickBot="1">
      <c r="A14" s="1236"/>
      <c r="B14" s="1237"/>
      <c r="C14" s="1238" t="s">
        <v>1665</v>
      </c>
      <c r="D14" s="2008"/>
      <c r="E14" s="1239"/>
      <c r="F14" s="1239"/>
      <c r="G14" s="1221" t="s">
        <v>1666</v>
      </c>
    </row>
    <row r="15" spans="1:18" ht="67.5">
      <c r="A15" s="2611" t="s">
        <v>1658</v>
      </c>
      <c r="B15" s="1240" t="s">
        <v>1654</v>
      </c>
      <c r="C15" s="1241" t="str">
        <f>C3</f>
        <v>估价对象周边居住用地比例较小、居住小区规模和社区发展完善程度一般，综合评价居住社区成熟度一般</v>
      </c>
      <c r="D15" s="2008"/>
      <c r="E15" s="2608" t="s">
        <v>1659</v>
      </c>
      <c r="F15" s="1240" t="s">
        <v>1674</v>
      </c>
      <c r="G15" s="1242" t="str">
        <f>G3</f>
        <v>估价对象位于XX开发区，园区建设成熟度XX，产业集聚程度XX</v>
      </c>
    </row>
    <row r="16" spans="1:18" ht="40.5">
      <c r="A16" s="2612"/>
      <c r="B16" s="1243" t="s">
        <v>1668</v>
      </c>
      <c r="C16" s="1244" t="str">
        <f>C4</f>
        <v>估价对象位于南水园，周边商业氛围一般，人流量一般，商业繁华度一般</v>
      </c>
      <c r="D16" s="2008"/>
      <c r="E16" s="2609"/>
      <c r="F16" s="1245" t="s">
        <v>1669</v>
      </c>
      <c r="G16" s="1003" t="str">
        <f>G4</f>
        <v>估价对象周边道路状况、公共交通通达情况、停车便捷程度，综合评价交通便捷度较好</v>
      </c>
    </row>
    <row r="17" spans="1:7" ht="14.25">
      <c r="A17" s="2612"/>
      <c r="B17" s="1243" t="s">
        <v>1670</v>
      </c>
      <c r="C17" s="1244">
        <f>C5</f>
        <v>0</v>
      </c>
      <c r="D17" s="2009"/>
      <c r="E17" s="2609"/>
      <c r="F17" s="1245" t="s">
        <v>1675</v>
      </c>
      <c r="G17" s="2818"/>
    </row>
    <row r="18" spans="1:7" ht="67.5">
      <c r="A18" s="2612"/>
      <c r="B18" s="1245" t="s">
        <v>1656</v>
      </c>
      <c r="C18" s="1003" t="str">
        <f>C6</f>
        <v>估价对象周边路网密集度一般、公共交通通达情况一般、停车便捷程度一般，综合评价交通便捷度一般</v>
      </c>
      <c r="D18" s="2009"/>
      <c r="E18" s="2609"/>
      <c r="F18" s="1245" t="s">
        <v>1671</v>
      </c>
      <c r="G18" s="1003" t="str">
        <f>G7</f>
        <v>该园区内是否有污染型企业，绿化情况，卫生条件，整体环境状况判断</v>
      </c>
    </row>
    <row r="19" spans="1:7" ht="27">
      <c r="A19" s="2612"/>
      <c r="B19" s="1245" t="s">
        <v>1660</v>
      </c>
      <c r="C19" s="2818"/>
      <c r="D19" s="2008"/>
      <c r="E19" s="2609"/>
      <c r="F19" s="1229" t="s">
        <v>2548</v>
      </c>
      <c r="G19" s="1003" t="str">
        <f>G5</f>
        <v>估价对象所在区域公共配套设施齐备情况</v>
      </c>
    </row>
    <row r="20" spans="1:7" ht="67.5">
      <c r="A20" s="2612"/>
      <c r="B20" s="1245" t="s">
        <v>1661</v>
      </c>
      <c r="C20" s="1244" t="str">
        <f>C9</f>
        <v>区域自然环境：周边绿化条件较好，有水系；人文环境：缺乏图书馆、剧院等设施；综合评价环境状况较差</v>
      </c>
      <c r="D20" s="2009"/>
      <c r="E20" s="2609"/>
      <c r="F20" s="1229" t="s">
        <v>2549</v>
      </c>
      <c r="G20" s="1003" t="str">
        <f>G6</f>
        <v>估价对象所在区域基础设施水平</v>
      </c>
    </row>
    <row r="21" spans="1:7" ht="40.5">
      <c r="A21" s="2612"/>
      <c r="B21" s="1229" t="s">
        <v>2548</v>
      </c>
      <c r="C21" s="1003" t="str">
        <f>C7</f>
        <v>估价对象所在区域公共配套设施齐备情况一般，有雅庭小学、龙溪二中</v>
      </c>
      <c r="D21" s="2008"/>
      <c r="E21" s="2609"/>
      <c r="F21" s="1245" t="s">
        <v>1662</v>
      </c>
      <c r="G21" s="3110"/>
    </row>
    <row r="22" spans="1:7" ht="27">
      <c r="A22" s="2612"/>
      <c r="B22" s="1229" t="s">
        <v>2549</v>
      </c>
      <c r="C22" s="1003" t="str">
        <f>C8</f>
        <v>估价对象所在区域基础设施水平达到六通</v>
      </c>
      <c r="D22" s="2008"/>
      <c r="E22" s="2609"/>
      <c r="F22" s="1245" t="s">
        <v>1672</v>
      </c>
      <c r="G22" s="2818"/>
    </row>
    <row r="23" spans="1:7" ht="15" thickBot="1">
      <c r="A23" s="2612"/>
      <c r="B23" s="1245" t="s">
        <v>1662</v>
      </c>
      <c r="C23" s="3110"/>
      <c r="E23" s="2610"/>
      <c r="F23" s="1246" t="s">
        <v>1676</v>
      </c>
      <c r="G23" s="3111"/>
    </row>
    <row r="24" spans="1:7" ht="14.25" thickBot="1">
      <c r="A24" s="2613"/>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2846</v>
      </c>
      <c r="B1" s="3069">
        <f>SUM(B14:B23)</f>
        <v>358341</v>
      </c>
      <c r="C1" s="3070"/>
      <c r="D1" s="3070"/>
      <c r="E1" s="3070"/>
      <c r="F1" s="3070"/>
    </row>
    <row r="2" spans="1:9" ht="16.5">
      <c r="A2" s="3069" t="s">
        <v>2847</v>
      </c>
      <c r="B2" s="3069">
        <f>SUM(C14:C23)</f>
        <v>74806</v>
      </c>
      <c r="C2" s="3070"/>
      <c r="D2" s="3070"/>
      <c r="E2" s="3070"/>
      <c r="F2" s="3070"/>
    </row>
    <row r="3" spans="1:9" ht="16.5">
      <c r="A3" s="3069" t="s">
        <v>2848</v>
      </c>
      <c r="B3" s="3071">
        <f>项目基本情况!D3</f>
        <v>43138</v>
      </c>
      <c r="C3" s="3070"/>
      <c r="D3" s="3070"/>
      <c r="E3" s="3070"/>
      <c r="F3" s="3070"/>
    </row>
    <row r="4" spans="1:9" ht="33">
      <c r="A4" s="3069" t="s">
        <v>2849</v>
      </c>
      <c r="B4" s="3069" t="s">
        <v>2850</v>
      </c>
      <c r="C4" s="3069" t="s">
        <v>2851</v>
      </c>
      <c r="D4" s="3069" t="s">
        <v>2852</v>
      </c>
      <c r="E4" s="3070"/>
      <c r="F4" s="3070"/>
    </row>
    <row r="5" spans="1:9" ht="16.5">
      <c r="A5" s="3069" t="s">
        <v>2853</v>
      </c>
      <c r="B5" s="3069">
        <f ca="1">SUM(D14:D23)</f>
        <v>65752</v>
      </c>
      <c r="C5" s="3069">
        <f ca="1">ROUND(B5*10000/$B$1,0)</f>
        <v>1835</v>
      </c>
      <c r="D5" s="3069">
        <f ca="1">ROUND(B5*10000/$B$2,0)</f>
        <v>8790</v>
      </c>
      <c r="E5" s="3070"/>
      <c r="F5" s="3070"/>
    </row>
    <row r="6" spans="1:9" ht="16.5">
      <c r="A6" s="3069" t="s">
        <v>2854</v>
      </c>
      <c r="B6" s="3069">
        <f>SUM(G14:G23)</f>
        <v>0</v>
      </c>
      <c r="C6" s="3069">
        <f t="shared" ref="C6:C8" si="0">ROUND(B6*10000/$B$1,0)</f>
        <v>0</v>
      </c>
      <c r="D6" s="3069">
        <f t="shared" ref="D6:D8" si="1">ROUND(B6*10000/$B$2,0)</f>
        <v>0</v>
      </c>
      <c r="E6" s="3070"/>
      <c r="F6" s="3070"/>
    </row>
    <row r="7" spans="1:9" ht="16.5">
      <c r="A7" s="3069" t="s">
        <v>2855</v>
      </c>
      <c r="B7" s="3069">
        <f ca="1">SUM(H14:H23)</f>
        <v>65752</v>
      </c>
      <c r="C7" s="3069">
        <f t="shared" ca="1" si="0"/>
        <v>1835</v>
      </c>
      <c r="D7" s="3069">
        <f t="shared" ca="1" si="1"/>
        <v>8790</v>
      </c>
      <c r="E7" s="3070"/>
      <c r="F7" s="3070"/>
    </row>
    <row r="8" spans="1:9" ht="16.5">
      <c r="A8" s="3069" t="s">
        <v>2856</v>
      </c>
      <c r="B8" s="3069">
        <f>SUM(I14:I23)</f>
        <v>0</v>
      </c>
      <c r="C8" s="3069">
        <f t="shared" si="0"/>
        <v>0</v>
      </c>
      <c r="D8" s="3069">
        <f t="shared" si="1"/>
        <v>0</v>
      </c>
      <c r="E8" s="3070"/>
      <c r="F8" s="3070"/>
    </row>
    <row r="9" spans="1:9" ht="16.5">
      <c r="A9" s="3069" t="s">
        <v>2857</v>
      </c>
      <c r="B9" s="3072"/>
      <c r="C9" s="3070"/>
      <c r="D9" s="3070"/>
      <c r="E9" s="3070"/>
      <c r="F9" s="3070"/>
    </row>
    <row r="10" spans="1:9" ht="16.5">
      <c r="A10" s="3069" t="s">
        <v>2858</v>
      </c>
      <c r="B10" s="3072"/>
      <c r="C10" s="3070"/>
      <c r="D10" s="3070"/>
      <c r="E10" s="3070"/>
      <c r="F10" s="3070"/>
    </row>
    <row r="11" spans="1:9" ht="16.5">
      <c r="A11" s="3069" t="s">
        <v>2875</v>
      </c>
      <c r="B11" s="3072"/>
      <c r="C11" s="3070"/>
      <c r="D11" s="3070"/>
      <c r="E11" s="3070"/>
      <c r="F11" s="3070"/>
    </row>
    <row r="12" spans="1:9" ht="16.5">
      <c r="A12" s="3070"/>
      <c r="B12" s="3070"/>
      <c r="C12" s="3070"/>
      <c r="D12" s="3070"/>
      <c r="E12" s="3070"/>
      <c r="F12" s="3070"/>
    </row>
    <row r="13" spans="1:9" ht="33">
      <c r="A13" s="3075" t="s">
        <v>2874</v>
      </c>
      <c r="B13" s="3073" t="s">
        <v>2846</v>
      </c>
      <c r="C13" s="3073" t="s">
        <v>2847</v>
      </c>
      <c r="D13" s="3073" t="s">
        <v>2859</v>
      </c>
      <c r="E13" s="3069" t="s">
        <v>2873</v>
      </c>
      <c r="F13" s="3069" t="s">
        <v>2852</v>
      </c>
      <c r="G13" s="3073" t="s">
        <v>2860</v>
      </c>
      <c r="H13" s="3073" t="s">
        <v>2861</v>
      </c>
      <c r="I13" s="3073" t="s">
        <v>2862</v>
      </c>
    </row>
    <row r="14" spans="1:9" ht="16.5">
      <c r="A14" s="3076" t="s">
        <v>2872</v>
      </c>
      <c r="B14" s="3073">
        <f>结果表!L38</f>
        <v>358341</v>
      </c>
      <c r="C14" s="3073">
        <f>结果表!K38</f>
        <v>74806</v>
      </c>
      <c r="D14" s="3073">
        <f ca="1">结果表!C42</f>
        <v>65752</v>
      </c>
      <c r="E14" s="3073">
        <f ca="1">ROUND(D14*10000/B14,0)</f>
        <v>1835</v>
      </c>
      <c r="F14" s="3073">
        <f ca="1">ROUND(D14*10000/C14,0)</f>
        <v>8790</v>
      </c>
      <c r="G14" s="3073" t="str">
        <f>结果表!C44</f>
        <v>——</v>
      </c>
      <c r="H14" s="3073">
        <f ca="1">结果表!C45</f>
        <v>65752</v>
      </c>
      <c r="I14" s="3073" t="str">
        <f>结果表!C46</f>
        <v>——</v>
      </c>
    </row>
    <row r="15" spans="1:9" ht="16.5">
      <c r="A15" s="3076" t="s">
        <v>2863</v>
      </c>
      <c r="B15" s="3077"/>
      <c r="C15" s="3077"/>
      <c r="D15" s="3077"/>
      <c r="E15" s="3073" t="e">
        <f t="shared" ref="E15:E23" si="2">ROUND(D15*10000/B15,0)</f>
        <v>#DIV/0!</v>
      </c>
      <c r="F15" s="3073" t="e">
        <f t="shared" ref="F15:F23" si="3">ROUND(D15*10000/C15,0)</f>
        <v>#DIV/0!</v>
      </c>
      <c r="G15" s="3074"/>
      <c r="H15" s="3074"/>
      <c r="I15" s="3077"/>
    </row>
    <row r="16" spans="1:9" ht="16.5">
      <c r="A16" s="3076" t="s">
        <v>2864</v>
      </c>
      <c r="B16" s="3077"/>
      <c r="C16" s="3077"/>
      <c r="D16" s="3077"/>
      <c r="E16" s="3073" t="e">
        <f t="shared" si="2"/>
        <v>#DIV/0!</v>
      </c>
      <c r="F16" s="3073" t="e">
        <f t="shared" si="3"/>
        <v>#DIV/0!</v>
      </c>
      <c r="G16" s="3074"/>
      <c r="H16" s="3074"/>
      <c r="I16" s="3077"/>
    </row>
    <row r="17" spans="1:9" ht="16.5">
      <c r="A17" s="3076" t="s">
        <v>2865</v>
      </c>
      <c r="B17" s="3077"/>
      <c r="C17" s="3077"/>
      <c r="D17" s="3077"/>
      <c r="E17" s="3073" t="e">
        <f t="shared" si="2"/>
        <v>#DIV/0!</v>
      </c>
      <c r="F17" s="3073" t="e">
        <f t="shared" si="3"/>
        <v>#DIV/0!</v>
      </c>
      <c r="G17" s="3074"/>
      <c r="H17" s="3074"/>
      <c r="I17" s="3077"/>
    </row>
    <row r="18" spans="1:9" ht="16.5">
      <c r="A18" s="3076" t="s">
        <v>2866</v>
      </c>
      <c r="B18" s="3077"/>
      <c r="C18" s="3077"/>
      <c r="D18" s="3077"/>
      <c r="E18" s="3073" t="e">
        <f t="shared" si="2"/>
        <v>#DIV/0!</v>
      </c>
      <c r="F18" s="3073" t="e">
        <f t="shared" si="3"/>
        <v>#DIV/0!</v>
      </c>
      <c r="G18" s="3077"/>
      <c r="H18" s="3077"/>
      <c r="I18" s="3077"/>
    </row>
    <row r="19" spans="1:9" ht="16.5">
      <c r="A19" s="3076" t="s">
        <v>2867</v>
      </c>
      <c r="B19" s="3077"/>
      <c r="C19" s="3077"/>
      <c r="D19" s="3077"/>
      <c r="E19" s="3073" t="e">
        <f t="shared" si="2"/>
        <v>#DIV/0!</v>
      </c>
      <c r="F19" s="3073" t="e">
        <f t="shared" si="3"/>
        <v>#DIV/0!</v>
      </c>
      <c r="G19" s="3077"/>
      <c r="H19" s="3077"/>
      <c r="I19" s="3077"/>
    </row>
    <row r="20" spans="1:9" ht="16.5">
      <c r="A20" s="3076" t="s">
        <v>2868</v>
      </c>
      <c r="B20" s="3077"/>
      <c r="C20" s="3077"/>
      <c r="D20" s="3077"/>
      <c r="E20" s="3073" t="e">
        <f t="shared" si="2"/>
        <v>#DIV/0!</v>
      </c>
      <c r="F20" s="3073" t="e">
        <f t="shared" si="3"/>
        <v>#DIV/0!</v>
      </c>
      <c r="G20" s="3077"/>
      <c r="H20" s="3077"/>
      <c r="I20" s="3077"/>
    </row>
    <row r="21" spans="1:9" ht="16.5">
      <c r="A21" s="3076" t="s">
        <v>2869</v>
      </c>
      <c r="B21" s="3077"/>
      <c r="C21" s="3077"/>
      <c r="D21" s="3077"/>
      <c r="E21" s="3073" t="e">
        <f t="shared" si="2"/>
        <v>#DIV/0!</v>
      </c>
      <c r="F21" s="3073" t="e">
        <f t="shared" si="3"/>
        <v>#DIV/0!</v>
      </c>
      <c r="G21" s="3077"/>
      <c r="H21" s="3077"/>
      <c r="I21" s="3077"/>
    </row>
    <row r="22" spans="1:9" ht="16.5">
      <c r="A22" s="3076" t="s">
        <v>2870</v>
      </c>
      <c r="B22" s="3077"/>
      <c r="C22" s="3077"/>
      <c r="D22" s="3077"/>
      <c r="E22" s="3073" t="e">
        <f t="shared" si="2"/>
        <v>#DIV/0!</v>
      </c>
      <c r="F22" s="3073" t="e">
        <f t="shared" si="3"/>
        <v>#DIV/0!</v>
      </c>
      <c r="G22" s="3077"/>
      <c r="H22" s="3077"/>
      <c r="I22" s="3077"/>
    </row>
    <row r="23" spans="1:9" ht="16.5">
      <c r="A23" s="3076" t="s">
        <v>2871</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A137" sqref="A137:B142"/>
    </sheetView>
  </sheetViews>
  <sheetFormatPr defaultColWidth="12.625" defaultRowHeight="21.75" customHeight="1"/>
  <cols>
    <col min="1" max="1" width="15.125" style="1248" customWidth="1"/>
    <col min="2" max="2" width="17.125" style="1248"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5" t="s">
        <v>2056</v>
      </c>
      <c r="B1" s="1776"/>
      <c r="C1" s="1804" t="s">
        <v>2057</v>
      </c>
      <c r="D1" s="1805" t="s">
        <v>3413</v>
      </c>
      <c r="E1" s="1804" t="s">
        <v>2058</v>
      </c>
      <c r="F1" s="1806" t="s">
        <v>3414</v>
      </c>
      <c r="G1" s="311"/>
      <c r="H1" s="311"/>
      <c r="I1" s="311"/>
      <c r="J1" s="2028"/>
      <c r="K1" s="2028"/>
      <c r="L1" s="2028"/>
      <c r="M1" s="2028"/>
      <c r="N1" s="2028"/>
      <c r="O1" s="2028"/>
      <c r="P1" s="2028"/>
      <c r="Q1" s="2028"/>
      <c r="R1" s="2028"/>
      <c r="S1" s="2028"/>
      <c r="T1" s="2028"/>
      <c r="U1" s="2028"/>
      <c r="V1" s="2028"/>
    </row>
    <row r="2" spans="1:22" ht="21.75" customHeight="1" thickBot="1">
      <c r="A2" s="3659" t="str">
        <f>项目基本情况!K2</f>
        <v>广东省惠州市博罗县龙溪镇宫庭村南水园（土名）441322021003GB00392W00000000、441322021003GB00393W00000000、441322021003GB01260W00000000号共计三宗住宅、商业、地下车库用地出让国有建设用地使用权</v>
      </c>
      <c r="B2" s="3660"/>
      <c r="C2" s="3661"/>
      <c r="D2" s="3661"/>
      <c r="E2" s="3661"/>
      <c r="F2" s="3661"/>
      <c r="G2" s="3660"/>
      <c r="H2" s="3660"/>
      <c r="I2" s="3662"/>
      <c r="J2" s="2029"/>
      <c r="K2" s="2028"/>
      <c r="L2" s="2028"/>
      <c r="M2" s="2028"/>
      <c r="N2" s="2028"/>
      <c r="O2" s="2028"/>
      <c r="P2" s="2028"/>
      <c r="Q2" s="2028"/>
      <c r="R2" s="2028"/>
      <c r="S2" s="2028"/>
      <c r="T2" s="2028"/>
      <c r="U2" s="2028"/>
      <c r="V2" s="2028"/>
    </row>
    <row r="3" spans="1:22" ht="14.25">
      <c r="A3" s="3652" t="s">
        <v>298</v>
      </c>
      <c r="B3" s="3653"/>
      <c r="C3" s="3653"/>
      <c r="D3" s="3653"/>
      <c r="E3" s="3653"/>
      <c r="F3" s="3653"/>
      <c r="G3" s="3653"/>
      <c r="H3" s="3653"/>
      <c r="I3" s="3653"/>
      <c r="J3" s="2029"/>
      <c r="K3" s="2028"/>
      <c r="L3" s="2028"/>
      <c r="M3" s="2028"/>
      <c r="N3" s="2028"/>
      <c r="O3" s="2028"/>
      <c r="P3" s="2028"/>
      <c r="Q3" s="2028"/>
      <c r="R3" s="2028"/>
      <c r="S3" s="2028"/>
      <c r="T3" s="2028"/>
      <c r="U3" s="2028"/>
      <c r="V3" s="2028"/>
    </row>
    <row r="4" spans="1:22" ht="14.25">
      <c r="A4" s="258" t="s">
        <v>299</v>
      </c>
      <c r="B4" s="259" t="s">
        <v>300</v>
      </c>
      <c r="C4" s="260" t="s">
        <v>3411</v>
      </c>
      <c r="D4" s="260" t="s">
        <v>3412</v>
      </c>
      <c r="E4" s="3624" t="s">
        <v>301</v>
      </c>
      <c r="F4" s="3625"/>
      <c r="G4" s="3625"/>
      <c r="H4" s="3625"/>
      <c r="I4" s="3654"/>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623" t="s">
        <v>302</v>
      </c>
      <c r="B5" s="3649">
        <v>25</v>
      </c>
      <c r="C5" s="3647"/>
      <c r="D5" s="3651"/>
      <c r="E5" s="261" t="s">
        <v>303</v>
      </c>
      <c r="F5" s="262"/>
      <c r="G5" s="262"/>
      <c r="H5" s="262"/>
      <c r="I5" s="263"/>
      <c r="J5" s="2029"/>
      <c r="K5" s="2028"/>
      <c r="L5" s="2028"/>
      <c r="M5" s="2028"/>
      <c r="N5" s="2028"/>
      <c r="O5" s="2028"/>
      <c r="P5" s="2028"/>
      <c r="Q5" s="2028"/>
      <c r="R5" s="2028"/>
      <c r="S5" s="2028"/>
      <c r="T5" s="2028"/>
      <c r="U5" s="2028"/>
      <c r="V5" s="2028"/>
    </row>
    <row r="6" spans="1:22" ht="14.25">
      <c r="A6" s="3623"/>
      <c r="B6" s="3649"/>
      <c r="C6" s="3650"/>
      <c r="D6" s="3651"/>
      <c r="E6" s="261" t="s">
        <v>304</v>
      </c>
      <c r="F6" s="262"/>
      <c r="G6" s="262"/>
      <c r="H6" s="262"/>
      <c r="I6" s="263"/>
      <c r="J6" s="2029"/>
      <c r="K6" s="2028"/>
      <c r="L6" s="2028"/>
      <c r="M6" s="2028"/>
      <c r="N6" s="2028"/>
      <c r="O6" s="2028"/>
      <c r="P6" s="2028"/>
      <c r="Q6" s="2028"/>
      <c r="R6" s="2028"/>
      <c r="S6" s="2028"/>
      <c r="T6" s="2028"/>
      <c r="U6" s="2028"/>
      <c r="V6" s="2028"/>
    </row>
    <row r="7" spans="1:22" ht="14.25">
      <c r="A7" s="3623"/>
      <c r="B7" s="3649"/>
      <c r="C7" s="3648"/>
      <c r="D7" s="3651"/>
      <c r="E7" s="261" t="s">
        <v>305</v>
      </c>
      <c r="F7" s="262"/>
      <c r="G7" s="262"/>
      <c r="H7" s="262"/>
      <c r="I7" s="263"/>
      <c r="J7" s="2029"/>
      <c r="K7" s="2028"/>
      <c r="L7" s="2028"/>
      <c r="M7" s="2028"/>
      <c r="N7" s="2028"/>
      <c r="O7" s="2028"/>
      <c r="P7" s="2028"/>
      <c r="Q7" s="2028"/>
      <c r="R7" s="2028"/>
      <c r="S7" s="2028"/>
      <c r="T7" s="2028"/>
      <c r="U7" s="2028"/>
      <c r="V7" s="2028"/>
    </row>
    <row r="8" spans="1:22" ht="14.25">
      <c r="A8" s="3623" t="s">
        <v>306</v>
      </c>
      <c r="B8" s="3649">
        <v>15</v>
      </c>
      <c r="C8" s="3647"/>
      <c r="D8" s="3651"/>
      <c r="E8" s="261" t="s">
        <v>307</v>
      </c>
      <c r="F8" s="262"/>
      <c r="G8" s="262"/>
      <c r="H8" s="262"/>
      <c r="I8" s="263"/>
      <c r="J8" s="2029"/>
      <c r="K8" s="2028"/>
      <c r="L8" s="2028"/>
      <c r="M8" s="2028"/>
      <c r="N8" s="2028"/>
      <c r="O8" s="2028"/>
      <c r="P8" s="2028"/>
      <c r="Q8" s="2028"/>
      <c r="R8" s="2028"/>
      <c r="S8" s="2028"/>
      <c r="T8" s="2028"/>
      <c r="U8" s="2028"/>
      <c r="V8" s="2028"/>
    </row>
    <row r="9" spans="1:22" ht="14.25">
      <c r="A9" s="3623"/>
      <c r="B9" s="3649"/>
      <c r="C9" s="3648"/>
      <c r="D9" s="3651"/>
      <c r="E9" s="261" t="s">
        <v>308</v>
      </c>
      <c r="F9" s="262"/>
      <c r="G9" s="262"/>
      <c r="H9" s="262"/>
      <c r="I9" s="263"/>
      <c r="J9" s="2029"/>
      <c r="K9" s="2028"/>
      <c r="L9" s="2028"/>
      <c r="M9" s="2028"/>
      <c r="N9" s="2028"/>
      <c r="O9" s="2028"/>
      <c r="P9" s="2028"/>
      <c r="Q9" s="2028"/>
      <c r="R9" s="2028"/>
      <c r="S9" s="2028"/>
      <c r="T9" s="2028"/>
      <c r="U9" s="2028"/>
      <c r="V9" s="2028"/>
    </row>
    <row r="10" spans="1:22" ht="14.25">
      <c r="A10" s="3623" t="s">
        <v>309</v>
      </c>
      <c r="B10" s="3649">
        <v>15</v>
      </c>
      <c r="C10" s="3647"/>
      <c r="D10" s="3651"/>
      <c r="E10" s="261" t="s">
        <v>310</v>
      </c>
      <c r="F10" s="262"/>
      <c r="G10" s="262"/>
      <c r="H10" s="262"/>
      <c r="I10" s="263"/>
      <c r="J10" s="2029"/>
      <c r="K10" s="2028"/>
      <c r="L10" s="2028"/>
      <c r="M10" s="2028"/>
      <c r="N10" s="2028"/>
      <c r="O10" s="2028"/>
      <c r="P10" s="2028"/>
      <c r="Q10" s="2028"/>
      <c r="R10" s="2028"/>
      <c r="S10" s="2028"/>
      <c r="T10" s="2028"/>
      <c r="U10" s="2028"/>
      <c r="V10" s="2028"/>
    </row>
    <row r="11" spans="1:22" ht="14.25">
      <c r="A11" s="3623"/>
      <c r="B11" s="3649"/>
      <c r="C11" s="3648"/>
      <c r="D11" s="3651"/>
      <c r="E11" s="261" t="s">
        <v>311</v>
      </c>
      <c r="F11" s="262"/>
      <c r="G11" s="262"/>
      <c r="H11" s="262"/>
      <c r="I11" s="263"/>
      <c r="J11" s="2029"/>
      <c r="K11" s="2028"/>
      <c r="L11" s="2028"/>
      <c r="M11" s="2028"/>
      <c r="N11" s="2028"/>
      <c r="O11" s="2028"/>
      <c r="P11" s="2028"/>
      <c r="Q11" s="2028"/>
      <c r="R11" s="2028"/>
      <c r="S11" s="2028"/>
      <c r="T11" s="2028"/>
      <c r="U11" s="2028"/>
      <c r="V11" s="2028"/>
    </row>
    <row r="12" spans="1:22" ht="14.25">
      <c r="A12" s="3623" t="s">
        <v>312</v>
      </c>
      <c r="B12" s="3649">
        <v>15</v>
      </c>
      <c r="C12" s="3647"/>
      <c r="D12" s="3651"/>
      <c r="E12" s="261" t="s">
        <v>313</v>
      </c>
      <c r="F12" s="262"/>
      <c r="G12" s="262"/>
      <c r="H12" s="262"/>
      <c r="I12" s="263"/>
      <c r="J12" s="2029"/>
      <c r="K12" s="2028"/>
      <c r="L12" s="2028"/>
      <c r="M12" s="2028"/>
      <c r="N12" s="2028"/>
      <c r="O12" s="2028"/>
      <c r="P12" s="2028"/>
      <c r="Q12" s="2028"/>
      <c r="R12" s="2028"/>
      <c r="S12" s="2028"/>
      <c r="T12" s="2028"/>
      <c r="U12" s="2028"/>
      <c r="V12" s="2028"/>
    </row>
    <row r="13" spans="1:22" ht="14.25">
      <c r="A13" s="3623"/>
      <c r="B13" s="3649"/>
      <c r="C13" s="3648"/>
      <c r="D13" s="3651"/>
      <c r="E13" s="261" t="s">
        <v>314</v>
      </c>
      <c r="F13" s="262"/>
      <c r="G13" s="262"/>
      <c r="H13" s="262"/>
      <c r="I13" s="263"/>
      <c r="J13" s="2029"/>
      <c r="K13" s="2028"/>
      <c r="L13" s="2028"/>
      <c r="M13" s="2028"/>
      <c r="N13" s="2028"/>
      <c r="O13" s="2028"/>
      <c r="P13" s="2028"/>
      <c r="Q13" s="2028"/>
      <c r="R13" s="2028"/>
      <c r="S13" s="2028"/>
      <c r="T13" s="2028"/>
      <c r="U13" s="2028"/>
      <c r="V13" s="2028"/>
    </row>
    <row r="14" spans="1:22" ht="14.25">
      <c r="A14" s="3623" t="s">
        <v>315</v>
      </c>
      <c r="B14" s="3649">
        <v>30</v>
      </c>
      <c r="C14" s="3647">
        <v>5</v>
      </c>
      <c r="D14" s="3651">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623"/>
      <c r="B15" s="3649"/>
      <c r="C15" s="3650"/>
      <c r="D15" s="3651"/>
      <c r="E15" s="261" t="s">
        <v>317</v>
      </c>
      <c r="F15" s="262"/>
      <c r="G15" s="262"/>
      <c r="H15" s="262"/>
      <c r="I15" s="263"/>
      <c r="J15" s="2029"/>
      <c r="K15" s="2028"/>
      <c r="L15" s="2028"/>
      <c r="M15" s="2028"/>
      <c r="N15" s="2028"/>
      <c r="O15" s="2028"/>
      <c r="P15" s="2028"/>
      <c r="Q15" s="2028"/>
      <c r="R15" s="2028"/>
      <c r="S15" s="2028"/>
      <c r="T15" s="2028"/>
      <c r="U15" s="2028"/>
      <c r="V15" s="2028"/>
    </row>
    <row r="16" spans="1:22" ht="14.25">
      <c r="A16" s="3623"/>
      <c r="B16" s="3649"/>
      <c r="C16" s="3648"/>
      <c r="D16" s="3651"/>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57498</v>
      </c>
      <c r="D19" s="271">
        <f ca="1">SUMIF(INDIRECT("'"&amp;D4&amp;"'"&amp;"!A:A"),结果表!B19,INDIRECT("'"&amp;D4&amp;"'"&amp;"!B:B"))</f>
        <v>74005</v>
      </c>
      <c r="E19" s="268" t="s">
        <v>323</v>
      </c>
      <c r="F19" s="269" t="s">
        <v>322</v>
      </c>
      <c r="G19" s="272">
        <f ca="1">ROUND(C19*$C$18+D19*$D$18,0)</f>
        <v>65752</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1605</v>
      </c>
      <c r="D20" s="277">
        <f ca="1">SUMIF(INDIRECT("'"&amp;D4&amp;"'"&amp;"!A:A"),结果表!B20,INDIRECT("'"&amp;D4&amp;"'"&amp;"!B:B"))</f>
        <v>2065</v>
      </c>
      <c r="E20" s="274"/>
      <c r="F20" s="275" t="s">
        <v>325</v>
      </c>
      <c r="G20" s="278">
        <f ca="1">ROUND(C20*$C$18+D20*$D$18,0)</f>
        <v>1835</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7686</v>
      </c>
      <c r="D21" s="151">
        <f ca="1">SUMIF(INDIRECT("'"&amp;D4&amp;"'"&amp;"!A:A"),结果表!B21,INDIRECT("'"&amp;D4&amp;"'"&amp;"!B:B"))</f>
        <v>9893</v>
      </c>
      <c r="E21" s="274"/>
      <c r="F21" s="280" t="s">
        <v>327</v>
      </c>
      <c r="G21" s="282">
        <f ca="1">ROUND(C21*$C$18+D21*$D$18,0)</f>
        <v>8790</v>
      </c>
      <c r="H21" s="1249" t="s">
        <v>326</v>
      </c>
      <c r="I21" s="311"/>
      <c r="J21" s="2028"/>
      <c r="K21" s="2028"/>
      <c r="L21" s="2028"/>
      <c r="M21" s="2028"/>
      <c r="N21" s="2028"/>
      <c r="O21" s="2028"/>
      <c r="P21" s="2028"/>
      <c r="Q21" s="2028"/>
      <c r="R21" s="2028"/>
      <c r="S21" s="2028"/>
      <c r="T21" s="2028"/>
      <c r="U21" s="2028"/>
      <c r="V21" s="2028"/>
    </row>
    <row r="22" spans="1:26" ht="15.75" thickBot="1">
      <c r="A22" s="126" t="s">
        <v>328</v>
      </c>
      <c r="B22" s="1250"/>
      <c r="C22" s="1251"/>
      <c r="D22" s="283">
        <f ca="1">IF(C19&lt;D19,D19/C19-1,C19/D19-1)</f>
        <v>0.28708824654770604</v>
      </c>
      <c r="E22" s="284"/>
      <c r="F22" s="285"/>
      <c r="G22" s="286">
        <f ca="1">ROUND(G19/('数据-汇总表'!D3/666.67),0)</f>
        <v>586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29"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630"/>
      <c r="B25" s="1319" t="s">
        <v>331</v>
      </c>
      <c r="C25" s="290">
        <f>IF(B30=0,0,C30)</f>
        <v>0</v>
      </c>
      <c r="D25" s="291"/>
      <c r="E25" s="311"/>
      <c r="F25" s="311"/>
      <c r="G25" s="311"/>
      <c r="H25" s="311"/>
      <c r="I25" s="311"/>
      <c r="J25" s="2028"/>
      <c r="K25" s="1253" t="str">
        <f ca="1">项目基本情况!B16&amp;"国有建设用地使用权价格："&amp;O38&amp;"万元"</f>
        <v>出让国有建设用地使用权价格：65752万元</v>
      </c>
      <c r="L25" s="1254"/>
      <c r="M25" s="1254"/>
      <c r="N25" s="1254"/>
      <c r="O25" s="1255"/>
      <c r="P25" s="2028"/>
      <c r="Q25" s="2028"/>
      <c r="R25" s="2028"/>
      <c r="S25" s="2028"/>
      <c r="T25" s="2028"/>
      <c r="U25" s="2028"/>
      <c r="V25" s="2028"/>
    </row>
    <row r="26" spans="1:26" s="1252" customFormat="1" ht="18">
      <c r="A26" s="293" t="s">
        <v>332</v>
      </c>
      <c r="B26" s="294" t="s">
        <v>333</v>
      </c>
      <c r="C26" s="294" t="s">
        <v>334</v>
      </c>
      <c r="D26" s="295" t="s">
        <v>335</v>
      </c>
      <c r="E26" s="311"/>
      <c r="F26" s="311"/>
      <c r="G26" s="311"/>
      <c r="H26" s="311"/>
      <c r="I26" s="311"/>
      <c r="J26" s="2028"/>
      <c r="K26" s="1256" t="str">
        <f ca="1">"大写金额：人民币"&amp;NUMBERSTRING(INT(O38*10000),2)&amp;"元整"</f>
        <v>大写金额：人民币陆亿伍仟柒佰伍拾贰万元整</v>
      </c>
      <c r="L26" s="1250"/>
      <c r="M26" s="1250"/>
      <c r="N26" s="1250"/>
      <c r="O26" s="1249"/>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6" t="str">
        <f ca="1">"单位面积地价："&amp;M38&amp;"元/平方米"</f>
        <v>单位面积地价：8790元/平方米</v>
      </c>
      <c r="L27" s="1250"/>
      <c r="M27" s="1250"/>
      <c r="N27" s="1250"/>
      <c r="O27" s="1249"/>
      <c r="P27" s="2028"/>
      <c r="Q27" s="2028"/>
      <c r="R27" s="2028"/>
      <c r="S27" s="2028"/>
      <c r="T27" s="2028"/>
      <c r="U27" s="2028"/>
      <c r="V27" s="2028"/>
    </row>
    <row r="28" spans="1:26" ht="18.75" customHeight="1">
      <c r="A28" s="293"/>
      <c r="B28" s="294"/>
      <c r="C28" s="294"/>
      <c r="D28" s="295"/>
      <c r="E28" s="311"/>
      <c r="F28" s="311"/>
      <c r="G28" s="311"/>
      <c r="H28" s="311"/>
      <c r="I28" s="311"/>
      <c r="J28" s="2028"/>
      <c r="K28" s="1256" t="str">
        <f ca="1">"楼面地价："&amp;N38&amp;"元/平方米"</f>
        <v>楼面地价：1835元/平方米</v>
      </c>
      <c r="L28" s="1250"/>
      <c r="M28" s="1250"/>
      <c r="N28" s="1250"/>
      <c r="O28" s="1249"/>
      <c r="P28" s="2028"/>
      <c r="V28" s="2028"/>
    </row>
    <row r="29" spans="1:26" ht="18">
      <c r="A29" s="293"/>
      <c r="B29" s="294"/>
      <c r="C29" s="294"/>
      <c r="D29" s="295"/>
      <c r="E29" s="311"/>
      <c r="F29" s="311"/>
      <c r="G29" s="311"/>
      <c r="H29" s="311"/>
      <c r="I29" s="311"/>
      <c r="J29" s="2028"/>
      <c r="K29" s="1256" t="str">
        <f>IF(OR(项目基本情况!E8="抵押价格",项目基本情况!E8="已注销及未注销"),"抵押价格："&amp;O39&amp;"万元","——")</f>
        <v>——</v>
      </c>
      <c r="L29" s="1250"/>
      <c r="M29" s="1250"/>
      <c r="N29" s="1250"/>
      <c r="O29" s="1249"/>
      <c r="P29" s="2028"/>
      <c r="V29" s="2028"/>
    </row>
    <row r="30" spans="1:26" ht="18.75" thickBot="1">
      <c r="A30" s="3159" t="s">
        <v>336</v>
      </c>
      <c r="B30" s="309"/>
      <c r="C30" s="309"/>
      <c r="D30" s="310"/>
      <c r="E30" s="3160" t="s">
        <v>2967</v>
      </c>
      <c r="F30" s="311"/>
      <c r="G30" s="311"/>
      <c r="H30" s="311"/>
      <c r="I30" s="311"/>
      <c r="J30" s="2028"/>
      <c r="K30" s="1256" t="str">
        <f>IF(K29="——","——","大写金额：人民币"&amp;NUMBERSTRING(INT(O39*10000),2)&amp;"元整")</f>
        <v>——</v>
      </c>
      <c r="L30" s="1250"/>
      <c r="M30" s="1250"/>
      <c r="N30" s="1250"/>
      <c r="O30" s="1249"/>
      <c r="P30" s="2028"/>
      <c r="V30" s="2028"/>
    </row>
    <row r="31" spans="1:26" ht="24" customHeight="1" thickBot="1">
      <c r="A31" s="311"/>
      <c r="B31" s="311"/>
      <c r="C31" s="311"/>
      <c r="D31" s="311"/>
      <c r="E31" s="311"/>
      <c r="F31" s="311"/>
      <c r="G31" s="311"/>
      <c r="H31" s="311"/>
      <c r="I31" s="311"/>
      <c r="J31" s="2028"/>
      <c r="K31" s="2492" t="str">
        <f ca="1">IF(项目基本情况!E8="抵押价格","——","抵押担保权已注销时的抵押价格："&amp;O40&amp;"万元")</f>
        <v>抵押担保权已注销时的抵押价格：65752万元</v>
      </c>
      <c r="L31" s="2488"/>
      <c r="M31" s="2488"/>
      <c r="N31" s="2488"/>
      <c r="O31" s="2489"/>
      <c r="P31" s="2028"/>
      <c r="V31" s="2028"/>
    </row>
    <row r="32" spans="1:26" ht="18.75" thickBot="1">
      <c r="A32" s="268" t="s">
        <v>337</v>
      </c>
      <c r="B32" s="1380" t="s">
        <v>1689</v>
      </c>
      <c r="C32" s="1381">
        <f ca="1">G19-C24</f>
        <v>65752</v>
      </c>
      <c r="D32" s="1382" t="s">
        <v>1690</v>
      </c>
      <c r="E32" s="311"/>
      <c r="F32" s="311"/>
      <c r="G32" s="311"/>
      <c r="H32" s="311"/>
      <c r="I32" s="311"/>
      <c r="J32" s="2028"/>
      <c r="K32" s="2487" t="str">
        <f ca="1">IF(K31="——","——","大写金额：人民币"&amp;NUMBERSTRING(INT(O40*10000),2)&amp;"元整")</f>
        <v>大写金额：人民币陆亿伍仟柒佰伍拾贰万元整</v>
      </c>
      <c r="L32" s="2490"/>
      <c r="M32" s="2490"/>
      <c r="N32" s="2490"/>
      <c r="O32" s="2491"/>
      <c r="P32" s="2028"/>
      <c r="V32" s="2028"/>
    </row>
    <row r="33" spans="1:26" ht="18.75" thickBot="1">
      <c r="A33" s="298" t="s">
        <v>340</v>
      </c>
      <c r="B33" s="1383" t="s">
        <v>1691</v>
      </c>
      <c r="C33" s="264">
        <f ca="1">ROUND(C32*10000/'数据-汇总表'!E3,0)</f>
        <v>1835</v>
      </c>
      <c r="D33" s="1384" t="s">
        <v>1692</v>
      </c>
      <c r="E33" s="3629" t="s">
        <v>338</v>
      </c>
      <c r="F33" s="296" t="s">
        <v>339</v>
      </c>
      <c r="G33" s="297"/>
      <c r="H33" s="978"/>
      <c r="I33" s="1257"/>
      <c r="J33" s="2028"/>
      <c r="K33" s="1256" t="str">
        <f>IF(项目基本情况!E9="——","——","抵押净值："&amp;C46&amp;"万元")</f>
        <v>——</v>
      </c>
      <c r="L33" s="1250"/>
      <c r="M33" s="1250"/>
      <c r="N33" s="1250"/>
      <c r="O33" s="1249"/>
      <c r="P33" s="2028"/>
      <c r="V33" s="2028"/>
    </row>
    <row r="34" spans="1:26" s="1252" customFormat="1" ht="18.75" thickBot="1">
      <c r="A34" s="300"/>
      <c r="B34" s="1385" t="s">
        <v>1693</v>
      </c>
      <c r="C34" s="264">
        <f ca="1">ROUND(C32*10000/'数据-汇总表'!D3,0)</f>
        <v>8790</v>
      </c>
      <c r="D34" s="1386" t="s">
        <v>1692</v>
      </c>
      <c r="E34" s="3670"/>
      <c r="F34" s="127" t="s">
        <v>341</v>
      </c>
      <c r="G34" s="299"/>
      <c r="H34" s="105"/>
      <c r="I34" s="311"/>
      <c r="J34" s="2028"/>
      <c r="K34" s="1259" t="str">
        <f>IF(K33="——","——","大写金额：人民币"&amp;NUMBERSTRING(INT(O41*10000),2)&amp;"元整")</f>
        <v>——</v>
      </c>
      <c r="L34" s="1260"/>
      <c r="M34" s="1260"/>
      <c r="N34" s="1260"/>
      <c r="O34" s="1261"/>
      <c r="P34" s="2028"/>
      <c r="Q34" s="292"/>
      <c r="R34" s="292"/>
      <c r="S34" s="292"/>
      <c r="T34" s="292"/>
      <c r="U34" s="292"/>
      <c r="V34" s="2028"/>
      <c r="W34" s="292"/>
      <c r="X34" s="292"/>
      <c r="Y34" s="292"/>
      <c r="Z34" s="292"/>
    </row>
    <row r="35" spans="1:26" ht="15.75" thickBot="1">
      <c r="A35" s="284"/>
      <c r="B35" s="1387"/>
      <c r="C35" s="1388">
        <f ca="1">ROUND(C32/('数据-汇总表'!D3/666.67),0)</f>
        <v>586</v>
      </c>
      <c r="D35" s="1389" t="s">
        <v>1694</v>
      </c>
      <c r="E35" s="3671"/>
      <c r="F35" s="301" t="s">
        <v>342</v>
      </c>
      <c r="G35" s="980"/>
      <c r="H35" s="979" t="s">
        <v>343</v>
      </c>
      <c r="I35" s="311"/>
      <c r="J35" s="2028"/>
      <c r="K35" s="3644" t="s">
        <v>350</v>
      </c>
      <c r="L35" s="3644" t="s">
        <v>351</v>
      </c>
      <c r="M35" s="1262" t="s">
        <v>352</v>
      </c>
      <c r="N35" s="3644" t="s">
        <v>353</v>
      </c>
      <c r="O35" s="3644" t="s">
        <v>354</v>
      </c>
      <c r="P35" s="2028"/>
      <c r="V35" s="2028"/>
    </row>
    <row r="36" spans="1:26" ht="16.5" customHeight="1">
      <c r="A36" s="303" t="s">
        <v>344</v>
      </c>
      <c r="B36" s="304" t="s">
        <v>333</v>
      </c>
      <c r="C36" s="305" t="s">
        <v>345</v>
      </c>
      <c r="D36" s="305" t="s">
        <v>346</v>
      </c>
      <c r="E36" s="306" t="s">
        <v>347</v>
      </c>
      <c r="F36" s="311"/>
      <c r="G36" s="311"/>
      <c r="H36" s="311"/>
      <c r="I36" s="311"/>
      <c r="J36" s="2030"/>
      <c r="K36" s="3645"/>
      <c r="L36" s="3645"/>
      <c r="M36" s="1264" t="s">
        <v>355</v>
      </c>
      <c r="N36" s="3645"/>
      <c r="O36" s="3645"/>
      <c r="P36" s="2028"/>
      <c r="V36" s="2028"/>
    </row>
    <row r="37" spans="1:26" ht="16.5" customHeight="1" thickBot="1">
      <c r="A37" s="1258" t="s">
        <v>348</v>
      </c>
      <c r="B37" s="307"/>
      <c r="C37" s="294"/>
      <c r="D37" s="294"/>
      <c r="E37" s="295"/>
      <c r="F37" s="311"/>
      <c r="G37" s="311"/>
      <c r="H37" s="311"/>
      <c r="I37" s="311"/>
      <c r="J37" s="2030"/>
      <c r="K37" s="3646"/>
      <c r="L37" s="3646"/>
      <c r="M37" s="1265"/>
      <c r="N37" s="3646"/>
      <c r="O37" s="3646"/>
      <c r="P37" s="2028"/>
      <c r="V37" s="2028"/>
    </row>
    <row r="38" spans="1:26" ht="16.5" customHeight="1" thickBot="1">
      <c r="A38" s="1258" t="s">
        <v>349</v>
      </c>
      <c r="B38" s="307"/>
      <c r="C38" s="294"/>
      <c r="D38" s="294"/>
      <c r="E38" s="295"/>
      <c r="F38" s="311"/>
      <c r="G38" s="311"/>
      <c r="H38" s="311"/>
      <c r="I38" s="311"/>
      <c r="J38" s="2030"/>
      <c r="K38" s="1266">
        <f>'数据-汇总表'!D3</f>
        <v>74806</v>
      </c>
      <c r="L38" s="1267">
        <f>'数据-汇总表'!E3</f>
        <v>358341</v>
      </c>
      <c r="M38" s="1267">
        <f ca="1">C34</f>
        <v>8790</v>
      </c>
      <c r="N38" s="1267">
        <f ca="1">C33</f>
        <v>1835</v>
      </c>
      <c r="O38" s="1268">
        <f ca="1">C32</f>
        <v>65752</v>
      </c>
      <c r="P38" s="2028"/>
      <c r="V38" s="2028"/>
    </row>
    <row r="39" spans="1:26" ht="16.5" customHeight="1" thickBot="1">
      <c r="A39" s="1263"/>
      <c r="B39" s="308"/>
      <c r="C39" s="309"/>
      <c r="D39" s="309"/>
      <c r="E39" s="310"/>
      <c r="F39" s="311"/>
      <c r="G39" s="311"/>
      <c r="H39" s="311"/>
      <c r="I39" s="311"/>
      <c r="J39" s="2030"/>
      <c r="K39" s="3689" t="str">
        <f>MID(A44,3,LEN(A44)-2)</f>
        <v/>
      </c>
      <c r="L39" s="3690"/>
      <c r="M39" s="3690"/>
      <c r="N39" s="3691"/>
      <c r="O39" s="1391" t="str">
        <f>C44</f>
        <v>——</v>
      </c>
      <c r="P39" s="2028"/>
      <c r="V39" s="2028"/>
    </row>
    <row r="40" spans="1:26" ht="19.5" thickBot="1">
      <c r="A40" s="104" t="s">
        <v>873</v>
      </c>
      <c r="B40" s="311"/>
      <c r="C40" s="311"/>
      <c r="D40" s="311"/>
      <c r="E40" s="311"/>
      <c r="F40" s="311"/>
      <c r="G40" s="311"/>
      <c r="H40" s="311"/>
      <c r="I40" s="311"/>
      <c r="J40" s="2030"/>
      <c r="K40" s="3689" t="str">
        <f t="shared" ref="K40:K41" si="0">MID(A45,3,LEN(A45)-2)</f>
        <v>抵押担保权已注销时的抵押价格</v>
      </c>
      <c r="L40" s="3690"/>
      <c r="M40" s="3690"/>
      <c r="N40" s="3691"/>
      <c r="O40" s="1391">
        <f ca="1">C45</f>
        <v>65752</v>
      </c>
      <c r="P40" s="2028"/>
      <c r="V40" s="2028"/>
    </row>
    <row r="41" spans="1:26" ht="16.5" thickBot="1">
      <c r="A41" s="312" t="s">
        <v>356</v>
      </c>
      <c r="B41" s="313"/>
      <c r="C41" s="314" t="s">
        <v>357</v>
      </c>
      <c r="D41" s="315" t="s">
        <v>358</v>
      </c>
      <c r="E41" s="315" t="s">
        <v>359</v>
      </c>
      <c r="F41" s="316" t="s">
        <v>360</v>
      </c>
      <c r="G41" s="311"/>
      <c r="H41" s="311"/>
      <c r="I41" s="311"/>
      <c r="J41" s="2030"/>
      <c r="K41" s="3689" t="str">
        <f t="shared" si="0"/>
        <v/>
      </c>
      <c r="L41" s="3690"/>
      <c r="M41" s="3690"/>
      <c r="N41" s="3691"/>
      <c r="O41" s="1391" t="str">
        <f>C46</f>
        <v>——</v>
      </c>
      <c r="P41" s="2028"/>
      <c r="V41" s="2028"/>
    </row>
    <row r="42" spans="1:26" ht="29.25">
      <c r="A42" s="3631" t="s">
        <v>2068</v>
      </c>
      <c r="B42" s="3632"/>
      <c r="C42" s="264">
        <f ca="1">C32</f>
        <v>65752</v>
      </c>
      <c r="D42" s="317">
        <f ca="1">C33</f>
        <v>1835</v>
      </c>
      <c r="E42" s="317">
        <f ca="1">C34</f>
        <v>8790</v>
      </c>
      <c r="F42" s="318">
        <f ca="1">C35</f>
        <v>586</v>
      </c>
      <c r="G42" s="311"/>
      <c r="H42" s="311"/>
      <c r="I42" s="319"/>
      <c r="J42" s="2030"/>
      <c r="K42" s="1269" t="s">
        <v>361</v>
      </c>
      <c r="L42" s="2047" t="s">
        <v>362</v>
      </c>
      <c r="M42" s="1270" t="s">
        <v>363</v>
      </c>
      <c r="N42" s="2048" t="s">
        <v>364</v>
      </c>
      <c r="O42" s="2049" t="s">
        <v>365</v>
      </c>
      <c r="P42" s="2028"/>
      <c r="V42" s="2028"/>
    </row>
    <row r="43" spans="1:26" ht="30">
      <c r="A43" s="3642" t="s">
        <v>2732</v>
      </c>
      <c r="B43" s="3643"/>
      <c r="C43" s="264">
        <f>IF(H33="正常操作",G33+G34+G35,G34+G35)</f>
        <v>0</v>
      </c>
      <c r="D43" s="317" t="s">
        <v>43</v>
      </c>
      <c r="E43" s="317" t="s">
        <v>44</v>
      </c>
      <c r="F43" s="318" t="s">
        <v>44</v>
      </c>
      <c r="G43" s="2891" t="s">
        <v>952</v>
      </c>
      <c r="H43" s="311"/>
      <c r="I43" s="319"/>
      <c r="J43" s="2030"/>
      <c r="K43" s="1271" t="str">
        <f>C4</f>
        <v>比较法-住宅、综合</v>
      </c>
      <c r="L43" s="1272">
        <f ca="1">IF(L42="估价结果/万元",C19,C20)</f>
        <v>57498</v>
      </c>
      <c r="M43" s="1273">
        <f>C18</f>
        <v>0.5</v>
      </c>
      <c r="N43" s="1274">
        <f ca="1">IF(N42="测算结果/万元",G19,G20)</f>
        <v>65752</v>
      </c>
      <c r="O43" s="1275">
        <f ca="1">IF(O42="最终结果/万元",C32,C33)</f>
        <v>65752</v>
      </c>
      <c r="P43" s="2028"/>
      <c r="V43" s="2028"/>
    </row>
    <row r="44" spans="1:26" ht="30.75" thickBot="1">
      <c r="A44" s="3631" t="str">
        <f>IF(OR(项目基本情况!E8="抵押价格",项目基本情况!E8="已注销及未注销"),"3.抵押价格","——")</f>
        <v>——</v>
      </c>
      <c r="B44" s="3632"/>
      <c r="C44" s="264" t="str">
        <f>IF(A44="——","——",C42-C43)</f>
        <v>——</v>
      </c>
      <c r="D44" s="317" t="e">
        <f>ROUND(C44*10000/'数据-汇总表'!E3,0)</f>
        <v>#VALUE!</v>
      </c>
      <c r="E44" s="317" t="e">
        <f>ROUND(C44*10000/'数据-汇总表'!D3,0)</f>
        <v>#VALUE!</v>
      </c>
      <c r="F44" s="318" t="e">
        <f>ROUND(C44/('数据-汇总表'!D3/666.67),0)</f>
        <v>#VALUE!</v>
      </c>
      <c r="G44" s="311"/>
      <c r="H44" s="311"/>
      <c r="I44" s="319"/>
      <c r="J44" s="2030"/>
      <c r="K44" s="1276" t="str">
        <f>D4</f>
        <v>剩余法-待开发</v>
      </c>
      <c r="L44" s="1277">
        <f ca="1">IF(L42="估价结果/万元",D19,D20)</f>
        <v>74005</v>
      </c>
      <c r="M44" s="1278">
        <f>D18</f>
        <v>0.5</v>
      </c>
      <c r="N44" s="1279"/>
      <c r="O44" s="1280"/>
      <c r="P44" s="2028"/>
      <c r="V44" s="2028"/>
    </row>
    <row r="45" spans="1:26" ht="15">
      <c r="A45" s="3637" t="str">
        <f>IF(项目基本情况!E8="已注销及未注销","4.抵押担保权已注销时的抵押价格",IF(项目基本情况!E8="已注销","3.抵押担保权已注销时的抵押价格","——"))</f>
        <v>3.抵押担保权已注销时的抵押价格</v>
      </c>
      <c r="B45" s="3638"/>
      <c r="C45" s="1803">
        <f ca="1">IF(A45="——","——",IF(项目基本情况!E8="抵押价格","——",C32-G34-G35))</f>
        <v>65752</v>
      </c>
      <c r="D45" s="317">
        <f ca="1">ROUND(C45*10000/'数据-汇总表'!E3,0)</f>
        <v>1835</v>
      </c>
      <c r="E45" s="317">
        <f ca="1">ROUND(C45*10000/'数据-汇总表'!D3,0)</f>
        <v>8790</v>
      </c>
      <c r="F45" s="318">
        <f ca="1">ROUND(C45/('数据-汇总表'!D3/666.67),0)</f>
        <v>586</v>
      </c>
      <c r="G45" s="311"/>
      <c r="H45" s="311"/>
      <c r="I45" s="319"/>
      <c r="J45" s="2030"/>
      <c r="K45" s="2028"/>
      <c r="L45" s="2028"/>
      <c r="M45" s="2028"/>
      <c r="N45" s="2028"/>
      <c r="O45" s="2028"/>
      <c r="P45" s="2028"/>
      <c r="V45" s="2028"/>
    </row>
    <row r="46" spans="1:26" ht="15.75" thickBot="1">
      <c r="A46" s="3633" t="str">
        <f>IF(项目基本情况!E9="抵押净值",IF(A45="——","4.抵押净值","5.抵押净值"),"——")</f>
        <v>——</v>
      </c>
      <c r="B46" s="3634"/>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1"/>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678" t="s">
        <v>374</v>
      </c>
      <c r="B63" s="3679"/>
      <c r="C63" s="3680"/>
      <c r="D63" s="341">
        <f ca="1">ROUND(C42*F63,0)</f>
        <v>39451</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639" t="s">
        <v>378</v>
      </c>
      <c r="B64" s="3640"/>
      <c r="C64" s="3640"/>
      <c r="D64" s="3640"/>
      <c r="E64" s="3640"/>
      <c r="F64" s="3640"/>
      <c r="G64" s="3641"/>
      <c r="H64" s="1286"/>
      <c r="I64" s="946"/>
      <c r="J64" s="1990"/>
      <c r="K64" s="1560"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6"/>
      <c r="I65" s="946"/>
      <c r="J65" s="1990"/>
      <c r="K65" s="1287"/>
      <c r="L65" s="1288"/>
      <c r="M65" s="1288"/>
      <c r="N65" s="1320" t="s">
        <v>379</v>
      </c>
      <c r="O65" s="1321"/>
      <c r="P65" s="1322"/>
      <c r="Q65" s="2028"/>
      <c r="R65" s="2028"/>
      <c r="S65" s="2028"/>
      <c r="T65" s="2028"/>
      <c r="U65" s="2028"/>
      <c r="V65" s="2028"/>
    </row>
    <row r="66" spans="1:22" ht="25.5">
      <c r="A66" s="3635" t="s">
        <v>386</v>
      </c>
      <c r="B66" s="3636"/>
      <c r="C66" s="3636"/>
      <c r="D66" s="261">
        <f ca="1">IF(H66="情况1",0,IF(H66="情况2",D70,IF(H66="情况3",D71,IF(H66="情况4",D72))))</f>
        <v>2066</v>
      </c>
      <c r="E66" s="991" t="str">
        <f>IF(H66="情况4","(销售额-原购置价)×税（费）率","销售额×税（费）率")</f>
        <v>销售额×税（费）率</v>
      </c>
      <c r="F66" s="350">
        <f>IF(H66="情况1","免征",'数据-取费表'!B41)</f>
        <v>5.5000000000000007E-2</v>
      </c>
      <c r="G66" s="351" t="s">
        <v>387</v>
      </c>
      <c r="H66" s="191" t="s">
        <v>388</v>
      </c>
      <c r="I66" s="1286"/>
      <c r="J66" s="2034"/>
      <c r="K66" s="1289">
        <v>1</v>
      </c>
      <c r="L66" s="3693" t="s">
        <v>385</v>
      </c>
      <c r="M66" s="3694"/>
      <c r="N66" s="2482"/>
      <c r="O66" s="2483"/>
      <c r="P66" s="2484"/>
      <c r="Q66" s="2028"/>
      <c r="R66" s="2028"/>
      <c r="S66" s="2028"/>
      <c r="T66" s="2028"/>
      <c r="U66" s="2028"/>
      <c r="V66" s="2028"/>
    </row>
    <row r="67" spans="1:22" ht="25.5" customHeight="1">
      <c r="A67" s="352" t="s">
        <v>390</v>
      </c>
      <c r="B67" s="3626" t="s">
        <v>391</v>
      </c>
      <c r="C67" s="3626"/>
      <c r="D67" s="353">
        <v>0</v>
      </c>
      <c r="E67" s="41" t="s">
        <v>392</v>
      </c>
      <c r="F67" s="62" t="s">
        <v>21</v>
      </c>
      <c r="G67" s="3681"/>
      <c r="H67" s="311"/>
      <c r="I67" s="1290"/>
      <c r="J67" s="2035"/>
      <c r="K67" s="1976">
        <v>2</v>
      </c>
      <c r="L67" s="3692" t="s">
        <v>389</v>
      </c>
      <c r="M67" s="3692"/>
      <c r="N67" s="1323">
        <f>'数据-取费表'!B2</f>
        <v>43138</v>
      </c>
      <c r="O67" s="1323"/>
      <c r="P67" s="1323"/>
      <c r="Q67" s="2028"/>
      <c r="R67" s="2028"/>
      <c r="S67" s="2028"/>
      <c r="T67" s="2028"/>
      <c r="U67" s="2028"/>
      <c r="V67" s="2028"/>
    </row>
    <row r="68" spans="1:22" ht="25.5" customHeight="1">
      <c r="A68" s="354"/>
      <c r="B68" s="3626" t="s">
        <v>394</v>
      </c>
      <c r="C68" s="3626"/>
      <c r="D68" s="355"/>
      <c r="E68" s="77"/>
      <c r="F68" s="356"/>
      <c r="G68" s="3682"/>
      <c r="H68" s="311"/>
      <c r="I68" s="1290"/>
      <c r="J68" s="2035"/>
      <c r="K68" s="1976">
        <v>3</v>
      </c>
      <c r="L68" s="3692" t="s">
        <v>393</v>
      </c>
      <c r="M68" s="3692"/>
      <c r="N68" s="1291">
        <f ca="1">C42</f>
        <v>65752</v>
      </c>
      <c r="O68" s="1291"/>
      <c r="P68" s="1291"/>
      <c r="Q68" s="2028"/>
      <c r="R68" s="2028"/>
      <c r="S68" s="2028"/>
      <c r="T68" s="2028"/>
      <c r="U68" s="2028"/>
      <c r="V68" s="2028"/>
    </row>
    <row r="69" spans="1:22" ht="12" customHeight="1">
      <c r="A69" s="357"/>
      <c r="B69" s="3626" t="s">
        <v>395</v>
      </c>
      <c r="C69" s="3626"/>
      <c r="D69" s="358"/>
      <c r="E69" s="73"/>
      <c r="F69" s="356"/>
      <c r="G69" s="3683"/>
      <c r="H69" s="311"/>
      <c r="I69" s="1290"/>
      <c r="J69" s="2035"/>
      <c r="K69" s="1292">
        <v>4</v>
      </c>
      <c r="L69" s="3697" t="s">
        <v>2885</v>
      </c>
      <c r="M69" s="3698"/>
      <c r="N69" s="1293" t="str">
        <f>C44</f>
        <v>——</v>
      </c>
      <c r="O69" s="1293"/>
      <c r="P69" s="1293"/>
      <c r="Q69" s="2028"/>
      <c r="R69" s="2028"/>
      <c r="S69" s="2028"/>
      <c r="T69" s="2028"/>
      <c r="U69" s="2028"/>
      <c r="V69" s="2028"/>
    </row>
    <row r="70" spans="1:22" ht="24" customHeight="1">
      <c r="A70" s="359" t="s">
        <v>396</v>
      </c>
      <c r="B70" s="3626" t="s">
        <v>397</v>
      </c>
      <c r="C70" s="3626"/>
      <c r="D70" s="358">
        <f ca="1">ROUND(D63*'数据-取费表'!B41/(1+'数据-取费表'!C42),0)</f>
        <v>2066</v>
      </c>
      <c r="E70" s="17" t="s">
        <v>398</v>
      </c>
      <c r="F70" s="360">
        <f>'数据-取费表'!B41</f>
        <v>5.5000000000000007E-2</v>
      </c>
      <c r="G70" s="361"/>
      <c r="H70" s="311"/>
      <c r="I70" s="1290"/>
      <c r="J70" s="2035"/>
      <c r="K70" s="3086"/>
      <c r="L70" s="3087"/>
      <c r="M70" s="3087"/>
      <c r="N70" s="3088" t="s">
        <v>2890</v>
      </c>
      <c r="O70" s="3087"/>
      <c r="P70" s="3089"/>
      <c r="Q70" s="2028"/>
      <c r="R70" s="2028"/>
      <c r="S70" s="2028"/>
      <c r="T70" s="2028"/>
      <c r="U70" s="2028"/>
      <c r="V70" s="2028"/>
    </row>
    <row r="71" spans="1:22" ht="12" customHeight="1">
      <c r="A71" s="359" t="s">
        <v>404</v>
      </c>
      <c r="B71" s="3627" t="s">
        <v>405</v>
      </c>
      <c r="C71" s="3628"/>
      <c r="D71" s="358">
        <f ca="1">ROUND(D63*'数据-取费表'!B41/(1+'数据-取费表'!C42),0)</f>
        <v>2066</v>
      </c>
      <c r="E71" s="17" t="s">
        <v>398</v>
      </c>
      <c r="F71" s="360">
        <f>'数据-取费表'!B41</f>
        <v>5.5000000000000007E-2</v>
      </c>
      <c r="G71" s="361"/>
      <c r="H71" s="311"/>
      <c r="I71" s="1290"/>
      <c r="J71" s="2035"/>
      <c r="K71" s="3085" t="s">
        <v>399</v>
      </c>
      <c r="L71" s="3699" t="s">
        <v>400</v>
      </c>
      <c r="M71" s="3699"/>
      <c r="N71" s="3085" t="s">
        <v>401</v>
      </c>
      <c r="O71" s="3085" t="s">
        <v>402</v>
      </c>
      <c r="P71" s="3085" t="s">
        <v>403</v>
      </c>
      <c r="Q71" s="2028"/>
      <c r="R71" s="2028"/>
      <c r="S71" s="2028"/>
      <c r="T71" s="2028"/>
      <c r="U71" s="2028"/>
      <c r="V71" s="2028"/>
    </row>
    <row r="72" spans="1:22" ht="12" customHeight="1">
      <c r="A72" s="359" t="s">
        <v>407</v>
      </c>
      <c r="B72" s="3627" t="s">
        <v>408</v>
      </c>
      <c r="C72" s="3628"/>
      <c r="D72" s="358">
        <f ca="1">C86</f>
        <v>1956</v>
      </c>
      <c r="E72" s="73" t="s">
        <v>409</v>
      </c>
      <c r="F72" s="360">
        <f>'数据-取费表'!B41</f>
        <v>5.5000000000000007E-2</v>
      </c>
      <c r="G72" s="361"/>
      <c r="H72" s="1296"/>
      <c r="I72" s="1290"/>
      <c r="J72" s="2035"/>
      <c r="K72" s="1976">
        <v>1</v>
      </c>
      <c r="L72" s="3674" t="s">
        <v>406</v>
      </c>
      <c r="M72" s="3674"/>
      <c r="N72" s="1294">
        <f ca="1">D66</f>
        <v>2066</v>
      </c>
      <c r="O72" s="1859" t="str">
        <f>E66</f>
        <v>销售额×税（费）率</v>
      </c>
      <c r="P72" s="1295">
        <f>F66</f>
        <v>5.5000000000000007E-2</v>
      </c>
      <c r="Q72" s="2028"/>
      <c r="R72" s="2028"/>
      <c r="S72" s="2028"/>
      <c r="T72" s="2028"/>
      <c r="U72" s="2028"/>
      <c r="V72" s="2028"/>
    </row>
    <row r="73" spans="1:22" ht="24" customHeight="1">
      <c r="A73" s="3668" t="s">
        <v>411</v>
      </c>
      <c r="B73" s="3636"/>
      <c r="C73" s="3636"/>
      <c r="D73" s="362">
        <f>IF(H73="个人住宅",0,ROUND(D63*I73,0))</f>
        <v>0</v>
      </c>
      <c r="E73" s="17" t="s">
        <v>412</v>
      </c>
      <c r="F73" s="360" t="str">
        <f>IF(H73="正常",I73,"免征")</f>
        <v>免征</v>
      </c>
      <c r="G73" s="361"/>
      <c r="H73" s="191" t="s">
        <v>2456</v>
      </c>
      <c r="I73" s="360">
        <f>'数据-取费表'!B49</f>
        <v>5.0000000000000001E-4</v>
      </c>
      <c r="J73" s="2035"/>
      <c r="K73" s="1976">
        <v>2</v>
      </c>
      <c r="L73" s="3674" t="s">
        <v>410</v>
      </c>
      <c r="M73" s="3674"/>
      <c r="N73" s="1294">
        <f t="shared" ref="N73:P74" si="1">D73</f>
        <v>0</v>
      </c>
      <c r="O73" s="1859" t="str">
        <f t="shared" si="1"/>
        <v>销售额×税（费）率</v>
      </c>
      <c r="P73" s="1295" t="str">
        <f t="shared" si="1"/>
        <v>免征</v>
      </c>
      <c r="Q73" s="2028"/>
      <c r="R73" s="2028"/>
      <c r="S73" s="2028"/>
      <c r="T73" s="2028"/>
      <c r="U73" s="2028"/>
      <c r="V73" s="2028"/>
    </row>
    <row r="74" spans="1:22" ht="24.75">
      <c r="A74" s="3668" t="s">
        <v>415</v>
      </c>
      <c r="B74" s="3636"/>
      <c r="C74" s="3636"/>
      <c r="D74" s="362">
        <f ca="1">IF(H74="个人住宅",D75,D76)</f>
        <v>21709</v>
      </c>
      <c r="E74" s="17" t="s">
        <v>416</v>
      </c>
      <c r="F74" s="360" t="str">
        <f>IF(H74="正常",F76,"免征")</f>
        <v>——</v>
      </c>
      <c r="G74" s="981" t="s">
        <v>417</v>
      </c>
      <c r="H74" s="363" t="s">
        <v>413</v>
      </c>
      <c r="I74" s="42"/>
      <c r="J74" s="2035"/>
      <c r="K74" s="1976">
        <v>3</v>
      </c>
      <c r="L74" s="3674" t="s">
        <v>414</v>
      </c>
      <c r="M74" s="3674"/>
      <c r="N74" s="1294">
        <f t="shared" ca="1" si="1"/>
        <v>21709</v>
      </c>
      <c r="O74" s="1859" t="str">
        <f t="shared" si="1"/>
        <v>增值额×税（费）率</v>
      </c>
      <c r="P74" s="1297" t="str">
        <f t="shared" si="1"/>
        <v>——</v>
      </c>
      <c r="Q74" s="2028"/>
      <c r="R74" s="2028"/>
      <c r="S74" s="2028"/>
      <c r="T74" s="2028"/>
      <c r="U74" s="2028"/>
      <c r="V74" s="2028"/>
    </row>
    <row r="75" spans="1:22" ht="24">
      <c r="A75" s="359" t="s">
        <v>418</v>
      </c>
      <c r="B75" s="3624" t="s">
        <v>419</v>
      </c>
      <c r="C75" s="3654"/>
      <c r="D75" s="364">
        <v>0</v>
      </c>
      <c r="E75" s="41" t="s">
        <v>420</v>
      </c>
      <c r="F75" s="365"/>
      <c r="G75" s="361"/>
      <c r="H75" s="42"/>
      <c r="I75" s="42"/>
      <c r="J75" s="2035"/>
      <c r="K75" s="3078">
        <f>IF(H77="非个人房产","",4)</f>
        <v>4</v>
      </c>
      <c r="L75" s="3674" t="str">
        <f>IF(H77="非个人房产","——","个人所得税")</f>
        <v>个人所得税</v>
      </c>
      <c r="M75" s="3674"/>
      <c r="N75" s="1298">
        <f ca="1">D77</f>
        <v>395</v>
      </c>
      <c r="O75" s="1872" t="str">
        <f>E77</f>
        <v>销售额×税（费）率</v>
      </c>
      <c r="P75" s="1299">
        <f>F77</f>
        <v>0.01</v>
      </c>
      <c r="Q75" s="2028"/>
      <c r="R75" s="2028"/>
      <c r="S75" s="2028"/>
      <c r="T75" s="2028"/>
      <c r="U75" s="2028"/>
      <c r="V75" s="2028"/>
    </row>
    <row r="76" spans="1:22" ht="24.75">
      <c r="A76" s="359" t="s">
        <v>396</v>
      </c>
      <c r="B76" s="3624" t="s">
        <v>422</v>
      </c>
      <c r="C76" s="3625"/>
      <c r="D76" s="362">
        <f ca="1">IF(H76="转让取得",C99,C115)</f>
        <v>21709</v>
      </c>
      <c r="E76" s="17" t="s">
        <v>423</v>
      </c>
      <c r="F76" s="53" t="s">
        <v>21</v>
      </c>
      <c r="G76" s="361"/>
      <c r="H76" s="363" t="s">
        <v>424</v>
      </c>
      <c r="I76" s="42"/>
      <c r="J76" s="2035"/>
      <c r="K76" s="3078" t="str">
        <f>IF(项目基本情况!K6="上海银行",IF(K75="",4,K75+1),"")</f>
        <v/>
      </c>
      <c r="L76" s="3685" t="str">
        <f>IF(项目基本情况!K6="上海银行","其他处置费用","")</f>
        <v/>
      </c>
      <c r="M76" s="3686"/>
      <c r="N76" s="1294" t="str">
        <f>IF(项目基本情况!K6="上海银行",N89,"")</f>
        <v/>
      </c>
      <c r="O76" s="3687" t="str">
        <f>IF(项目基本情况!K6="上海银行","包含处置中涉及的律师、诉讼、拍卖、评估等费用","")</f>
        <v/>
      </c>
      <c r="P76" s="3688"/>
      <c r="Q76" s="2028"/>
      <c r="R76" s="2028"/>
      <c r="S76" s="2028"/>
      <c r="T76" s="2028"/>
      <c r="U76" s="2028"/>
      <c r="V76" s="2028"/>
    </row>
    <row r="77" spans="1:22" ht="26.25" thickBot="1">
      <c r="A77" s="3676" t="s">
        <v>426</v>
      </c>
      <c r="B77" s="3677"/>
      <c r="C77" s="3677"/>
      <c r="D77" s="366">
        <f ca="1">IF(H77="非个人房产","——",IF(H77="个人住宅",0,ROUND(D63*I77,0)))</f>
        <v>395</v>
      </c>
      <c r="E77" s="367" t="str">
        <f>IF(H77="非个人房产","——","销售额×税（费）率")</f>
        <v>销售额×税（费）率</v>
      </c>
      <c r="F77" s="368">
        <f>IF(H77="非个人房产","——",IF(H77="个人住宅","免征",I77))</f>
        <v>0.01</v>
      </c>
      <c r="G77" s="982" t="s">
        <v>417</v>
      </c>
      <c r="H77" s="363" t="s">
        <v>2886</v>
      </c>
      <c r="I77" s="369">
        <v>0.01</v>
      </c>
      <c r="J77" s="2035"/>
      <c r="K77" s="3675">
        <f>IF(AND(K75="",K76=""),4,IF(项目基本情况!K6="上海银行",K76+1,K75+1))</f>
        <v>5</v>
      </c>
      <c r="L77" s="3674" t="s">
        <v>2887</v>
      </c>
      <c r="M77" s="3084" t="s">
        <v>421</v>
      </c>
      <c r="N77" s="1300"/>
      <c r="O77" s="1301">
        <f ca="1">SUMIF(N72:N76,"&lt;9e307")</f>
        <v>24170</v>
      </c>
      <c r="P77" s="1302"/>
      <c r="Q77" s="3082" t="e">
        <f ca="1">O77/N69</f>
        <v>#VALUE!</v>
      </c>
      <c r="R77" s="2028"/>
      <c r="S77" s="2028"/>
      <c r="T77" s="2028"/>
      <c r="U77" s="2028"/>
      <c r="V77" s="2028"/>
    </row>
    <row r="78" spans="1:22" ht="12" customHeight="1">
      <c r="A78" s="1303"/>
      <c r="B78" s="311"/>
      <c r="C78" s="311"/>
      <c r="D78" s="311"/>
      <c r="E78" s="42"/>
      <c r="F78" s="42"/>
      <c r="G78" s="42"/>
      <c r="H78" s="1001"/>
      <c r="I78" s="311"/>
      <c r="J78" s="2035"/>
      <c r="K78" s="3675"/>
      <c r="L78" s="3674"/>
      <c r="M78" s="3084" t="s">
        <v>425</v>
      </c>
      <c r="N78" s="1300"/>
      <c r="O78" s="1301" t="str">
        <f ca="1">NUMBERSTRING(INT(O77*10000),2)&amp;"元整"</f>
        <v>贰亿肆仟壹佰柒拾万元整</v>
      </c>
      <c r="P78" s="1302"/>
      <c r="Q78" s="2028"/>
      <c r="R78" s="2028"/>
      <c r="S78" s="2028"/>
      <c r="T78" s="2028"/>
      <c r="U78" s="2028"/>
      <c r="V78" s="2028"/>
    </row>
    <row r="79" spans="1:22" ht="13.5" thickBot="1">
      <c r="A79" s="3669" t="s">
        <v>427</v>
      </c>
      <c r="B79" s="3669"/>
      <c r="C79" s="3669"/>
      <c r="D79" s="3669"/>
      <c r="E79" s="3669"/>
      <c r="F79" s="42"/>
      <c r="G79" s="42"/>
      <c r="H79" s="1001"/>
      <c r="I79" s="311"/>
      <c r="J79" s="2035"/>
      <c r="K79" s="3695">
        <f>K77+1</f>
        <v>6</v>
      </c>
      <c r="L79" s="3674" t="s">
        <v>2888</v>
      </c>
      <c r="M79" s="3084" t="s">
        <v>421</v>
      </c>
      <c r="N79" s="1300"/>
      <c r="O79" s="1301" t="e">
        <f ca="1">N69-O77</f>
        <v>#VALUE!</v>
      </c>
      <c r="P79" s="1302"/>
      <c r="Q79" s="2028"/>
      <c r="R79" s="2028"/>
      <c r="S79" s="2028"/>
      <c r="T79" s="2028"/>
      <c r="U79" s="2028"/>
      <c r="V79" s="2028"/>
    </row>
    <row r="80" spans="1:22" ht="12.75">
      <c r="A80" s="3664" t="s">
        <v>428</v>
      </c>
      <c r="B80" s="3665"/>
      <c r="C80" s="992"/>
      <c r="D80" s="992" t="s">
        <v>429</v>
      </c>
      <c r="E80" s="370" t="s">
        <v>430</v>
      </c>
      <c r="F80" s="42"/>
      <c r="G80" s="42"/>
      <c r="H80" s="1001"/>
      <c r="I80" s="311"/>
      <c r="J80" s="2028"/>
      <c r="K80" s="3696"/>
      <c r="L80" s="3674"/>
      <c r="M80" s="3084" t="s">
        <v>425</v>
      </c>
      <c r="N80" s="1300"/>
      <c r="O80" s="1301" t="e">
        <f ca="1">NUMBERSTRING(INT(O79*10000),2)&amp;"元整"</f>
        <v>#VALUE!</v>
      </c>
      <c r="P80" s="1302"/>
      <c r="Q80" s="2028"/>
      <c r="R80" s="2028"/>
      <c r="S80" s="2028"/>
      <c r="T80" s="2028"/>
      <c r="U80" s="2028"/>
      <c r="V80" s="2028"/>
    </row>
    <row r="81" spans="1:26" ht="13.5" thickBot="1">
      <c r="A81" s="381" t="s">
        <v>1824</v>
      </c>
      <c r="B81" s="371" t="s">
        <v>431</v>
      </c>
      <c r="C81" s="372">
        <f ca="1">ROUND((C82+C83)/(1+'数据-取费表'!C42),0)</f>
        <v>37572</v>
      </c>
      <c r="D81" s="373"/>
      <c r="E81" s="374"/>
      <c r="F81" s="42"/>
      <c r="G81" s="42"/>
      <c r="H81" s="1001"/>
      <c r="I81" s="311"/>
      <c r="J81" s="2028"/>
      <c r="K81" s="3078">
        <f>K79+1</f>
        <v>7</v>
      </c>
      <c r="L81" s="3672" t="s">
        <v>2889</v>
      </c>
      <c r="M81" s="3673"/>
      <c r="N81" s="1304"/>
      <c r="O81" s="1305" t="e">
        <f ca="1">ROUND(O79*10000/'数据-汇总表'!E3,0)</f>
        <v>#VALUE!</v>
      </c>
      <c r="P81" s="1306"/>
      <c r="Q81" s="2028"/>
      <c r="R81" s="2028"/>
      <c r="S81" s="2028"/>
      <c r="T81" s="2028"/>
      <c r="U81" s="2028"/>
      <c r="V81" s="2028"/>
    </row>
    <row r="82" spans="1:26" ht="13.5" thickTop="1">
      <c r="A82" s="375" t="s">
        <v>1825</v>
      </c>
      <c r="B82" s="376" t="s">
        <v>432</v>
      </c>
      <c r="C82" s="377">
        <f ca="1">D63</f>
        <v>39451</v>
      </c>
      <c r="D82" s="378" t="s">
        <v>19</v>
      </c>
      <c r="E82" s="379"/>
      <c r="F82" s="42"/>
      <c r="G82" s="42"/>
      <c r="H82" s="1001"/>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1"/>
      <c r="I83" s="311"/>
      <c r="J83" s="2028"/>
      <c r="K83" s="3684" t="s">
        <v>2876</v>
      </c>
      <c r="L83" s="3090" t="s">
        <v>2877</v>
      </c>
      <c r="M83" s="3080" t="e">
        <f>IF(N69&gt;10000,N69*0.5%,IF(AND(N69&gt;1000,N69&lt;=10000),N69*1%,IF(AND(N69&gt;100,N69&lt;=1000),N69*3%,IF(AND(N69&gt;10,N69&lt;=100),N69*5%,N69*8%))))</f>
        <v>#VALUE!</v>
      </c>
      <c r="N83" s="53" t="e">
        <f>ROUND(M83,1)</f>
        <v>#VALUE!</v>
      </c>
      <c r="O83" s="3083"/>
      <c r="P83" s="2028"/>
      <c r="Q83" s="2028"/>
      <c r="R83" s="2028"/>
      <c r="S83" s="2028"/>
      <c r="T83" s="2028"/>
      <c r="U83" s="2028"/>
      <c r="V83" s="2028"/>
    </row>
    <row r="84" spans="1:26" ht="12.75">
      <c r="A84" s="381" t="s">
        <v>1827</v>
      </c>
      <c r="B84" s="382" t="s">
        <v>434</v>
      </c>
      <c r="C84" s="383">
        <v>2000</v>
      </c>
      <c r="D84" s="384" t="s">
        <v>19</v>
      </c>
      <c r="E84" s="3124" t="s">
        <v>2938</v>
      </c>
      <c r="F84" s="42"/>
      <c r="G84" s="42"/>
      <c r="H84" s="1001"/>
      <c r="I84" s="311"/>
      <c r="J84" s="2028"/>
      <c r="K84" s="3684"/>
      <c r="L84" s="3090" t="s">
        <v>2878</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1828</v>
      </c>
      <c r="B85" s="382" t="s">
        <v>435</v>
      </c>
      <c r="C85" s="385">
        <f ca="1">C81-C84</f>
        <v>35572</v>
      </c>
      <c r="D85" s="378" t="s">
        <v>19</v>
      </c>
      <c r="E85" s="379"/>
      <c r="F85" s="42"/>
      <c r="G85" s="42"/>
      <c r="H85" s="1001"/>
      <c r="I85" s="311"/>
      <c r="J85" s="2028"/>
      <c r="K85" s="3684"/>
      <c r="L85" s="3090" t="s">
        <v>2880</v>
      </c>
      <c r="M85" s="3080"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1829</v>
      </c>
      <c r="B86" s="387" t="s">
        <v>436</v>
      </c>
      <c r="C86" s="388">
        <f ca="1">IF(C85&lt;=0,0,ROUND(C85*D86,0))</f>
        <v>1956</v>
      </c>
      <c r="D86" s="389">
        <f>'数据-取费表'!B41</f>
        <v>5.5000000000000007E-2</v>
      </c>
      <c r="E86" s="390"/>
      <c r="F86" s="42"/>
      <c r="G86" s="42"/>
      <c r="H86" s="1001"/>
      <c r="I86" s="311"/>
      <c r="J86" s="2028"/>
      <c r="K86" s="3684"/>
      <c r="L86" s="3090" t="s">
        <v>2881</v>
      </c>
      <c r="M86" s="3080" t="e">
        <f>N69*0.5%</f>
        <v>#VALUE!</v>
      </c>
      <c r="N86" s="53" t="e">
        <f>IF(M86&gt;0.5,0.5,ROUND(M86,0))</f>
        <v>#VALUE!</v>
      </c>
      <c r="O86" s="2028" t="s">
        <v>2882</v>
      </c>
      <c r="P86" s="2028"/>
      <c r="Q86" s="2028"/>
      <c r="R86" s="2028"/>
      <c r="S86" s="2028"/>
      <c r="T86" s="2028"/>
      <c r="U86" s="2028"/>
      <c r="V86" s="2028"/>
    </row>
    <row r="87" spans="1:26" s="1252" customFormat="1" ht="14.25" customHeight="1">
      <c r="A87" s="1307"/>
      <c r="B87" s="1308"/>
      <c r="C87" s="1309"/>
      <c r="D87" s="1310"/>
      <c r="E87" s="1311"/>
      <c r="F87" s="42"/>
      <c r="G87" s="42"/>
      <c r="H87" s="1001"/>
      <c r="I87" s="311"/>
      <c r="J87" s="2028"/>
      <c r="K87" s="3684"/>
      <c r="L87" s="3090" t="s">
        <v>2883</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8"/>
      <c r="R87" s="2028"/>
      <c r="S87" s="2028"/>
      <c r="T87" s="2028"/>
      <c r="U87" s="2028"/>
      <c r="V87" s="2028"/>
      <c r="W87" s="292"/>
      <c r="X87" s="292"/>
      <c r="Y87" s="292"/>
      <c r="Z87" s="292"/>
    </row>
    <row r="88" spans="1:26" s="1312" customFormat="1" ht="15" thickBot="1">
      <c r="A88" s="3666" t="s">
        <v>437</v>
      </c>
      <c r="B88" s="3667"/>
      <c r="C88" s="3667"/>
      <c r="D88" s="3667"/>
      <c r="E88" s="3667"/>
      <c r="F88" s="3667"/>
      <c r="G88" s="3667"/>
      <c r="H88" s="3667"/>
      <c r="I88" s="1313"/>
      <c r="J88" s="2036"/>
      <c r="K88" s="3684"/>
      <c r="L88" s="3090" t="s">
        <v>2884</v>
      </c>
      <c r="M88" s="3080" t="e">
        <f>IF(N69&gt;10000,N69*0.5%,IF(AND(N69&gt;5000,N69&lt;=10000),N69*1%,IF(AND(N69&gt;1000,N69&lt;=5000),N69*2%,IF(AND(N69&gt;200,N69&lt;=1000),N69*3%,N69*5%))))</f>
        <v>#VALUE!</v>
      </c>
      <c r="N88" s="53" t="e">
        <f>ROUND(M88,1)</f>
        <v>#VALUE!</v>
      </c>
      <c r="O88" s="3083"/>
      <c r="P88" s="11"/>
      <c r="Q88" s="2033"/>
      <c r="R88" s="2033"/>
      <c r="S88" s="2033"/>
      <c r="T88" s="2033"/>
      <c r="U88" s="2033"/>
      <c r="V88" s="2033"/>
      <c r="W88" s="2037"/>
      <c r="X88" s="2037"/>
      <c r="Y88" s="2037"/>
      <c r="Z88" s="2037"/>
    </row>
    <row r="89" spans="1:26" s="1312" customFormat="1" ht="14.25">
      <c r="A89" s="3664" t="s">
        <v>428</v>
      </c>
      <c r="B89" s="3665"/>
      <c r="C89" s="992"/>
      <c r="D89" s="992" t="s">
        <v>429</v>
      </c>
      <c r="E89" s="391" t="s">
        <v>438</v>
      </c>
      <c r="F89" s="392"/>
      <c r="G89" s="392"/>
      <c r="H89" s="393"/>
      <c r="I89" s="1314"/>
      <c r="J89" s="2038"/>
      <c r="K89" s="3684"/>
      <c r="L89" s="3090" t="s">
        <v>27</v>
      </c>
      <c r="M89" s="3081"/>
      <c r="N89" s="53" t="e">
        <f>ROUND(SUM(N83:N88),0)</f>
        <v>#VALUE!</v>
      </c>
      <c r="O89" s="3091" t="e">
        <f>N89/N69</f>
        <v>#VALUE!</v>
      </c>
      <c r="P89" s="2033"/>
      <c r="Q89" s="2033"/>
      <c r="R89" s="2033"/>
      <c r="S89" s="2033"/>
      <c r="T89" s="2033"/>
      <c r="U89" s="2033"/>
      <c r="V89" s="2033"/>
      <c r="W89" s="2037"/>
      <c r="X89" s="2037"/>
      <c r="Y89" s="2037"/>
      <c r="Z89" s="2037"/>
    </row>
    <row r="90" spans="1:26" s="1312" customFormat="1" ht="14.25">
      <c r="A90" s="381" t="s">
        <v>1824</v>
      </c>
      <c r="B90" s="382" t="s">
        <v>439</v>
      </c>
      <c r="C90" s="385">
        <f ca="1">ROUND(D63/(1+'数据-取费表'!C42),0)</f>
        <v>37572</v>
      </c>
      <c r="D90" s="378" t="s">
        <v>19</v>
      </c>
      <c r="E90" s="989"/>
      <c r="F90" s="988"/>
      <c r="G90" s="988"/>
      <c r="H90" s="394"/>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1" t="s">
        <v>1830</v>
      </c>
      <c r="B91" s="348" t="s">
        <v>440</v>
      </c>
      <c r="C91" s="385">
        <f ca="1">C92+C96</f>
        <v>2749</v>
      </c>
      <c r="D91" s="378" t="s">
        <v>19</v>
      </c>
      <c r="E91" s="989"/>
      <c r="F91" s="988"/>
      <c r="G91" s="988"/>
      <c r="H91" s="394"/>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5" t="s">
        <v>1831</v>
      </c>
      <c r="B92" s="376" t="s">
        <v>441</v>
      </c>
      <c r="C92" s="378">
        <f>ROUND(IF(G95="2016年5月1日后购买",C93/(1+'数据-取费表'!C30)+C94+C95,C93+C94+C95),0)</f>
        <v>2561</v>
      </c>
      <c r="D92" s="378" t="s">
        <v>19</v>
      </c>
      <c r="E92" s="989"/>
      <c r="F92" s="988"/>
      <c r="G92" s="988"/>
      <c r="H92" s="394"/>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5" t="s">
        <v>1833</v>
      </c>
      <c r="B94" s="400" t="s">
        <v>446</v>
      </c>
      <c r="C94" s="378">
        <f>IF(F93="购房发票",ROUND(C93*H93*5%,0),0)</f>
        <v>500</v>
      </c>
      <c r="D94" s="401">
        <v>0.05</v>
      </c>
      <c r="E94" s="3627" t="s">
        <v>447</v>
      </c>
      <c r="F94" s="3626"/>
      <c r="G94" s="3626"/>
      <c r="H94" s="3663"/>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5" t="s">
        <v>1835</v>
      </c>
      <c r="B96" s="376" t="s">
        <v>450</v>
      </c>
      <c r="C96" s="405">
        <f ca="1">ROUND(D63*D96/(1+'数据-取费表'!C42),0)</f>
        <v>188</v>
      </c>
      <c r="D96" s="406">
        <f>'数据-取费表'!B43</f>
        <v>5.000000000000001E-3</v>
      </c>
      <c r="E96" s="3655" t="s">
        <v>2428</v>
      </c>
      <c r="F96" s="3656"/>
      <c r="G96" s="3656"/>
      <c r="H96" s="3657"/>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2" t="s">
        <v>451</v>
      </c>
      <c r="C97" s="385">
        <f ca="1">C90-C91</f>
        <v>34823</v>
      </c>
      <c r="D97" s="378" t="s">
        <v>19</v>
      </c>
      <c r="E97" s="989"/>
      <c r="F97" s="988"/>
      <c r="G97" s="988"/>
      <c r="H97" s="394"/>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2" t="s">
        <v>452</v>
      </c>
      <c r="C98" s="407">
        <f ca="1">IF(C97&lt;=0,0,C97/C91)</f>
        <v>12.667515460167333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7" t="s">
        <v>453</v>
      </c>
      <c r="C99" s="408">
        <f ca="1">ROUND(IF(C97&lt;=0,0,IF(C98&gt;=200%,C97*60%-C91*35%,IF(C98&gt;=100%,C97*50%-C91*15%,IF(C98&gt;=50%,C97*40%-C91*5%,IF(C98&lt;50%,C97*30%,0))))),0)</f>
        <v>19932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666" t="s">
        <v>454</v>
      </c>
      <c r="B101" s="3667"/>
      <c r="C101" s="3667"/>
      <c r="D101" s="3667"/>
      <c r="E101" s="3667"/>
      <c r="F101" s="3667"/>
      <c r="G101" s="3667"/>
      <c r="H101" s="3667"/>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664" t="s">
        <v>428</v>
      </c>
      <c r="B102" s="3665"/>
      <c r="C102" s="992"/>
      <c r="D102" s="992"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1" t="s">
        <v>1824</v>
      </c>
      <c r="B103" s="382" t="s">
        <v>439</v>
      </c>
      <c r="C103" s="385">
        <f ca="1">ROUND(D63/(1+'数据-取费表'!C42),0)</f>
        <v>37572</v>
      </c>
      <c r="D103" s="378" t="s">
        <v>19</v>
      </c>
      <c r="E103" s="989"/>
      <c r="F103" s="988"/>
      <c r="G103" s="988"/>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1" t="s">
        <v>1830</v>
      </c>
      <c r="B104" s="348" t="s">
        <v>440</v>
      </c>
      <c r="C104" s="385">
        <f ca="1">IF(H106="仅含出让金",C105+C108+C109+C110+C111+C112,C105+C109+C110+C111+C112)</f>
        <v>878</v>
      </c>
      <c r="D104" s="415"/>
      <c r="E104" s="989"/>
      <c r="F104" s="988"/>
      <c r="G104" s="988"/>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5" t="s">
        <v>1831</v>
      </c>
      <c r="B105" s="376" t="s">
        <v>455</v>
      </c>
      <c r="C105" s="405">
        <f>C106+C107</f>
        <v>572</v>
      </c>
      <c r="D105" s="406"/>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5" t="s">
        <v>1832</v>
      </c>
      <c r="B106" s="376" t="s">
        <v>456</v>
      </c>
      <c r="C106" s="416">
        <v>555</v>
      </c>
      <c r="D106" s="406"/>
      <c r="E106" s="417" t="s">
        <v>457</v>
      </c>
      <c r="F106" s="984"/>
      <c r="G106" s="418" t="s">
        <v>458</v>
      </c>
      <c r="H106" s="419"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5" t="s">
        <v>1833</v>
      </c>
      <c r="B107" s="376" t="s">
        <v>448</v>
      </c>
      <c r="C107" s="405">
        <f>ROUND(C106*D107,0)</f>
        <v>17</v>
      </c>
      <c r="D107" s="406">
        <f>'数据-取费表'!B48+'数据-取费表'!B49</f>
        <v>3.0499999999999999E-2</v>
      </c>
      <c r="E107" s="417"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5" t="s">
        <v>1835</v>
      </c>
      <c r="B108" s="376" t="s">
        <v>460</v>
      </c>
      <c r="C108" s="416"/>
      <c r="D108" s="406"/>
      <c r="E108" s="417"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6" t="s">
        <v>461</v>
      </c>
      <c r="C109" s="405">
        <f>IF(H109="——",IF(F1="现房",'剩余法-现房'!C18,'剩余法-待开发'!C18),I109)</f>
        <v>55</v>
      </c>
      <c r="D109" s="406"/>
      <c r="E109" s="3658" t="s">
        <v>462</v>
      </c>
      <c r="F109" s="3656"/>
      <c r="G109" s="3656"/>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6" t="s">
        <v>463</v>
      </c>
      <c r="C110" s="405">
        <f>ROUND((C105+C108+C109)*D110,0)</f>
        <v>63</v>
      </c>
      <c r="D110" s="406">
        <v>0.1</v>
      </c>
      <c r="E110" s="3658" t="s">
        <v>464</v>
      </c>
      <c r="F110" s="3656"/>
      <c r="G110" s="3656"/>
      <c r="H110" s="3657"/>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6" t="s">
        <v>450</v>
      </c>
      <c r="C111" s="405">
        <f ca="1">ROUND(D63*D111/(1+'数据-取费表'!C42),0)</f>
        <v>188</v>
      </c>
      <c r="D111" s="406">
        <f>'数据-取费表'!B43</f>
        <v>5.000000000000001E-3</v>
      </c>
      <c r="E111" s="3655" t="s">
        <v>2428</v>
      </c>
      <c r="F111" s="3656"/>
      <c r="G111" s="3656"/>
      <c r="H111" s="3657"/>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6" t="s">
        <v>465</v>
      </c>
      <c r="C112" s="405">
        <f>ROUND(C108*D112,0)</f>
        <v>0</v>
      </c>
      <c r="D112" s="406">
        <v>0.2</v>
      </c>
      <c r="E112" s="3658" t="s">
        <v>2453</v>
      </c>
      <c r="F112" s="3656"/>
      <c r="G112" s="3656"/>
      <c r="H112" s="3657"/>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2" t="s">
        <v>451</v>
      </c>
      <c r="C113" s="385">
        <f ca="1">ROUND(C103-C104,0)</f>
        <v>36694</v>
      </c>
      <c r="D113" s="378" t="s">
        <v>19</v>
      </c>
      <c r="E113" s="989"/>
      <c r="F113" s="988"/>
      <c r="G113" s="988"/>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2" t="s">
        <v>452</v>
      </c>
      <c r="C114" s="407">
        <f ca="1">IF(C113&lt;=0,0,C113/C104)</f>
        <v>41.792710706150345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7" t="s">
        <v>453</v>
      </c>
      <c r="C115" s="408">
        <f ca="1">ROUND(IF(C113&lt;=0,0,IF(C114&gt;=200%,C113*60%-C104*35%,IF(C114&gt;=100%,C113*50%-C104*15%,IF(C114&gt;=50%,C113*40%-C104*5%,IF(C114&lt;50%,C113*30%,0))))),0)</f>
        <v>21709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A117" s="3526" t="s">
        <v>3479</v>
      </c>
      <c r="J117" s="2040"/>
    </row>
    <row r="118" spans="1:26" s="2041" customFormat="1" ht="21.75" customHeight="1">
      <c r="A118" s="2041">
        <v>8900000</v>
      </c>
      <c r="J118" s="2040"/>
    </row>
    <row r="119" spans="1:26" s="2041" customFormat="1" ht="21.75" customHeight="1">
      <c r="A119" s="2041">
        <v>9000000</v>
      </c>
      <c r="J119" s="2040"/>
    </row>
    <row r="120" spans="1:26" s="2041" customFormat="1" ht="21.75" customHeight="1">
      <c r="A120" s="2041">
        <v>9000000</v>
      </c>
      <c r="J120" s="2040"/>
    </row>
    <row r="121" spans="1:26" s="2041" customFormat="1" ht="21.75" customHeight="1">
      <c r="A121" s="2041">
        <v>9000000</v>
      </c>
    </row>
    <row r="122" spans="1:26" s="2041" customFormat="1" ht="21.75" customHeight="1">
      <c r="A122" s="2041">
        <v>9000000</v>
      </c>
      <c r="J122" s="2042"/>
    </row>
    <row r="123" spans="1:26" s="2041" customFormat="1" ht="21.75" customHeight="1">
      <c r="A123" s="2041">
        <v>8900000</v>
      </c>
    </row>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1:6" s="2041" customFormat="1" ht="21.75" customHeight="1"/>
    <row r="130" spans="1:6" s="2041" customFormat="1" ht="21.75" customHeight="1">
      <c r="B130" s="2043"/>
      <c r="C130" s="2044"/>
      <c r="D130" s="2045"/>
      <c r="E130" s="2045"/>
      <c r="F130" s="2046"/>
    </row>
    <row r="131" spans="1:6" s="2041" customFormat="1" ht="21.75" customHeight="1">
      <c r="A131" s="3526" t="s">
        <v>3515</v>
      </c>
      <c r="B131" s="3526" t="s">
        <v>3516</v>
      </c>
    </row>
    <row r="132" spans="1:6" s="2041" customFormat="1" ht="21.75" customHeight="1">
      <c r="A132" s="2041" t="s">
        <v>3517</v>
      </c>
    </row>
    <row r="133" spans="1:6" s="2041" customFormat="1" ht="21.75" customHeight="1">
      <c r="A133" s="2041" t="s">
        <v>3518</v>
      </c>
    </row>
    <row r="134" spans="1:6" s="2041" customFormat="1" ht="21.75" customHeight="1">
      <c r="A134" s="2041" t="s">
        <v>3519</v>
      </c>
    </row>
    <row r="135" spans="1:6" s="2041" customFormat="1" ht="21.75" customHeight="1"/>
    <row r="136" spans="1:6" s="2041" customFormat="1" ht="21.75" customHeight="1" thickBot="1"/>
    <row r="137" spans="1:6" s="2041" customFormat="1" ht="21.75" customHeight="1">
      <c r="B137" s="3834" t="s">
        <v>3520</v>
      </c>
      <c r="C137" s="3832"/>
    </row>
    <row r="138" spans="1:6" s="2041" customFormat="1" ht="21.75" customHeight="1" thickBot="1">
      <c r="B138" s="3835"/>
      <c r="C138" s="3832"/>
    </row>
    <row r="139" spans="1:6" s="2041" customFormat="1" ht="21.75" customHeight="1" thickBot="1">
      <c r="B139" s="3833">
        <v>32471</v>
      </c>
      <c r="C139" s="3832"/>
    </row>
    <row r="140" spans="1:6" s="2041" customFormat="1" ht="21.75" customHeight="1" thickBot="1">
      <c r="B140" s="3833">
        <v>30000</v>
      </c>
      <c r="C140" s="3832"/>
    </row>
    <row r="141" spans="1:6" s="2041" customFormat="1" ht="21.75" customHeight="1" thickBot="1">
      <c r="B141" s="3833">
        <v>12335</v>
      </c>
      <c r="C141" s="3832"/>
    </row>
    <row r="142" spans="1:6" s="2041" customFormat="1" ht="21.75" customHeight="1" thickBot="1">
      <c r="B142" s="3836">
        <v>74806</v>
      </c>
      <c r="C142" s="3832"/>
    </row>
    <row r="143" spans="1:6" s="2041" customFormat="1" ht="21.75" customHeight="1"/>
    <row r="144" spans="1: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B137:B138"/>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2">
        <f>MATCH(B1,'数据-取费表'!A6:A16,0)+5</f>
        <v>9</v>
      </c>
    </row>
    <row r="2" spans="1:31" s="2041" customFormat="1" ht="18" customHeight="1">
      <c r="A2" s="2101" t="s">
        <v>467</v>
      </c>
      <c r="B2" s="2105">
        <f ca="1">C36</f>
        <v>74005</v>
      </c>
      <c r="C2" s="2104"/>
      <c r="D2" s="2104"/>
      <c r="E2" s="2104"/>
      <c r="F2" s="2104"/>
      <c r="G2" s="2104"/>
      <c r="H2" s="2104"/>
      <c r="I2" s="2104"/>
      <c r="J2" s="2104"/>
      <c r="K2" s="2104"/>
    </row>
    <row r="3" spans="1:31" s="2041" customFormat="1" ht="18" customHeight="1">
      <c r="A3" s="2106" t="s">
        <v>1685</v>
      </c>
      <c r="B3" s="2107">
        <f ca="1">ROUND(B2*10000/IF(B1="",'数据-汇总表'!E3,INDIRECT("'数据-取费表'!K"&amp;$K$1)),0)</f>
        <v>2065</v>
      </c>
      <c r="C3" s="2104"/>
      <c r="D3" s="2104"/>
      <c r="E3" s="2104"/>
      <c r="F3" s="2104"/>
      <c r="G3" s="2104"/>
      <c r="H3" s="2104"/>
      <c r="I3" s="2104"/>
      <c r="J3" s="2104"/>
      <c r="K3" s="2104"/>
    </row>
    <row r="4" spans="1:31" s="2041" customFormat="1" ht="18" customHeight="1">
      <c r="A4" s="426" t="s">
        <v>468</v>
      </c>
      <c r="B4" s="427">
        <f ca="1">ROUND(B2*10000/IF(B1="",'数据-汇总表'!D3,INDIRECT("'数据-取费表'!R"&amp;$K$1)),0)</f>
        <v>9893</v>
      </c>
      <c r="C4" s="428"/>
      <c r="D4" s="422"/>
      <c r="E4" s="422"/>
      <c r="F4" s="422"/>
      <c r="G4" s="422"/>
      <c r="H4" s="422"/>
      <c r="I4" s="422"/>
      <c r="J4" s="422"/>
      <c r="K4" s="422"/>
    </row>
    <row r="5" spans="1:31" s="2041" customFormat="1" ht="18" customHeight="1" thickBot="1">
      <c r="A5" s="429"/>
      <c r="B5" s="430">
        <f ca="1">ROUND(B2/(IF(B1="",'数据-汇总表'!D3,INDIRECT("'数据-取费表'!R"&amp;$K$1))/666.67),0)</f>
        <v>660</v>
      </c>
      <c r="C5" s="431" t="s">
        <v>469</v>
      </c>
      <c r="D5" s="422"/>
      <c r="E5" s="422"/>
      <c r="F5" s="422"/>
      <c r="G5" s="422"/>
      <c r="H5" s="422"/>
      <c r="I5" s="422"/>
      <c r="J5" s="422"/>
      <c r="K5" s="422"/>
    </row>
    <row r="6" spans="1:31" s="2111" customFormat="1" ht="16.5" customHeight="1">
      <c r="A6" s="2853" t="s">
        <v>1843</v>
      </c>
      <c r="B6" s="2854"/>
      <c r="C6" s="2855">
        <f ca="1">SUM(C10:K10)</f>
        <v>236041</v>
      </c>
      <c r="D6" s="2854"/>
      <c r="E6" s="2854"/>
      <c r="F6" s="2854"/>
      <c r="G6" s="2854"/>
      <c r="H6" s="2854"/>
      <c r="I6" s="2854"/>
      <c r="J6" s="2854"/>
      <c r="K6" s="2856"/>
    </row>
    <row r="7" spans="1:31" s="2113" customFormat="1" ht="15">
      <c r="A7" s="2857" t="s">
        <v>470</v>
      </c>
      <c r="B7" s="2858" t="s">
        <v>471</v>
      </c>
      <c r="C7" s="436" t="s">
        <v>923</v>
      </c>
      <c r="D7" s="436" t="s">
        <v>3364</v>
      </c>
      <c r="E7" s="436" t="s">
        <v>3377</v>
      </c>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59">
        <f>'不动产比较法-住宅'!C48</f>
        <v>8543</v>
      </c>
      <c r="D8" s="2859">
        <f>典型户型修正!R22</f>
        <v>9265</v>
      </c>
      <c r="E8" s="2859">
        <f ca="1">'不动产收益法-车库'!B3</f>
        <v>1605</v>
      </c>
      <c r="F8" s="2859"/>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252484</v>
      </c>
      <c r="D9" s="441">
        <f>SUMIF('数据-汇总表'!$C19:$C33,'剩余法-待开发'!D7,'数据-汇总表'!$E19:$E33)</f>
        <v>5237</v>
      </c>
      <c r="E9" s="441">
        <f>SUMIF('数据-汇总表'!$C19:$C33,'剩余法-待开发'!E7,'数据-汇总表'!$E19:$E33)</f>
        <v>96520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1848</v>
      </c>
      <c r="B10" s="2847" t="s">
        <v>474</v>
      </c>
      <c r="C10" s="3053">
        <f>'不动产比较法-住宅'!B2</f>
        <v>215697</v>
      </c>
      <c r="D10" s="3053">
        <f>典型户型修正!S22</f>
        <v>4852</v>
      </c>
      <c r="E10" s="3053">
        <f ca="1">'不动产收益法-车库'!B2</f>
        <v>15492</v>
      </c>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1844</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1849</v>
      </c>
      <c r="B13" s="2868" t="s">
        <v>479</v>
      </c>
      <c r="C13" s="450">
        <f ca="1">IF(B1="",'数据-取费表'!P16,INDIRECT("'数据-取费表'!p"&amp;$K$1)+INDIRECT("'数据-取费表'!t"&amp;$K$1))</f>
        <v>76650</v>
      </c>
      <c r="D13" s="2869"/>
      <c r="E13" s="2870"/>
      <c r="F13" s="2871"/>
      <c r="G13" s="2837"/>
      <c r="H13" s="2838"/>
      <c r="I13" s="2838"/>
      <c r="J13" s="2838"/>
      <c r="K13" s="2839"/>
    </row>
    <row r="14" spans="1:31" s="2116" customFormat="1" ht="13.5" customHeight="1">
      <c r="A14" s="2867" t="s">
        <v>1850</v>
      </c>
      <c r="B14" s="2868" t="s">
        <v>480</v>
      </c>
      <c r="C14" s="53">
        <f ca="1">ROUND(C13*F14,0)</f>
        <v>2300</v>
      </c>
      <c r="D14" s="2869"/>
      <c r="E14" s="2870"/>
      <c r="F14" s="2872">
        <f>'数据-取费表'!B33</f>
        <v>0.03</v>
      </c>
      <c r="G14" s="2837" t="s">
        <v>481</v>
      </c>
      <c r="H14" s="2838"/>
      <c r="I14" s="2838"/>
      <c r="J14" s="2838"/>
      <c r="K14" s="2839"/>
    </row>
    <row r="15" spans="1:31" s="2116" customFormat="1" ht="13.5" customHeight="1">
      <c r="A15" s="2867" t="s">
        <v>1851</v>
      </c>
      <c r="B15" s="2868" t="s">
        <v>482</v>
      </c>
      <c r="C15" s="53">
        <f ca="1">ROUND(IF(B1="",SUMIF('数据-取费表'!C:C,"住宅",'数据-取费表'!P:P)*F15,IF(INDIRECT("'数据-取费表'!c"&amp;$K$1)="住宅",INDIRECT("'数据-取费表'!P"&amp;$K$1)*F15,0)),0)</f>
        <v>2904</v>
      </c>
      <c r="D15" s="2869"/>
      <c r="E15" s="2870"/>
      <c r="F15" s="2872">
        <f>'数据-取费表'!B34</f>
        <v>0.05</v>
      </c>
      <c r="G15" s="2837" t="s">
        <v>483</v>
      </c>
      <c r="H15" s="2838"/>
      <c r="I15" s="2838"/>
      <c r="J15" s="2838"/>
      <c r="K15" s="2839"/>
    </row>
    <row r="16" spans="1:31" s="2117" customFormat="1" ht="13.5" customHeight="1">
      <c r="A16" s="2867" t="s">
        <v>1852</v>
      </c>
      <c r="B16" s="2868" t="s">
        <v>484</v>
      </c>
      <c r="C16" s="53">
        <f ca="1">ROUND(D16*E16/10000,0)</f>
        <v>7167</v>
      </c>
      <c r="D16" s="2869">
        <f ca="1">IF(B1="",'数据-汇总表'!E3,INDIRECT("'数据-取费表'!K"&amp;$K$1)+INDIRECT("'数据-取费表'!S"&amp;$K$1))</f>
        <v>358341</v>
      </c>
      <c r="E16" s="53">
        <f>'数据-取费表'!B35</f>
        <v>200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1853</v>
      </c>
      <c r="B17" s="2868" t="s">
        <v>485</v>
      </c>
      <c r="C17" s="2873">
        <f ca="1">ROUND(C13*F17,0)</f>
        <v>1150</v>
      </c>
      <c r="D17" s="475"/>
      <c r="E17" s="2873"/>
      <c r="F17" s="2874">
        <f>'数据-取费表'!B36</f>
        <v>1.4999999999999999E-2</v>
      </c>
      <c r="G17" s="261" t="s">
        <v>486</v>
      </c>
      <c r="H17" s="2840"/>
      <c r="I17" s="2840"/>
      <c r="J17" s="2840"/>
      <c r="K17" s="279"/>
    </row>
    <row r="18" spans="1:14" s="2116" customFormat="1" ht="13.5" customHeight="1">
      <c r="A18" s="2875" t="s">
        <v>1854</v>
      </c>
      <c r="B18" s="2876" t="s">
        <v>487</v>
      </c>
      <c r="C18" s="2877">
        <f ca="1">SUM(C13:C17)</f>
        <v>90171</v>
      </c>
      <c r="D18" s="2878"/>
      <c r="E18" s="468"/>
      <c r="F18" s="468"/>
      <c r="G18" s="2841" t="s">
        <v>2430</v>
      </c>
      <c r="H18" s="2842"/>
      <c r="I18" s="2842"/>
      <c r="J18" s="2842"/>
      <c r="K18" s="2843"/>
    </row>
    <row r="19" spans="1:14" s="2116" customFormat="1" ht="13.5" customHeight="1">
      <c r="A19" s="2875" t="s">
        <v>1855</v>
      </c>
      <c r="B19" s="2876" t="s">
        <v>488</v>
      </c>
      <c r="C19" s="2833">
        <f ca="1">ROUND(D19*E19/10000,0)</f>
        <v>3583</v>
      </c>
      <c r="D19" s="2879">
        <f ca="1">D16</f>
        <v>358341</v>
      </c>
      <c r="E19" s="2833">
        <f>'数据-取费表'!B32</f>
        <v>100</v>
      </c>
      <c r="F19" s="468"/>
      <c r="G19" s="2837" t="s">
        <v>489</v>
      </c>
      <c r="H19" s="2838"/>
      <c r="I19" s="2842"/>
      <c r="J19" s="2842"/>
      <c r="K19" s="2843"/>
    </row>
    <row r="20" spans="1:14" s="2116" customFormat="1" ht="13.5" customHeight="1">
      <c r="A20" s="2875" t="s">
        <v>1856</v>
      </c>
      <c r="B20" s="2876" t="s">
        <v>490</v>
      </c>
      <c r="C20" s="2833">
        <f ca="1">C21+C22-IF(B1="",'数据-取费表'!B29,IF(G20="已全部缴纳",C21+C22,H20))</f>
        <v>3118</v>
      </c>
      <c r="D20" s="2879"/>
      <c r="E20" s="2833"/>
      <c r="F20" s="2880"/>
      <c r="G20" s="3112"/>
      <c r="H20" s="2835"/>
      <c r="I20" s="2836" t="s">
        <v>2653</v>
      </c>
      <c r="J20" s="2842"/>
      <c r="K20" s="2843"/>
    </row>
    <row r="21" spans="1:14" s="2116" customFormat="1" ht="13.5" customHeight="1">
      <c r="A21" s="2867" t="s">
        <v>1857</v>
      </c>
      <c r="B21" s="2868" t="s">
        <v>491</v>
      </c>
      <c r="C21" s="53">
        <f ca="1">ROUND(D21*E21/10000,0)</f>
        <v>2197</v>
      </c>
      <c r="D21" s="2869">
        <f ca="1">IF(B1="",'数据-汇总表'!E5,IF(INDIRECT("'数据-取费表'!c"&amp;$K$1)="住宅",INDIRECT("'数据-取费表'!k"&amp;$K$1),0))</f>
        <v>252484</v>
      </c>
      <c r="E21" s="53">
        <f>'数据-取费表'!B27</f>
        <v>87</v>
      </c>
      <c r="F21" s="2872"/>
      <c r="G21" s="26"/>
      <c r="H21" s="51"/>
      <c r="I21" s="51"/>
      <c r="J21" s="51"/>
      <c r="K21" s="2844"/>
    </row>
    <row r="22" spans="1:14" s="2116" customFormat="1" ht="13.5" customHeight="1">
      <c r="A22" s="2867" t="s">
        <v>1858</v>
      </c>
      <c r="B22" s="2868" t="s">
        <v>492</v>
      </c>
      <c r="C22" s="53">
        <f ca="1">ROUND(D22*E22/10000,0)</f>
        <v>921</v>
      </c>
      <c r="D22" s="2869">
        <f ca="1">IF(B1="",'数据-汇总表'!E6,IF(INDIRECT("'数据-取费表'!c"&amp;$K$1)="住宅",INDIRECT("'数据-取费表'!s"&amp;$K$1),INDIRECT("'数据-取费表'!k"&amp;$K$1)+INDIRECT("'数据-取费表'!s"&amp;$K$1)))</f>
        <v>105857</v>
      </c>
      <c r="E22" s="53">
        <f>'数据-取费表'!B28</f>
        <v>87</v>
      </c>
      <c r="F22" s="2872"/>
      <c r="G22" s="26"/>
      <c r="H22" s="51"/>
      <c r="I22" s="51"/>
      <c r="J22" s="51"/>
      <c r="K22" s="2844"/>
    </row>
    <row r="23" spans="1:14" s="2116" customFormat="1" ht="13.5" customHeight="1">
      <c r="A23" s="2875" t="s">
        <v>1859</v>
      </c>
      <c r="B23" s="3059" t="s">
        <v>2836</v>
      </c>
      <c r="C23" s="2877">
        <f ca="1">ROUND((C18+C19+C20)*F23,0)</f>
        <v>1937</v>
      </c>
      <c r="D23" s="468"/>
      <c r="E23" s="468"/>
      <c r="F23" s="2881">
        <f>'数据-取费表'!B37</f>
        <v>0.02</v>
      </c>
      <c r="G23" s="2837" t="s">
        <v>2431</v>
      </c>
      <c r="H23" s="2838"/>
      <c r="I23" s="2838"/>
      <c r="J23" s="2838"/>
      <c r="K23" s="2839"/>
      <c r="L23" s="2118"/>
      <c r="M23" s="2118"/>
      <c r="N23" s="2118"/>
    </row>
    <row r="24" spans="1:14" s="2116" customFormat="1" ht="13.5" customHeight="1">
      <c r="A24" s="2875" t="s">
        <v>1860</v>
      </c>
      <c r="B24" s="3059" t="s">
        <v>2839</v>
      </c>
      <c r="C24" s="2877">
        <f ca="1">ROUND(C6*F24,0)</f>
        <v>4721</v>
      </c>
      <c r="D24" s="475"/>
      <c r="E24" s="473"/>
      <c r="F24" s="2881">
        <f>'数据-取费表'!B38</f>
        <v>0.02</v>
      </c>
      <c r="G24" s="2846" t="s">
        <v>499</v>
      </c>
      <c r="H24" s="2840"/>
      <c r="I24" s="2840"/>
      <c r="J24" s="2840"/>
      <c r="K24" s="279"/>
      <c r="L24" s="2118"/>
      <c r="M24" s="2118"/>
      <c r="N24" s="2118"/>
    </row>
    <row r="25" spans="1:14" s="2119" customFormat="1" ht="13.5" customHeight="1">
      <c r="A25" s="2875" t="s">
        <v>1861</v>
      </c>
      <c r="B25" s="3059" t="s">
        <v>2837</v>
      </c>
      <c r="C25" s="467">
        <f>ROUND(F25/(1+'数据-取费表'!C42),4)</f>
        <v>2.9000000000000001E-2</v>
      </c>
      <c r="D25" s="462" t="s">
        <v>2831</v>
      </c>
      <c r="E25" s="469"/>
      <c r="F25" s="2881">
        <f>'数据-取费表'!B48+'数据-取费表'!B49</f>
        <v>3.0499999999999999E-2</v>
      </c>
      <c r="G25" s="2845" t="s">
        <v>2290</v>
      </c>
      <c r="H25" s="2838"/>
      <c r="I25" s="2838"/>
      <c r="J25" s="2838"/>
      <c r="K25" s="2839"/>
    </row>
    <row r="26" spans="1:14" s="2118" customFormat="1" ht="13.5" customHeight="1">
      <c r="A26" s="2875" t="s">
        <v>1862</v>
      </c>
      <c r="B26" s="3060" t="s">
        <v>2838</v>
      </c>
      <c r="C26" s="2882">
        <f ca="1">C28</f>
        <v>7463</v>
      </c>
      <c r="D26" s="467">
        <f ca="1">C27</f>
        <v>0.1537</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0" customFormat="1" ht="13.5" customHeight="1">
      <c r="A27" s="803" t="s">
        <v>1857</v>
      </c>
      <c r="B27" s="2883" t="s">
        <v>496</v>
      </c>
      <c r="C27" s="2884">
        <f ca="1">ROUND(IF('数据-取费表'!B22&lt;=1,(1+C25)*F26*'数据-取费表'!B24,(1+C25)*(POWER((1+F26),'数据-取费表'!B24)-1)),4)</f>
        <v>0.1537</v>
      </c>
      <c r="D27" s="472"/>
      <c r="E27" s="473"/>
      <c r="F27" s="474"/>
      <c r="G27" s="2596" t="str">
        <f>IF('数据-取费表'!B22&lt;=1,"（1+取得税费率/(1+5%)）×年利率×建设期","（1+取得税费率）/(1+5%)×((1+年利率)^建设期-1)")</f>
        <v>（1+取得税费率）/(1+5%)×((1+年利率)^建设期-1)</v>
      </c>
      <c r="H27" s="2840"/>
      <c r="I27" s="2840"/>
      <c r="J27" s="2840"/>
      <c r="K27" s="279"/>
    </row>
    <row r="28" spans="1:14" s="2120" customFormat="1" ht="13.5" customHeight="1">
      <c r="A28" s="803" t="s">
        <v>1858</v>
      </c>
      <c r="B28" s="2883" t="s">
        <v>2840</v>
      </c>
      <c r="C28" s="2885">
        <f ca="1">ROUND(IF('数据-取费表'!B22&lt;=1,(C18+C19+C20+C23+C24)*F26*'数据-取费表'!B24/2,(C18+C19+C20+C23+C24)*(POWER((1+F26),'数据-取费表'!B24/2)-1)),0)</f>
        <v>7463</v>
      </c>
      <c r="D28" s="472"/>
      <c r="E28" s="473"/>
      <c r="F28" s="474"/>
      <c r="G28" s="2596" t="str">
        <f>IF('数据-取费表'!B22&lt;=1,"（1）-（4）项×年利率×建设期÷2","（1）-（4）项×((1+年利率)^(建设期÷2)-1)")</f>
        <v>（1）-（4）项×((1+年利率)^(建设期÷2)-1)</v>
      </c>
      <c r="H28" s="2840"/>
      <c r="I28" s="2840"/>
      <c r="J28" s="2840"/>
      <c r="K28" s="279"/>
    </row>
    <row r="29" spans="1:14" s="2120" customFormat="1" ht="13.5" customHeight="1">
      <c r="A29" s="2886" t="s">
        <v>1863</v>
      </c>
      <c r="B29" s="2876" t="s">
        <v>497</v>
      </c>
      <c r="C29" s="2877">
        <f ca="1">ROUND(C6*F29/(1+'数据-取费表'!C42),0)</f>
        <v>12364</v>
      </c>
      <c r="D29" s="468"/>
      <c r="E29" s="468"/>
      <c r="F29" s="3061">
        <f>'数据-取费表'!B41</f>
        <v>5.5000000000000007E-2</v>
      </c>
      <c r="G29" s="2846" t="s">
        <v>498</v>
      </c>
      <c r="H29" s="2838"/>
      <c r="I29" s="2838"/>
      <c r="J29" s="2838"/>
      <c r="K29" s="2839"/>
    </row>
    <row r="30" spans="1:14" s="2121" customFormat="1" ht="13.5" customHeight="1">
      <c r="A30" s="1634" t="s">
        <v>1864</v>
      </c>
      <c r="B30" s="2887" t="s">
        <v>500</v>
      </c>
      <c r="C30" s="2882">
        <f ca="1">C31</f>
        <v>123357</v>
      </c>
      <c r="D30" s="477">
        <f ca="1">C32</f>
        <v>0.1827</v>
      </c>
      <c r="E30" s="469" t="s">
        <v>495</v>
      </c>
      <c r="F30" s="471"/>
      <c r="G30" s="2837" t="s">
        <v>501</v>
      </c>
      <c r="H30" s="2838"/>
      <c r="I30" s="2838"/>
      <c r="J30" s="2838"/>
      <c r="K30" s="2839"/>
    </row>
    <row r="31" spans="1:14" s="2120" customFormat="1" ht="13.5" customHeight="1">
      <c r="A31" s="803" t="s">
        <v>1857</v>
      </c>
      <c r="B31" s="2883"/>
      <c r="C31" s="450">
        <f ca="1">C18+C19+C20+C23+C24+C26+C29</f>
        <v>123357</v>
      </c>
      <c r="D31" s="472"/>
      <c r="E31" s="473"/>
      <c r="F31" s="474"/>
      <c r="G31" s="261"/>
      <c r="H31" s="2840"/>
      <c r="I31" s="2840"/>
      <c r="J31" s="2840"/>
      <c r="K31" s="279"/>
    </row>
    <row r="32" spans="1:14" s="2120" customFormat="1" ht="13.5" customHeight="1">
      <c r="A32" s="803" t="s">
        <v>1858</v>
      </c>
      <c r="B32" s="2883"/>
      <c r="C32" s="53">
        <f ca="1">ROUND(C25+D26,4)</f>
        <v>0.1827</v>
      </c>
      <c r="D32" s="472"/>
      <c r="E32" s="473"/>
      <c r="F32" s="474"/>
      <c r="G32" s="261"/>
      <c r="H32" s="2840"/>
      <c r="I32" s="2840"/>
      <c r="J32" s="2840"/>
      <c r="K32" s="279"/>
    </row>
    <row r="33" spans="1:11" s="2122" customFormat="1" ht="13.5" customHeight="1">
      <c r="A33" s="3058" t="s">
        <v>2835</v>
      </c>
      <c r="B33" s="3056" t="s">
        <v>2833</v>
      </c>
      <c r="C33" s="478">
        <f ca="1">C35</f>
        <v>14494</v>
      </c>
      <c r="D33" s="467">
        <f ca="1">C34</f>
        <v>0.14410000000000001</v>
      </c>
      <c r="E33" s="469" t="s">
        <v>495</v>
      </c>
      <c r="F33" s="479">
        <f ca="1">IF(B1="",'数据-取费表'!Q16,INDIRECT("'数据-取费表'!q"&amp;$K$1))</f>
        <v>0.14000000000000001</v>
      </c>
      <c r="G33" s="2841"/>
      <c r="H33" s="2842"/>
      <c r="I33" s="2842"/>
      <c r="J33" s="2842"/>
      <c r="K33" s="2843"/>
    </row>
    <row r="34" spans="1:11" s="2123" customFormat="1" ht="13.5" customHeight="1">
      <c r="A34" s="375" t="s">
        <v>1857</v>
      </c>
      <c r="B34" s="2888" t="s">
        <v>502</v>
      </c>
      <c r="C34" s="472">
        <f ca="1">ROUND((1+C25)*F33,4)</f>
        <v>0.14410000000000001</v>
      </c>
      <c r="D34" s="472"/>
      <c r="E34" s="473"/>
      <c r="F34" s="480"/>
      <c r="G34" s="261" t="s">
        <v>2291</v>
      </c>
      <c r="H34" s="2840"/>
      <c r="I34" s="2840"/>
      <c r="J34" s="2840"/>
      <c r="K34" s="279"/>
    </row>
    <row r="35" spans="1:11" s="2123" customFormat="1" ht="13.5" customHeight="1" thickBot="1">
      <c r="A35" s="1635" t="s">
        <v>1858</v>
      </c>
      <c r="B35" s="3057" t="s">
        <v>2841</v>
      </c>
      <c r="C35" s="1627">
        <f ca="1">ROUND((C18+C19+C20+C23+C24)*F33,0)</f>
        <v>14494</v>
      </c>
      <c r="D35" s="1628"/>
      <c r="E35" s="2889"/>
      <c r="F35" s="1629"/>
      <c r="G35" s="2847"/>
      <c r="H35" s="2848"/>
      <c r="I35" s="2848"/>
      <c r="J35" s="2848"/>
      <c r="K35" s="2849"/>
    </row>
    <row r="36" spans="1:11" s="2085" customFormat="1" ht="13.5" customHeight="1" thickBot="1">
      <c r="A36" s="284" t="s">
        <v>1845</v>
      </c>
      <c r="B36" s="2851"/>
      <c r="C36" s="2890">
        <f ca="1">ROUND((C6-C30-C33)/(1+D30+D33),0)</f>
        <v>74005</v>
      </c>
      <c r="D36" s="2851"/>
      <c r="E36" s="2851"/>
      <c r="F36" s="2851"/>
      <c r="G36" s="2850" t="s">
        <v>2842</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34" sqref="D34"/>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2658</v>
      </c>
      <c r="B1" s="2916" t="s">
        <v>2755</v>
      </c>
    </row>
    <row r="2" spans="1:55" s="2920" customFormat="1" ht="15" thickTop="1">
      <c r="A2" s="2918" t="s">
        <v>2662</v>
      </c>
      <c r="B2" s="2919" t="str">
        <f>'预评函-封皮'!B37</f>
        <v>广东省惠州市博罗县龙溪镇宫庭村南水园（土名）441322021003GB00392W00000000、441322021003GB00393W00000000、441322021003GB01260W00000000号共计三宗住宅、商业、地下车库用地出让国有建设用地使用权抵押价格预评估</v>
      </c>
      <c r="AX2" s="2921"/>
      <c r="AZ2" s="2921"/>
      <c r="BA2" s="2922"/>
      <c r="BC2" s="2922"/>
    </row>
    <row r="3" spans="1:55" s="2923" customFormat="1">
      <c r="A3" s="2902" t="s">
        <v>2663</v>
      </c>
      <c r="B3" s="2905">
        <f>'预评函-封皮'!B40</f>
        <v>0</v>
      </c>
    </row>
    <row r="4" spans="1:55" s="2904" customFormat="1">
      <c r="A4" s="2902" t="s">
        <v>2664</v>
      </c>
      <c r="B4" s="2903" t="str">
        <f>'预评函-封皮'!B46</f>
        <v>吴薇、刘梅</v>
      </c>
      <c r="N4" s="2904" t="str">
        <f>'预评函-1'!A28</f>
        <v/>
      </c>
    </row>
    <row r="5" spans="1:55" s="2917" customFormat="1" ht="15" thickBot="1">
      <c r="A5" s="2924" t="s">
        <v>2665</v>
      </c>
      <c r="B5" s="2925" t="str">
        <f>'预评函-封皮'!B49</f>
        <v>康正预评字2018-1-0098-P01DYGJ2号</v>
      </c>
    </row>
    <row r="6" spans="1:55" s="2926" customFormat="1" ht="15" thickTop="1">
      <c r="A6" s="2918" t="s">
        <v>2707</v>
      </c>
      <c r="B6" s="2919" t="str">
        <f>'预评函-1'!A4</f>
        <v>受贵公司委托，我公司对广东省惠州市博罗县龙溪镇宫庭村南水园（土名）441322021003GB00392W00000000、441322021003GB00393W00000000、441322021003GB01260W00000000号共计三宗住宅、商业、地下车库用地出让国有建设用地使用权抵押价格进行了预评估。</v>
      </c>
      <c r="AM6" s="2927"/>
    </row>
    <row r="7" spans="1:55" s="2901" customFormat="1">
      <c r="A7" s="2902" t="s">
        <v>2659</v>
      </c>
      <c r="B7" s="2903" t="str">
        <f>'预评函-1'!A6</f>
        <v>估价对象为惠州市红升房地产开发有限公司使用的、位于广东省惠州市博罗县龙溪镇宫庭村南水园（土名）441322021003GB00392W00000000、441322021003GB00393W00000000、441322021003GB01260W00000000号共计三宗住宅、商业、地下车库用地出让国有建设用地使用权。根据《国有土地使用证》[粤（2016）博罗县不动产权第0000002、0000003、0000005号]，估价对象（分摊）出让国有建设用地使用权面积为74806平方米。根据《项目总指标》，估价对象规划建筑面积为358341平方米。</v>
      </c>
    </row>
    <row r="8" spans="1:55" s="2901" customFormat="1">
      <c r="A8" s="2902" t="s">
        <v>2660</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2710</v>
      </c>
      <c r="B9" s="2903"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2661</v>
      </c>
      <c r="B10" s="2903" t="str">
        <f>'预评函-1'!A11</f>
        <v>2018年2月7日（评估专业人员勘察现场之日）</v>
      </c>
    </row>
    <row r="11" spans="1:55" s="2901" customFormat="1">
      <c r="A11" s="2902" t="s">
        <v>2667</v>
      </c>
      <c r="B11" s="2903" t="str">
        <f>'预评函-1'!A14</f>
        <v>根据《国有土地使用证》[粤（2016）博罗县不动产权第0000002、0000003、0000005号]，本次评估估价对象证载（地类）用途为城镇住宅用地。</v>
      </c>
    </row>
    <row r="12" spans="1:55" s="2901" customFormat="1">
      <c r="A12" s="2902" t="s">
        <v>2668</v>
      </c>
      <c r="B12" s="2903" t="str">
        <f>'预评函-1'!A15</f>
        <v>根据《项目总指标》，估价对象土地规划用途为住宅、商业、地下车库，上述用途符合《国有土地使用证》证载地类范围。本次评估设定用途为住宅、商业、地下车库。</v>
      </c>
    </row>
    <row r="13" spans="1:55" s="2901" customFormat="1">
      <c r="A13" s="2902" t="s">
        <v>2669</v>
      </c>
      <c r="B13" s="2903" t="str">
        <f>'预评函-1'!A17</f>
        <v>根据委托估价方介绍及评估专业人员现场勘查，本次评估估价对象实际土地开发程度为红线外市政基础设施达“七通”（即通路、通电、通上水、、、、）、宗地红线内场地平整。</v>
      </c>
    </row>
    <row r="14" spans="1:55" s="2901" customFormat="1">
      <c r="A14" s="2902" t="s">
        <v>2670</v>
      </c>
      <c r="B14" s="2903" t="str">
        <f>'预评函-1'!A18</f>
        <v>本次评估设定土地开发程度为红线外市政基础设施达“七通”、宗地红线内场地平整。</v>
      </c>
    </row>
    <row r="15" spans="1:55" s="2901" customFormat="1">
      <c r="A15" s="2902" t="s">
        <v>2666</v>
      </c>
      <c r="B15" s="2903" t="str">
        <f>'预评函-1'!A20</f>
        <v>根据《国有土地使用证》[粤（2016）博罗县不动产权第0000002、0000003、0000005号]，估价对象（分摊）出让国有建设用地使用权面积为74806平方米。根据《项目总指标》，估价对象规划建筑面积为358341平方米。</v>
      </c>
    </row>
    <row r="16" spans="1:55" s="2901" customFormat="1">
      <c r="A16" s="2902" t="s">
        <v>2671</v>
      </c>
      <c r="B16" s="2903" t="str">
        <f>'预评函-1'!A22</f>
        <v>本次估价对象为出让国有建设用地使用权，依据《国有土地使用证》[粤（2016）博罗县不动产权第0000002、0000003、0000005号]、《项目总指标》，土地终止日期为住宅2081年12月31日、商业2051年12月31日车库2061年12月31日。截至估价期日，出让国有建设用地使用权剩余土地使用年限为住宅63.9年、商业33.9年、地下车库43.9年。</v>
      </c>
    </row>
    <row r="17" spans="1:48" s="2901" customFormat="1">
      <c r="A17" s="2902" t="s">
        <v>2672</v>
      </c>
      <c r="B17" s="2903" t="str">
        <f>'预评函-1'!A23</f>
        <v>本次评估设定估价对象剩余土地使用年限为住宅63.9年、商业33.9年、地下车库43.9年。</v>
      </c>
    </row>
    <row r="18" spans="1:48" s="2901" customFormat="1">
      <c r="A18" s="2902" t="s">
        <v>2673</v>
      </c>
      <c r="B18" s="2903" t="str">
        <f>'预评函-1'!A25</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住宅63.9年、商业33.9年、地下车库43.9年的出让国有建设用地使用权价格。</v>
      </c>
    </row>
    <row r="19" spans="1:48" s="2901" customFormat="1">
      <c r="A19" s="2902" t="s">
        <v>2674</v>
      </c>
      <c r="B19" s="2903"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1" customFormat="1">
      <c r="A20" s="2902" t="s">
        <v>2675</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2676</v>
      </c>
      <c r="B21" s="2925" t="str">
        <f>'预评函-1'!A28</f>
        <v/>
      </c>
    </row>
    <row r="22" spans="1:48" ht="15" thickTop="1">
      <c r="A22" s="2913" t="s">
        <v>2677</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2678</v>
      </c>
      <c r="B23" s="2903" t="str">
        <f>'预评函-2'!K2</f>
        <v>估价期日：2018年2月7日</v>
      </c>
    </row>
    <row r="24" spans="1:48">
      <c r="A24" s="2902" t="s">
        <v>2679</v>
      </c>
      <c r="B24" s="2903" t="str">
        <f>'预评函-2'!R2</f>
        <v>估价期日的国有建设用地使用权性质：出让</v>
      </c>
    </row>
    <row r="25" spans="1:48">
      <c r="A25" s="2902" t="s">
        <v>2735</v>
      </c>
      <c r="B25" s="2903" t="str">
        <f>'预评函-2'!A3</f>
        <v>估价期日土地使用者</v>
      </c>
    </row>
    <row r="26" spans="1:48">
      <c r="A26" s="2902" t="s">
        <v>2711</v>
      </c>
      <c r="B26" s="2903" t="str">
        <f>'预评函-2'!A5</f>
        <v>中信开发</v>
      </c>
    </row>
    <row r="27" spans="1:48">
      <c r="A27" s="2902" t="s">
        <v>2736</v>
      </c>
      <c r="B27" s="2903" t="str">
        <f>'预评函-2'!B3</f>
        <v>宗地编号/不动产单元号</v>
      </c>
    </row>
    <row r="28" spans="1:48">
      <c r="A28" s="2902" t="s">
        <v>2712</v>
      </c>
      <c r="B28" s="2903" t="str">
        <f>'预评函-2'!B5</f>
        <v>11111111111</v>
      </c>
    </row>
    <row r="29" spans="1:48">
      <c r="A29" s="2902" t="s">
        <v>2738</v>
      </c>
      <c r="B29" s="2903">
        <f>'预评函-2'!C5</f>
        <v>22</v>
      </c>
    </row>
    <row r="30" spans="1:48">
      <c r="A30" s="2902" t="s">
        <v>2739</v>
      </c>
      <c r="B30" s="2903" t="str">
        <f>'预评函-2'!D3</f>
        <v>土地使用证编号/不动产权证书编号</v>
      </c>
    </row>
    <row r="31" spans="1:48">
      <c r="A31" s="2902" t="s">
        <v>2713</v>
      </c>
      <c r="B31" s="2903" t="str">
        <f>'预评函-2'!D5</f>
        <v>京国土字第111号</v>
      </c>
    </row>
    <row r="32" spans="1:48">
      <c r="A32" s="2902" t="s">
        <v>2714</v>
      </c>
      <c r="B32" s="2903" t="str">
        <f>'预评函-2'!E5</f>
        <v>城镇住宅用地</v>
      </c>
      <c r="AV32" s="2907"/>
    </row>
    <row r="33" spans="1:2">
      <c r="A33" s="2902" t="s">
        <v>2715</v>
      </c>
      <c r="B33" s="2903">
        <f>'预评函-2'!F5</f>
        <v>258</v>
      </c>
    </row>
    <row r="34" spans="1:2">
      <c r="A34" s="2902" t="s">
        <v>2716</v>
      </c>
      <c r="B34" s="2903" t="str">
        <f>'预评函-2'!G5</f>
        <v>住宅、商业、地下车库</v>
      </c>
    </row>
    <row r="35" spans="1:2">
      <c r="A35" s="2902" t="s">
        <v>2717</v>
      </c>
      <c r="B35" s="2903">
        <f>'预评函-2'!H5</f>
        <v>1.5</v>
      </c>
    </row>
    <row r="36" spans="1:2">
      <c r="A36" s="2902" t="s">
        <v>2718</v>
      </c>
      <c r="B36" s="2903">
        <f>'预评函-2'!I5</f>
        <v>1.5</v>
      </c>
    </row>
    <row r="37" spans="1:2">
      <c r="A37" s="2902" t="s">
        <v>2719</v>
      </c>
      <c r="B37" s="2903">
        <f>'预评函-2'!J5</f>
        <v>1.5</v>
      </c>
    </row>
    <row r="38" spans="1:2">
      <c r="A38" s="2902" t="s">
        <v>2720</v>
      </c>
      <c r="B38" s="2903" t="str">
        <f>'预评函-2'!K5</f>
        <v>红线外七通、宗地红线内场地平整</v>
      </c>
    </row>
    <row r="39" spans="1:2">
      <c r="A39" s="2902" t="s">
        <v>2721</v>
      </c>
      <c r="B39" s="2903" t="str">
        <f>'预评函-2'!L5</f>
        <v>红线外七通、宗地红线内场地平整</v>
      </c>
    </row>
    <row r="40" spans="1:2">
      <c r="A40" s="2902" t="s">
        <v>2740</v>
      </c>
      <c r="B40" s="2903" t="str">
        <f>'预评函-2'!M3</f>
        <v>（剩余）土地使用年限/年</v>
      </c>
    </row>
    <row r="41" spans="1:2">
      <c r="A41" s="2902" t="s">
        <v>2722</v>
      </c>
      <c r="B41" s="2903" t="str">
        <f>'预评函-2'!M5</f>
        <v>住宅63.9年、商业33.9年、地下车库43.9年</v>
      </c>
    </row>
    <row r="42" spans="1:2">
      <c r="A42" s="2902" t="s">
        <v>2741</v>
      </c>
      <c r="B42" s="2903" t="str">
        <f>'预评函-2'!N3</f>
        <v>（分摊）出让国有建设用地使用权面积/㎡</v>
      </c>
    </row>
    <row r="43" spans="1:2">
      <c r="A43" s="2902" t="s">
        <v>2723</v>
      </c>
      <c r="B43" s="2903">
        <f>'预评函-2'!N5</f>
        <v>74806</v>
      </c>
    </row>
    <row r="44" spans="1:2">
      <c r="A44" s="2902" t="s">
        <v>2742</v>
      </c>
      <c r="B44" s="2903" t="str">
        <f>'预评函-2'!O3</f>
        <v>规划建筑面积/㎡</v>
      </c>
    </row>
    <row r="45" spans="1:2">
      <c r="A45" s="2902" t="s">
        <v>2724</v>
      </c>
      <c r="B45" s="2903">
        <f>'预评函-2'!O5</f>
        <v>358341</v>
      </c>
    </row>
    <row r="46" spans="1:2">
      <c r="A46" s="2902" t="s">
        <v>2725</v>
      </c>
      <c r="B46" s="2903">
        <f ca="1">'预评函-2'!P5</f>
        <v>8790</v>
      </c>
    </row>
    <row r="47" spans="1:2">
      <c r="A47" s="2902" t="s">
        <v>2726</v>
      </c>
      <c r="B47" s="2903">
        <f ca="1">'预评函-2'!Q5</f>
        <v>1835</v>
      </c>
    </row>
    <row r="48" spans="1:2">
      <c r="A48" s="2902" t="s">
        <v>2727</v>
      </c>
      <c r="B48" s="2903">
        <f ca="1">'预评函-2'!R5</f>
        <v>65752</v>
      </c>
    </row>
    <row r="49" spans="1:2">
      <c r="A49" s="2902" t="s">
        <v>2743</v>
      </c>
      <c r="B49" s="2903" t="str">
        <f>'预评函-2'!A6</f>
        <v>抵押价格</v>
      </c>
    </row>
    <row r="50" spans="1:2">
      <c r="A50" s="2902" t="s">
        <v>2728</v>
      </c>
      <c r="B50" s="2903" t="str">
        <f>'预评函-2'!R6</f>
        <v>——</v>
      </c>
    </row>
    <row r="51" spans="1:2">
      <c r="A51" s="2902" t="s">
        <v>2744</v>
      </c>
      <c r="B51" s="2903" t="str">
        <f>'预评函-2'!A7</f>
        <v>——</v>
      </c>
    </row>
    <row r="52" spans="1:2">
      <c r="A52" s="2902" t="s">
        <v>2729</v>
      </c>
      <c r="B52" s="2903">
        <f ca="1">'预评函-2'!R7</f>
        <v>65752</v>
      </c>
    </row>
    <row r="53" spans="1:2">
      <c r="A53" s="2902" t="s">
        <v>2745</v>
      </c>
      <c r="B53" s="2903" t="str">
        <f>'预评函-2'!A8</f>
        <v>——</v>
      </c>
    </row>
    <row r="54" spans="1:2" s="2917" customFormat="1" ht="15" thickBot="1">
      <c r="A54" s="2924" t="s">
        <v>2730</v>
      </c>
      <c r="B54" s="2925" t="str">
        <f>'预评函-2'!R8</f>
        <v>——</v>
      </c>
    </row>
    <row r="55" spans="1:2" ht="15" thickTop="1">
      <c r="A55" s="2913" t="s">
        <v>2680</v>
      </c>
      <c r="B55" s="2914" t="str">
        <f>'预评函-3'!A2</f>
        <v>1.权利限制：根据估价对象————、《国有土地使用权》原件，截至估价期日，估价对象已设定抵押。未设定租赁等其他他项权利。</v>
      </c>
    </row>
    <row r="56" spans="1:2">
      <c r="A56" s="2902" t="s">
        <v>2681</v>
      </c>
      <c r="B56" s="2903" t="str">
        <f>'预评函-3'!A3</f>
        <v>2.基础设施条件：估价对象实际开发程度为红线外七通、宗地红线内场地平整；本次评估设定开发程度为红线外七通、宗地红线内场地平整。</v>
      </c>
    </row>
    <row r="57" spans="1:2">
      <c r="A57" s="2902" t="s">
        <v>2682</v>
      </c>
      <c r="B57" s="2903" t="str">
        <f>'预评函-3'!A4</f>
        <v>3.估价规划限制条件：详见《项目总指标》。</v>
      </c>
    </row>
    <row r="58" spans="1:2" s="2917" customFormat="1" ht="15" thickBot="1">
      <c r="A58" s="2924" t="s">
        <v>2731</v>
      </c>
      <c r="B58" s="2925" t="str">
        <f>'预评函-3'!A5</f>
        <v>4.影响价格的其他限定条件：无。</v>
      </c>
    </row>
    <row r="59" spans="1:2" ht="15" thickTop="1">
      <c r="A59" s="2913" t="s">
        <v>2683</v>
      </c>
      <c r="B59" s="2914" t="str">
        <f>'预评函-3'!A8</f>
        <v>2.本《评估意见函》仅供金融机构进行内部审核使用，不做其他目的之用。</v>
      </c>
    </row>
    <row r="60" spans="1:2">
      <c r="A60" s="2902" t="s">
        <v>2684</v>
      </c>
      <c r="B60" s="2903" t="str">
        <f>'预评函-3'!A9</f>
        <v>3.抵押双方在办理抵押登记手续时，应使用本公司出具的正式《土地估价报告》，特提请报告使用者注意。</v>
      </c>
    </row>
    <row r="61" spans="1:2">
      <c r="A61" s="2902" t="s">
        <v>2686</v>
      </c>
      <c r="B61" s="2903" t="str">
        <f>'预评函-3'!A10</f>
        <v>4.估价师所知悉的法定优先受偿款情况为：</v>
      </c>
    </row>
    <row r="62" spans="1:2">
      <c r="A62" s="2902" t="s">
        <v>2685</v>
      </c>
      <c r="B62" s="2903" t="str">
        <f>'预评函-3'!A11</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2687</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2688</v>
      </c>
      <c r="B64" s="2908" t="str">
        <f>'预评函-3'!A13</f>
        <v>（3）。</v>
      </c>
    </row>
    <row r="65" spans="1:2">
      <c r="A65" s="2902" t="s">
        <v>2689</v>
      </c>
      <c r="B65" s="2909" t="str">
        <f>'预评函-3'!A14</f>
        <v>综上，本次评估不存在估价师知悉的法定优先受偿款</v>
      </c>
    </row>
    <row r="66" spans="1:2">
      <c r="A66" s="2902" t="s">
        <v>2690</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2691</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2694</v>
      </c>
      <c r="B68" s="2928">
        <f>'预评函-3'!D30</f>
        <v>42558</v>
      </c>
    </row>
    <row r="69" spans="1:2" ht="15" thickTop="1">
      <c r="A69" s="2913" t="s">
        <v>2692</v>
      </c>
      <c r="B69" s="2914" t="str">
        <f>'预评函-3'!A20</f>
        <v>吴薇</v>
      </c>
    </row>
    <row r="70" spans="1:2">
      <c r="A70" s="2902" t="s">
        <v>2692</v>
      </c>
      <c r="B70" s="2909">
        <f ca="1">'预评函-3'!B20</f>
        <v>2002110125</v>
      </c>
    </row>
    <row r="71" spans="1:2">
      <c r="A71" s="2902" t="s">
        <v>2693</v>
      </c>
      <c r="B71" s="2903" t="str">
        <f>'预评函-3'!A21</f>
        <v>刘梅</v>
      </c>
    </row>
    <row r="72" spans="1:2" s="2917" customFormat="1" ht="15" thickBot="1">
      <c r="A72" s="2924" t="s">
        <v>2693</v>
      </c>
      <c r="B72" s="2930">
        <f ca="1">'预评函-3'!B21</f>
        <v>2008110059</v>
      </c>
    </row>
    <row r="73" spans="1:2" ht="15" thickTop="1">
      <c r="A73" s="2913" t="s">
        <v>2752</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2753</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2754</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2789</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4"/>
      <c r="C1" s="2104"/>
      <c r="D1" s="2104"/>
      <c r="E1" s="2104"/>
      <c r="F1" s="2104"/>
      <c r="G1" s="2104"/>
      <c r="H1" s="2104"/>
      <c r="I1" s="2104"/>
      <c r="J1" s="2104"/>
      <c r="K1" s="422">
        <f>MATCH(B1,'数据-取费表'!A6:A16,0)+5</f>
        <v>9</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8"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2" t="s">
        <v>1849</v>
      </c>
      <c r="B13" s="449" t="s">
        <v>479</v>
      </c>
      <c r="C13" s="450">
        <f ca="1">IF(B1="",'数据-取费表'!M16,INDIRECT("'数据-取费表'!M"&amp;$K$1)+INDIRECT("'数据-取费表'!t"&amp;$K$1))</f>
        <v>76650</v>
      </c>
      <c r="D13" s="451"/>
      <c r="E13" s="365"/>
      <c r="F13" s="452"/>
      <c r="G13" s="444"/>
      <c r="H13" s="447"/>
      <c r="I13" s="447"/>
      <c r="J13" s="447"/>
      <c r="K13" s="448"/>
    </row>
    <row r="14" spans="1:41" s="2116" customFormat="1" ht="13.5" customHeight="1">
      <c r="A14" s="1632" t="s">
        <v>1850</v>
      </c>
      <c r="B14" s="449" t="s">
        <v>480</v>
      </c>
      <c r="C14" s="53">
        <f ca="1">ROUND(C13*F14,0)</f>
        <v>2300</v>
      </c>
      <c r="D14" s="451"/>
      <c r="E14" s="365"/>
      <c r="F14" s="453">
        <f>'数据-取费表'!B33</f>
        <v>0.03</v>
      </c>
      <c r="G14" s="444" t="s">
        <v>503</v>
      </c>
      <c r="H14" s="447"/>
      <c r="I14" s="447"/>
      <c r="J14" s="447"/>
      <c r="K14" s="448"/>
    </row>
    <row r="15" spans="1:41" s="2116" customFormat="1" ht="13.5" customHeight="1">
      <c r="A15" s="1632" t="s">
        <v>1851</v>
      </c>
      <c r="B15" s="449" t="s">
        <v>482</v>
      </c>
      <c r="C15" s="53">
        <f ca="1">ROUND(IF(B1="",SUMIF('数据-取费表'!C:C,"住宅",'数据-取费表'!M:M)*F15,IF(INDIRECT("'数据-取费表'!c"&amp;$K$1)="住宅",INDIRECT("'数据-取费表'!M"&amp;$K$1)*F15,0)),0)</f>
        <v>2904</v>
      </c>
      <c r="D15" s="451"/>
      <c r="E15" s="365"/>
      <c r="F15" s="453">
        <f>'数据-取费表'!B34</f>
        <v>0.05</v>
      </c>
      <c r="G15" s="444" t="s">
        <v>503</v>
      </c>
      <c r="H15" s="447"/>
      <c r="I15" s="447"/>
      <c r="J15" s="447"/>
      <c r="K15" s="448"/>
    </row>
    <row r="16" spans="1:41" s="2117" customFormat="1" ht="13.5" customHeight="1">
      <c r="A16" s="1632" t="s">
        <v>1852</v>
      </c>
      <c r="B16" s="449" t="s">
        <v>484</v>
      </c>
      <c r="C16" s="53">
        <f ca="1">ROUND(D16*E16/10000,0)</f>
        <v>7167</v>
      </c>
      <c r="D16" s="451">
        <f ca="1">IF(B1="",'数据-汇总表'!E3,INDIRECT("'数据-取费表'!K"&amp;$K$1)+INDIRECT("'数据-取费表'!S"&amp;$K$1))</f>
        <v>358341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9" t="s">
        <v>485</v>
      </c>
      <c r="C17" s="454">
        <f ca="1">ROUND(C13*F17,0)</f>
        <v>1150</v>
      </c>
      <c r="D17" s="455"/>
      <c r="E17" s="454"/>
      <c r="F17" s="456">
        <f>'数据-取费表'!B36</f>
        <v>1.4999999999999999E-2</v>
      </c>
      <c r="G17" s="444" t="s">
        <v>503</v>
      </c>
      <c r="H17" s="457"/>
      <c r="I17" s="457"/>
      <c r="J17" s="457"/>
      <c r="K17" s="458"/>
    </row>
    <row r="18" spans="1:14" s="2119" customFormat="1" ht="13.5" customHeight="1">
      <c r="A18" s="1633" t="s">
        <v>1854</v>
      </c>
      <c r="B18" s="459" t="s">
        <v>487</v>
      </c>
      <c r="C18" s="460">
        <f ca="1">SUM(C13:C17)</f>
        <v>90171</v>
      </c>
      <c r="D18" s="461"/>
      <c r="E18" s="462"/>
      <c r="F18" s="462"/>
      <c r="G18" s="1325" t="s">
        <v>2432</v>
      </c>
      <c r="H18" s="447"/>
      <c r="I18" s="447"/>
      <c r="J18" s="447"/>
      <c r="K18" s="448"/>
    </row>
    <row r="19" spans="1:14" s="2119" customFormat="1" ht="13.5" customHeight="1">
      <c r="A19" s="1633" t="s">
        <v>1855</v>
      </c>
      <c r="B19" s="459" t="s">
        <v>493</v>
      </c>
      <c r="C19" s="460">
        <f ca="1">ROUND(C18*F19,0)</f>
        <v>1803</v>
      </c>
      <c r="D19" s="462"/>
      <c r="E19" s="462"/>
      <c r="F19" s="466">
        <f>'数据-取费表'!B37</f>
        <v>0.02</v>
      </c>
      <c r="G19" s="444" t="s">
        <v>504</v>
      </c>
      <c r="H19" s="447"/>
      <c r="I19" s="447"/>
      <c r="J19" s="447"/>
      <c r="K19" s="448"/>
      <c r="L19" s="2121"/>
      <c r="M19" s="2121"/>
      <c r="N19" s="2121"/>
    </row>
    <row r="20" spans="1:14" s="2119" customFormat="1" ht="13.5" customHeight="1">
      <c r="A20" s="1633" t="s">
        <v>1856</v>
      </c>
      <c r="B20" s="459" t="s">
        <v>505</v>
      </c>
      <c r="C20" s="3054">
        <f>F20</f>
        <v>0.02</v>
      </c>
      <c r="D20" s="469" t="s">
        <v>506</v>
      </c>
      <c r="E20" s="469"/>
      <c r="F20" s="486">
        <f>'数据-取费表'!B38</f>
        <v>0.02</v>
      </c>
      <c r="G20" s="1325" t="s">
        <v>507</v>
      </c>
      <c r="H20" s="447"/>
      <c r="I20" s="447"/>
      <c r="J20" s="447"/>
      <c r="K20" s="448"/>
      <c r="L20" s="2121"/>
      <c r="M20" s="2121"/>
      <c r="N20" s="2121"/>
    </row>
    <row r="21" spans="1:14" s="2121" customFormat="1" ht="13.5" customHeight="1">
      <c r="A21" s="1633" t="s">
        <v>1859</v>
      </c>
      <c r="B21" s="461" t="s">
        <v>494</v>
      </c>
      <c r="C21" s="470">
        <f ca="1">C22</f>
        <v>6630</v>
      </c>
      <c r="D21" s="467">
        <f ca="1">C23</f>
        <v>1.4E-3</v>
      </c>
      <c r="E21" s="469" t="s">
        <v>508</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8" t="s">
        <v>2454</v>
      </c>
    </row>
    <row r="22" spans="1:14" s="2120" customFormat="1" ht="13.5" customHeight="1">
      <c r="A22" s="1632" t="s">
        <v>1849</v>
      </c>
      <c r="B22" s="1326" t="s">
        <v>2435</v>
      </c>
      <c r="C22" s="487">
        <f ca="1">ROUND(IF('数据-取费表'!B22&lt;=1,(C18+C19)*F21*'数据-取费表'!B20/2,(C18+C19)*(POWER((1+F21),'数据-取费表'!B20/2)-1)),0)</f>
        <v>6630</v>
      </c>
      <c r="D22" s="472"/>
      <c r="E22" s="473"/>
      <c r="F22" s="474"/>
      <c r="G22" s="2591" t="str">
        <f>IF('数据-取费表'!B22&lt;=1,"((1)+(2))×年利率×建设期÷2","((1)+(2))×((1+年利率)^(建设期÷2)-1)")</f>
        <v>((1)+(2))×((1+年利率)^(建设期÷2)-1)</v>
      </c>
      <c r="H22" s="457"/>
      <c r="I22" s="457"/>
      <c r="J22" s="457"/>
      <c r="K22" s="458"/>
    </row>
    <row r="23" spans="1:14" s="2120" customFormat="1" ht="13.5" customHeight="1">
      <c r="A23" s="1632" t="s">
        <v>1850</v>
      </c>
      <c r="B23" s="1326" t="s">
        <v>509</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3" t="s">
        <v>1860</v>
      </c>
      <c r="B24" s="3056" t="s">
        <v>2834</v>
      </c>
      <c r="C24" s="478">
        <f ca="1">C25</f>
        <v>12876</v>
      </c>
      <c r="D24" s="489">
        <f ca="1">C26</f>
        <v>2.8E-3</v>
      </c>
      <c r="E24" s="469" t="s">
        <v>508</v>
      </c>
      <c r="F24" s="479">
        <f ca="1">IF(B1="",'数据-取费表'!Q16,INDIRECT("'数据-取费表'!q"&amp;$K$1))</f>
        <v>0.14000000000000001</v>
      </c>
      <c r="G24" s="444"/>
      <c r="H24" s="447"/>
      <c r="I24" s="447"/>
      <c r="J24" s="447"/>
      <c r="K24" s="448"/>
    </row>
    <row r="25" spans="1:14" s="2120" customFormat="1" ht="13.5" customHeight="1">
      <c r="A25" s="1632" t="s">
        <v>1849</v>
      </c>
      <c r="B25" s="1326" t="s">
        <v>2436</v>
      </c>
      <c r="C25" s="490">
        <f ca="1">ROUND((C18+C19)*F24,0)</f>
        <v>12876</v>
      </c>
      <c r="D25" s="472"/>
      <c r="E25" s="473"/>
      <c r="F25" s="480"/>
      <c r="G25" s="1324" t="s">
        <v>2433</v>
      </c>
      <c r="H25" s="457"/>
      <c r="I25" s="457"/>
      <c r="J25" s="457"/>
      <c r="K25" s="458"/>
    </row>
    <row r="26" spans="1:14" s="2120" customFormat="1" ht="13.5" customHeight="1">
      <c r="A26" s="1632" t="s">
        <v>1850</v>
      </c>
      <c r="B26" s="1326" t="s">
        <v>510</v>
      </c>
      <c r="C26" s="491">
        <f ca="1">ROUND(F20*F24,4)</f>
        <v>2.8E-3</v>
      </c>
      <c r="D26" s="472"/>
      <c r="E26" s="481"/>
      <c r="F26" s="480"/>
      <c r="G26" s="1324" t="s">
        <v>511</v>
      </c>
      <c r="H26" s="457"/>
      <c r="I26" s="457"/>
      <c r="J26" s="457"/>
      <c r="K26" s="458"/>
    </row>
    <row r="27" spans="1:14" s="2120" customFormat="1" ht="13.5" customHeight="1">
      <c r="A27" s="1636" t="s">
        <v>1868</v>
      </c>
      <c r="B27" s="459" t="s">
        <v>512</v>
      </c>
      <c r="C27" s="3055">
        <f>ROUND(F27/(1+'数据-取费表'!C42),4)</f>
        <v>5.2400000000000002E-2</v>
      </c>
      <c r="D27" s="462" t="s">
        <v>2832</v>
      </c>
      <c r="E27" s="462"/>
      <c r="F27" s="466">
        <f>'数据-取费表'!B41</f>
        <v>5.5000000000000007E-2</v>
      </c>
      <c r="G27" s="1960" t="s">
        <v>2292</v>
      </c>
      <c r="H27" s="447"/>
      <c r="I27" s="447"/>
      <c r="J27" s="447"/>
      <c r="K27" s="448"/>
    </row>
    <row r="28" spans="1:14" s="2121" customFormat="1" ht="13.5" customHeight="1">
      <c r="A28" s="1636" t="s">
        <v>1869</v>
      </c>
      <c r="B28" s="476" t="s">
        <v>513</v>
      </c>
      <c r="C28" s="470">
        <f ca="1">ROUND((C18+C19+C21+C24)/(1-C20-D21-D24-C27),0)</f>
        <v>120728</v>
      </c>
      <c r="D28" s="477"/>
      <c r="E28" s="469"/>
      <c r="F28" s="471"/>
      <c r="G28" s="1325" t="s">
        <v>2434</v>
      </c>
      <c r="H28" s="447"/>
      <c r="I28" s="447"/>
      <c r="J28" s="447"/>
      <c r="K28" s="448"/>
    </row>
    <row r="29" spans="1:14" s="2121" customFormat="1" ht="13.5" customHeight="1">
      <c r="A29" s="1636" t="s">
        <v>1870</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7" t="s">
        <v>516</v>
      </c>
      <c r="H30" s="496"/>
      <c r="I30" s="496"/>
      <c r="J30" s="447"/>
      <c r="K30" s="448"/>
    </row>
    <row r="31" spans="1:14" s="2126" customFormat="1" ht="13.5" customHeight="1">
      <c r="A31" s="2506" t="s">
        <v>1866</v>
      </c>
      <c r="B31" s="1328"/>
      <c r="C31" s="500">
        <f>ROUND(C6*F31/(1+'数据-取费表'!C42),0)</f>
        <v>0</v>
      </c>
      <c r="D31" s="1329"/>
      <c r="E31" s="1329"/>
      <c r="F31" s="501">
        <f>'数据-取费表'!B41</f>
        <v>5.5000000000000007E-2</v>
      </c>
      <c r="G31" s="1330"/>
      <c r="H31" s="1330"/>
      <c r="I31" s="1330"/>
      <c r="J31" s="1331"/>
      <c r="K31" s="1332"/>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2455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M59" sqref="M59"/>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517</v>
      </c>
      <c r="B1" s="503"/>
      <c r="C1" s="504" t="s">
        <v>518</v>
      </c>
      <c r="D1" s="505" t="s">
        <v>519</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467</v>
      </c>
      <c r="B2" s="508">
        <f>F68</f>
        <v>57498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10">
        <f>ROUND(B2*10000/'数据-汇总表'!E3,0)</f>
        <v>1605</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4" customFormat="1" ht="28.5" customHeight="1">
      <c r="A4" s="511" t="s">
        <v>521</v>
      </c>
      <c r="B4" s="427">
        <f>IF(B48="单位面积地价",C50,ROUND(B2*10000/'数据-汇总表'!D3,0))</f>
        <v>7686</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512</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522</v>
      </c>
      <c r="B6" s="513"/>
      <c r="C6" s="3709" t="s">
        <v>523</v>
      </c>
      <c r="D6" s="3710"/>
      <c r="E6" s="3709" t="s">
        <v>524</v>
      </c>
      <c r="F6" s="3710"/>
      <c r="G6" s="3709" t="s">
        <v>525</v>
      </c>
      <c r="H6" s="3710"/>
      <c r="I6" s="3709" t="s">
        <v>526</v>
      </c>
      <c r="J6" s="3710"/>
      <c r="K6" s="514" t="s">
        <v>527</v>
      </c>
      <c r="L6" s="2133"/>
      <c r="M6" s="2132"/>
      <c r="N6" s="2132"/>
      <c r="O6" s="2134"/>
      <c r="P6" s="3711" t="s">
        <v>528</v>
      </c>
      <c r="Q6" s="3712"/>
      <c r="R6" s="3717" t="s">
        <v>524</v>
      </c>
      <c r="S6" s="3718"/>
      <c r="T6" s="3717" t="s">
        <v>525</v>
      </c>
      <c r="U6" s="3718"/>
      <c r="V6" s="3704" t="s">
        <v>526</v>
      </c>
      <c r="W6" s="3704"/>
      <c r="X6" s="1566"/>
      <c r="Y6" s="3717" t="s">
        <v>528</v>
      </c>
      <c r="Z6" s="3718"/>
      <c r="AA6" s="3706" t="s">
        <v>524</v>
      </c>
      <c r="AB6" s="3707" t="s">
        <v>525</v>
      </c>
      <c r="AC6" s="3706" t="s">
        <v>526</v>
      </c>
    </row>
    <row r="7" spans="1:30" ht="20.25">
      <c r="A7" s="515"/>
      <c r="B7" s="516"/>
      <c r="C7" s="3725" t="s">
        <v>2925</v>
      </c>
      <c r="D7" s="3726"/>
      <c r="E7" s="3725" t="s">
        <v>2926</v>
      </c>
      <c r="F7" s="3726"/>
      <c r="G7" s="3725" t="s">
        <v>2927</v>
      </c>
      <c r="H7" s="3726"/>
      <c r="I7" s="3725" t="s">
        <v>2928</v>
      </c>
      <c r="J7" s="3726"/>
      <c r="K7" s="514"/>
      <c r="L7" s="2133"/>
      <c r="M7" s="2132"/>
      <c r="N7" s="2132"/>
      <c r="O7" s="2134"/>
      <c r="P7" s="3713"/>
      <c r="Q7" s="3714"/>
      <c r="R7" s="3719"/>
      <c r="S7" s="3720"/>
      <c r="T7" s="3719"/>
      <c r="U7" s="3720"/>
      <c r="V7" s="3704"/>
      <c r="W7" s="3704"/>
      <c r="X7" s="1566"/>
      <c r="Y7" s="3719"/>
      <c r="Z7" s="3720"/>
      <c r="AA7" s="3707"/>
      <c r="AB7" s="3707"/>
      <c r="AC7" s="3707"/>
    </row>
    <row r="8" spans="1:30" ht="49.5" customHeight="1" thickBot="1">
      <c r="A8" s="515"/>
      <c r="B8" s="516"/>
      <c r="C8" s="3727" t="s">
        <v>2929</v>
      </c>
      <c r="D8" s="3728"/>
      <c r="E8" s="3727" t="str">
        <f>土地案例!A2</f>
        <v>博罗县长宁镇东平村九岭经济合作社、埔筏村各前头经济合作社罗浮大道边东面地段</v>
      </c>
      <c r="F8" s="3728"/>
      <c r="G8" s="3723" t="str">
        <f>土地案例!A4</f>
        <v>博罗县石湾镇兴业大道西侧地段</v>
      </c>
      <c r="H8" s="3724"/>
      <c r="I8" s="3723" t="str">
        <f>土地案例!A9</f>
        <v>博罗县石湾镇铁场村梅花大道南侧地段</v>
      </c>
      <c r="J8" s="3724"/>
      <c r="K8" s="514" t="s">
        <v>529</v>
      </c>
      <c r="L8" s="2133"/>
      <c r="M8" s="2132"/>
      <c r="N8" s="2132"/>
      <c r="O8" s="2134"/>
      <c r="P8" s="3715"/>
      <c r="Q8" s="3716"/>
      <c r="R8" s="3719"/>
      <c r="S8" s="3720"/>
      <c r="T8" s="3721"/>
      <c r="U8" s="3722"/>
      <c r="V8" s="3704"/>
      <c r="W8" s="3704"/>
      <c r="X8" s="1566"/>
      <c r="Y8" s="3721"/>
      <c r="Z8" s="3722"/>
      <c r="AA8" s="3708"/>
      <c r="AB8" s="3708"/>
      <c r="AC8" s="3708"/>
    </row>
    <row r="9" spans="1:30" s="1218" customFormat="1" ht="21" thickBot="1">
      <c r="A9" s="2936"/>
      <c r="B9" s="2943" t="s">
        <v>530</v>
      </c>
      <c r="C9" s="2935">
        <f>'数据-取费表'!B2</f>
        <v>43138</v>
      </c>
      <c r="D9" s="520">
        <v>100</v>
      </c>
      <c r="E9" s="521" t="str">
        <f>土地案例!H2</f>
        <v>2018-01-09</v>
      </c>
      <c r="F9" s="522">
        <f>SUMIF(72:72,YEAR(E9)&amp;"-"&amp;INT((MONTH(E9)+2)/3),73:73)</f>
        <v>100</v>
      </c>
      <c r="G9" s="523" t="str">
        <f>土地案例!H4</f>
        <v>2017-11-14</v>
      </c>
      <c r="H9" s="520">
        <f>SUMIF(72:72,YEAR(G9)&amp;"-"&amp;INT((MONTH(G9)+2)/3),73:73)</f>
        <v>99</v>
      </c>
      <c r="I9" s="523" t="str">
        <f>土地案例!H9</f>
        <v>2017-09-12</v>
      </c>
      <c r="J9" s="520">
        <f>SUMIF(72:72,YEAR(I9)&amp;"-"&amp;INT((MONTH(I9)+2)/3),73:73)</f>
        <v>98</v>
      </c>
      <c r="K9" s="524"/>
      <c r="L9" s="2135"/>
      <c r="M9" s="2132"/>
      <c r="N9" s="2132"/>
      <c r="O9" s="2136"/>
      <c r="P9" s="3734" t="s">
        <v>531</v>
      </c>
      <c r="Q9" s="3736"/>
      <c r="R9" s="1567" t="s">
        <v>8</v>
      </c>
      <c r="S9" s="1568">
        <f t="shared" ref="S9:S17" si="0">F9</f>
        <v>100</v>
      </c>
      <c r="T9" s="1567" t="s">
        <v>8</v>
      </c>
      <c r="U9" s="1568">
        <f t="shared" ref="U9:U17" si="1">H9</f>
        <v>99</v>
      </c>
      <c r="V9" s="1567" t="s">
        <v>8</v>
      </c>
      <c r="W9" s="1568">
        <f t="shared" ref="W9:W17" si="2">J9</f>
        <v>98</v>
      </c>
      <c r="X9" s="1569"/>
      <c r="Y9" s="3734" t="s">
        <v>531</v>
      </c>
      <c r="Z9" s="3735"/>
      <c r="AA9" s="1570">
        <f>D9/F9</f>
        <v>1</v>
      </c>
      <c r="AB9" s="1570">
        <f>D9/H9</f>
        <v>1.0101010101010102</v>
      </c>
      <c r="AC9" s="1570">
        <f>D9/J9</f>
        <v>1.0204081632653061</v>
      </c>
    </row>
    <row r="10" spans="1:30" s="1218" customFormat="1" ht="21" thickBot="1">
      <c r="A10" s="2937"/>
      <c r="B10" s="2944" t="s">
        <v>532</v>
      </c>
      <c r="C10" s="856" t="s">
        <v>533</v>
      </c>
      <c r="D10" s="520">
        <v>100</v>
      </c>
      <c r="E10" s="3501" t="s">
        <v>3393</v>
      </c>
      <c r="F10" s="522">
        <f>SUMIF(75:75,E10,76:76)-SUMIF(75:75,C10,76:76)+100</f>
        <v>100</v>
      </c>
      <c r="G10" s="3501" t="s">
        <v>3394</v>
      </c>
      <c r="H10" s="520">
        <f>SUMIF(75:75,G10,76:76)-SUMIF(75:75,C10,76:76)+100</f>
        <v>100</v>
      </c>
      <c r="I10" s="3501" t="s">
        <v>3394</v>
      </c>
      <c r="J10" s="520">
        <f>SUMIF(75:75,I10,76:76)-SUMIF(75:75,C10,76:76)+100</f>
        <v>100</v>
      </c>
      <c r="K10" s="524"/>
      <c r="L10" s="2135"/>
      <c r="M10" s="2132"/>
      <c r="N10" s="2132"/>
      <c r="O10" s="2136"/>
      <c r="P10" s="3734" t="s">
        <v>534</v>
      </c>
      <c r="Q10" s="3735"/>
      <c r="R10" s="1567" t="s">
        <v>8</v>
      </c>
      <c r="S10" s="1568">
        <f t="shared" si="0"/>
        <v>100</v>
      </c>
      <c r="T10" s="1567" t="s">
        <v>8</v>
      </c>
      <c r="U10" s="1568">
        <f t="shared" si="1"/>
        <v>100</v>
      </c>
      <c r="V10" s="1567" t="s">
        <v>8</v>
      </c>
      <c r="W10" s="1568">
        <f t="shared" si="2"/>
        <v>100</v>
      </c>
      <c r="X10" s="1569"/>
      <c r="Y10" s="3734" t="s">
        <v>534</v>
      </c>
      <c r="Z10" s="3735"/>
      <c r="AA10" s="1570">
        <f t="shared" ref="AA10:AA47" si="3">D10/F10</f>
        <v>1</v>
      </c>
      <c r="AB10" s="1570">
        <f t="shared" ref="AB10:AB47" si="4">D10/H10</f>
        <v>1</v>
      </c>
      <c r="AC10" s="1570">
        <f t="shared" ref="AC10:AC47" si="5">D10/J10</f>
        <v>1</v>
      </c>
    </row>
    <row r="11" spans="1:30" s="1218" customFormat="1" ht="20.25">
      <c r="A11" s="2938"/>
      <c r="B11" s="2945" t="s">
        <v>2758</v>
      </c>
      <c r="C11" s="3502" t="s">
        <v>3395</v>
      </c>
      <c r="D11" s="254">
        <v>100</v>
      </c>
      <c r="E11" s="3503" t="s">
        <v>3396</v>
      </c>
      <c r="F11" s="254">
        <f>SUMIF(77:77,E11,78:78)-SUMIF(77:77,C11,78:78)+100</f>
        <v>100</v>
      </c>
      <c r="G11" s="3503" t="s">
        <v>3396</v>
      </c>
      <c r="H11" s="254">
        <f>SUMIF(77:77,G11,78:78)-SUMIF(77:77,C11,78:78)+100</f>
        <v>100</v>
      </c>
      <c r="I11" s="3503" t="s">
        <v>3396</v>
      </c>
      <c r="J11" s="254">
        <f>SUMIF(77:77,I11,78:78)-SUMIF(77:77,C11,78:78)+100</f>
        <v>100</v>
      </c>
      <c r="K11" s="524"/>
      <c r="L11" s="2135"/>
      <c r="M11" s="2132"/>
      <c r="N11" s="2132"/>
      <c r="O11" s="2137"/>
      <c r="P11" s="3703" t="s">
        <v>536</v>
      </c>
      <c r="Q11" s="1149" t="str">
        <f t="shared" ref="Q11:Q17" si="6">B11</f>
        <v>用途</v>
      </c>
      <c r="R11" s="1567" t="s">
        <v>8</v>
      </c>
      <c r="S11" s="1568">
        <f t="shared" si="0"/>
        <v>100</v>
      </c>
      <c r="T11" s="1567" t="s">
        <v>8</v>
      </c>
      <c r="U11" s="1568">
        <f t="shared" si="1"/>
        <v>100</v>
      </c>
      <c r="V11" s="1567" t="s">
        <v>8</v>
      </c>
      <c r="W11" s="1568">
        <f t="shared" si="2"/>
        <v>100</v>
      </c>
      <c r="X11" s="1569"/>
      <c r="Y11" s="3649" t="s">
        <v>537</v>
      </c>
      <c r="Z11" s="1148" t="str">
        <f t="shared" ref="Z11:Z17" si="7">Q11</f>
        <v>用途</v>
      </c>
      <c r="AA11" s="1570">
        <f t="shared" si="3"/>
        <v>1</v>
      </c>
      <c r="AB11" s="1570">
        <f t="shared" si="4"/>
        <v>1</v>
      </c>
      <c r="AC11" s="1570">
        <f t="shared" si="5"/>
        <v>1</v>
      </c>
    </row>
    <row r="12" spans="1:30" s="1336" customFormat="1" ht="27">
      <c r="A12" s="2939"/>
      <c r="B12" s="2944" t="s">
        <v>2759</v>
      </c>
      <c r="C12" s="908" t="s">
        <v>3397</v>
      </c>
      <c r="D12" s="255">
        <v>100</v>
      </c>
      <c r="E12" s="529" t="s">
        <v>3398</v>
      </c>
      <c r="F12" s="255">
        <f>ROUND(100/'数据-取费表'!G16,0)</f>
        <v>102</v>
      </c>
      <c r="G12" s="530" t="s">
        <v>3398</v>
      </c>
      <c r="H12" s="255">
        <f>ROUND(100/'数据-取费表'!G16,0)</f>
        <v>102</v>
      </c>
      <c r="I12" s="530" t="s">
        <v>3398</v>
      </c>
      <c r="J12" s="255">
        <f>ROUND(100/'数据-取费表'!G16,0)</f>
        <v>102</v>
      </c>
      <c r="K12" s="531"/>
      <c r="L12" s="2138"/>
      <c r="M12" s="2132"/>
      <c r="N12" s="2132"/>
      <c r="O12" s="2139"/>
      <c r="P12" s="3703"/>
      <c r="Q12" s="1149" t="str">
        <f t="shared" si="6"/>
        <v>土地使用年限（年）</v>
      </c>
      <c r="R12" s="1567" t="s">
        <v>8</v>
      </c>
      <c r="S12" s="1568">
        <f t="shared" si="0"/>
        <v>102</v>
      </c>
      <c r="T12" s="1567" t="s">
        <v>8</v>
      </c>
      <c r="U12" s="1568">
        <f t="shared" si="1"/>
        <v>102</v>
      </c>
      <c r="V12" s="1567" t="s">
        <v>8</v>
      </c>
      <c r="W12" s="1568">
        <f t="shared" si="2"/>
        <v>102</v>
      </c>
      <c r="X12" s="1569"/>
      <c r="Y12" s="3649"/>
      <c r="Z12" s="1148" t="str">
        <f t="shared" si="7"/>
        <v>土地使用年限（年）</v>
      </c>
      <c r="AA12" s="1570">
        <f t="shared" si="3"/>
        <v>0.98039215686274506</v>
      </c>
      <c r="AB12" s="1570">
        <f t="shared" si="4"/>
        <v>0.98039215686274506</v>
      </c>
      <c r="AC12" s="1570">
        <f t="shared" si="5"/>
        <v>0.98039215686274506</v>
      </c>
    </row>
    <row r="13" spans="1:30" ht="20.25">
      <c r="A13" s="2940"/>
      <c r="B13" s="2944" t="s">
        <v>2760</v>
      </c>
      <c r="C13" s="534">
        <v>3.5</v>
      </c>
      <c r="D13" s="255">
        <v>100</v>
      </c>
      <c r="E13" s="533">
        <v>3</v>
      </c>
      <c r="F13" s="255">
        <f>LOOKUP(E13,82:82,83:83)-LOOKUP(C13,82:82,83:83)+100</f>
        <v>100</v>
      </c>
      <c r="G13" s="534">
        <v>2.2000000000000002</v>
      </c>
      <c r="H13" s="255">
        <f>LOOKUP(G13,82:82,83:83)-LOOKUP(C13,82:82,83:83)+100</f>
        <v>101</v>
      </c>
      <c r="I13" s="533">
        <v>3</v>
      </c>
      <c r="J13" s="255">
        <f>LOOKUP(I13,82:82,83:83)-LOOKUP(C13,82:82,83:83)+100</f>
        <v>100</v>
      </c>
      <c r="K13" s="535">
        <v>1</v>
      </c>
      <c r="L13" s="2140"/>
      <c r="M13" s="2132"/>
      <c r="N13" s="2132"/>
      <c r="O13" s="2141"/>
      <c r="P13" s="3703"/>
      <c r="Q13" s="1149" t="str">
        <f t="shared" si="6"/>
        <v>容积率</v>
      </c>
      <c r="R13" s="1567" t="s">
        <v>8</v>
      </c>
      <c r="S13" s="1568">
        <f t="shared" si="0"/>
        <v>100</v>
      </c>
      <c r="T13" s="1567" t="s">
        <v>8</v>
      </c>
      <c r="U13" s="1568">
        <f t="shared" si="1"/>
        <v>101</v>
      </c>
      <c r="V13" s="1567" t="s">
        <v>8</v>
      </c>
      <c r="W13" s="1568">
        <f t="shared" si="2"/>
        <v>100</v>
      </c>
      <c r="X13" s="1569"/>
      <c r="Y13" s="3649"/>
      <c r="Z13" s="1148" t="str">
        <f t="shared" si="7"/>
        <v>容积率</v>
      </c>
      <c r="AA13" s="1570">
        <f t="shared" si="3"/>
        <v>1</v>
      </c>
      <c r="AB13" s="1570">
        <f t="shared" si="4"/>
        <v>0.99009900990099009</v>
      </c>
      <c r="AC13" s="1570">
        <f t="shared" si="5"/>
        <v>1</v>
      </c>
    </row>
    <row r="14" spans="1:30" s="1218" customFormat="1" ht="20.25">
      <c r="A14" s="2937"/>
      <c r="B14" s="2946" t="s">
        <v>2761</v>
      </c>
      <c r="C14" s="2933"/>
      <c r="D14" s="538">
        <v>100</v>
      </c>
      <c r="E14" s="1373"/>
      <c r="F14" s="255">
        <f>SUMIF(84:84,E14,85:85)-SUMIF(84:84,C14,85:85)+100</f>
        <v>100</v>
      </c>
      <c r="G14" s="530"/>
      <c r="H14" s="255">
        <f>SUMIF(84:84,G14,85:85)-SUMIF(84:84,C14,85:85)+100</f>
        <v>100</v>
      </c>
      <c r="I14" s="529"/>
      <c r="J14" s="255">
        <f>SUMIF(84:84,I14,85:85)-SUMIF(84:84,C14,85:85)+100</f>
        <v>100</v>
      </c>
      <c r="K14" s="531"/>
      <c r="L14" s="2135"/>
      <c r="M14" s="2132"/>
      <c r="N14" s="2132"/>
      <c r="O14" s="2137"/>
      <c r="P14" s="3703"/>
      <c r="Q14" s="1149" t="str">
        <f t="shared" si="6"/>
        <v>配建</v>
      </c>
      <c r="R14" s="1567" t="s">
        <v>8</v>
      </c>
      <c r="S14" s="1568">
        <f t="shared" si="0"/>
        <v>100</v>
      </c>
      <c r="T14" s="1567" t="s">
        <v>8</v>
      </c>
      <c r="U14" s="1568">
        <f t="shared" si="1"/>
        <v>100</v>
      </c>
      <c r="V14" s="1567" t="s">
        <v>8</v>
      </c>
      <c r="W14" s="1568">
        <f t="shared" si="2"/>
        <v>100</v>
      </c>
      <c r="X14" s="1569"/>
      <c r="Y14" s="3649"/>
      <c r="Z14" s="1148" t="str">
        <f t="shared" si="7"/>
        <v>配建</v>
      </c>
      <c r="AA14" s="1570">
        <f>D14/F14</f>
        <v>1</v>
      </c>
      <c r="AB14" s="1570">
        <f>D14/H14</f>
        <v>1</v>
      </c>
      <c r="AC14" s="1570">
        <f>D14/J14</f>
        <v>1</v>
      </c>
    </row>
    <row r="15" spans="1:30" ht="20.25">
      <c r="A15" s="2941"/>
      <c r="B15" s="2947">
        <v>111</v>
      </c>
      <c r="C15" s="910"/>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703"/>
      <c r="Q15" s="1149">
        <f t="shared" si="6"/>
        <v>111</v>
      </c>
      <c r="R15" s="1567" t="s">
        <v>8</v>
      </c>
      <c r="S15" s="1568">
        <f t="shared" si="0"/>
        <v>100</v>
      </c>
      <c r="T15" s="1567" t="s">
        <v>8</v>
      </c>
      <c r="U15" s="1568">
        <f t="shared" si="1"/>
        <v>100</v>
      </c>
      <c r="V15" s="1567" t="s">
        <v>8</v>
      </c>
      <c r="W15" s="1568">
        <f t="shared" si="2"/>
        <v>100</v>
      </c>
      <c r="X15" s="1569"/>
      <c r="Y15" s="3649"/>
      <c r="Z15" s="1148">
        <f t="shared" si="7"/>
        <v>111</v>
      </c>
      <c r="AA15" s="1570">
        <f>D15/F15</f>
        <v>1</v>
      </c>
      <c r="AB15" s="1570">
        <f>D15/H15</f>
        <v>1</v>
      </c>
      <c r="AC15" s="1570">
        <f>D15/J15</f>
        <v>1</v>
      </c>
    </row>
    <row r="16" spans="1:30" ht="21" thickBot="1">
      <c r="A16" s="2942"/>
      <c r="B16" s="2948">
        <v>111</v>
      </c>
      <c r="C16" s="913"/>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703"/>
      <c r="Q16" s="1149">
        <f t="shared" si="6"/>
        <v>111</v>
      </c>
      <c r="R16" s="1567" t="s">
        <v>8</v>
      </c>
      <c r="S16" s="1568">
        <f t="shared" si="0"/>
        <v>100</v>
      </c>
      <c r="T16" s="1567" t="s">
        <v>8</v>
      </c>
      <c r="U16" s="1568">
        <f t="shared" si="1"/>
        <v>100</v>
      </c>
      <c r="V16" s="1567" t="s">
        <v>8</v>
      </c>
      <c r="W16" s="1568">
        <f t="shared" si="2"/>
        <v>100</v>
      </c>
      <c r="X16" s="1569"/>
      <c r="Y16" s="3649"/>
      <c r="Z16" s="1148">
        <f t="shared" si="7"/>
        <v>111</v>
      </c>
      <c r="AA16" s="1570">
        <f>D16/F16</f>
        <v>1</v>
      </c>
      <c r="AB16" s="1570">
        <f>D16/H16</f>
        <v>1</v>
      </c>
      <c r="AC16" s="1570">
        <f>D16/J16</f>
        <v>1</v>
      </c>
    </row>
    <row r="17" spans="1:29" ht="99.75">
      <c r="A17" s="2934" t="s">
        <v>2756</v>
      </c>
      <c r="B17" s="578" t="s">
        <v>295</v>
      </c>
      <c r="C17" s="548" t="str">
        <f>估价对象房地状况!C15</f>
        <v>估价对象周边居住用地比例较小、居住小区规模和社区发展完善程度一般，综合评价居住社区成熟度一般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737" t="s">
        <v>541</v>
      </c>
      <c r="Q17" s="1571" t="str">
        <f t="shared" si="6"/>
        <v>居住社区成熟度</v>
      </c>
      <c r="R17" s="1572" t="s">
        <v>8</v>
      </c>
      <c r="S17" s="1573">
        <f t="shared" si="0"/>
        <v>100</v>
      </c>
      <c r="T17" s="1572" t="s">
        <v>8</v>
      </c>
      <c r="U17" s="1573">
        <f t="shared" si="1"/>
        <v>100</v>
      </c>
      <c r="V17" s="1572" t="s">
        <v>8</v>
      </c>
      <c r="W17" s="1573">
        <f t="shared" si="2"/>
        <v>100</v>
      </c>
      <c r="X17" s="1566"/>
      <c r="Y17" s="3737" t="s">
        <v>541</v>
      </c>
      <c r="Z17" s="1574" t="str">
        <f t="shared" si="7"/>
        <v>居住社区成熟度</v>
      </c>
      <c r="AA17" s="1575">
        <f t="shared" si="3"/>
        <v>1</v>
      </c>
      <c r="AB17" s="1575">
        <f t="shared" si="4"/>
        <v>1</v>
      </c>
      <c r="AC17" s="1575">
        <f t="shared" si="5"/>
        <v>1</v>
      </c>
    </row>
    <row r="18" spans="1:29" ht="20.25">
      <c r="A18" s="532"/>
      <c r="B18" s="553"/>
      <c r="C18" s="554" t="s">
        <v>3399</v>
      </c>
      <c r="D18" s="557"/>
      <c r="E18" s="558" t="s">
        <v>3399</v>
      </c>
      <c r="F18" s="555"/>
      <c r="G18" s="556" t="s">
        <v>3399</v>
      </c>
      <c r="H18" s="559"/>
      <c r="I18" s="558" t="s">
        <v>3399</v>
      </c>
      <c r="J18" s="555"/>
      <c r="K18" s="531"/>
      <c r="L18" s="2142"/>
      <c r="M18" s="2132"/>
      <c r="N18" s="2132"/>
      <c r="O18" s="2141"/>
      <c r="P18" s="3738"/>
      <c r="Q18" s="1571"/>
      <c r="R18" s="1572"/>
      <c r="S18" s="1573"/>
      <c r="T18" s="1572"/>
      <c r="U18" s="1573"/>
      <c r="V18" s="1572"/>
      <c r="W18" s="1573"/>
      <c r="X18" s="1566"/>
      <c r="Y18" s="3738"/>
      <c r="Z18" s="1574"/>
      <c r="AA18" s="1575">
        <v>1</v>
      </c>
      <c r="AB18" s="1575">
        <v>1</v>
      </c>
      <c r="AC18" s="1575">
        <v>1</v>
      </c>
    </row>
    <row r="19" spans="1:29" ht="71.25">
      <c r="A19" s="532"/>
      <c r="B19" s="560" t="s">
        <v>542</v>
      </c>
      <c r="C19" s="561" t="str">
        <f>估价对象房地状况!C16</f>
        <v>估价对象位于南水园，周边商业氛围一般，人流量一般，商业繁华度一般</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738"/>
      <c r="Q19" s="1571" t="str">
        <f>B19</f>
        <v>商业繁华度</v>
      </c>
      <c r="R19" s="1572" t="s">
        <v>8</v>
      </c>
      <c r="S19" s="1573">
        <f>F19</f>
        <v>100</v>
      </c>
      <c r="T19" s="1572" t="s">
        <v>8</v>
      </c>
      <c r="U19" s="1573">
        <f>H19</f>
        <v>100</v>
      </c>
      <c r="V19" s="1572" t="s">
        <v>8</v>
      </c>
      <c r="W19" s="1573">
        <f>J19</f>
        <v>100</v>
      </c>
      <c r="X19" s="1566"/>
      <c r="Y19" s="3738"/>
      <c r="Z19" s="1574" t="str">
        <f>Q19</f>
        <v>商业繁华度</v>
      </c>
      <c r="AA19" s="1575">
        <f t="shared" si="3"/>
        <v>1</v>
      </c>
      <c r="AB19" s="1575">
        <f t="shared" si="4"/>
        <v>1</v>
      </c>
      <c r="AC19" s="1575">
        <f t="shared" si="5"/>
        <v>1</v>
      </c>
    </row>
    <row r="20" spans="1:29" ht="20.25">
      <c r="A20" s="532"/>
      <c r="B20" s="566"/>
      <c r="C20" s="567" t="s">
        <v>3399</v>
      </c>
      <c r="D20" s="563"/>
      <c r="E20" s="569" t="s">
        <v>3399</v>
      </c>
      <c r="F20" s="559"/>
      <c r="G20" s="568" t="s">
        <v>3399</v>
      </c>
      <c r="H20" s="555"/>
      <c r="I20" s="569" t="s">
        <v>3399</v>
      </c>
      <c r="J20" s="555"/>
      <c r="K20" s="531"/>
      <c r="L20" s="2142"/>
      <c r="M20" s="2132"/>
      <c r="N20" s="2132"/>
      <c r="O20" s="2141"/>
      <c r="P20" s="3738"/>
      <c r="Q20" s="1571"/>
      <c r="R20" s="1572"/>
      <c r="S20" s="1573"/>
      <c r="T20" s="1572"/>
      <c r="U20" s="1573"/>
      <c r="V20" s="1572"/>
      <c r="W20" s="1573"/>
      <c r="X20" s="1566"/>
      <c r="Y20" s="3738"/>
      <c r="Z20" s="1574"/>
      <c r="AA20" s="1575">
        <v>1</v>
      </c>
      <c r="AB20" s="1575">
        <v>1</v>
      </c>
      <c r="AC20" s="1575">
        <v>1</v>
      </c>
    </row>
    <row r="21" spans="1:29" ht="20.25">
      <c r="A21" s="532"/>
      <c r="B21" s="560" t="s">
        <v>543</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738"/>
      <c r="Q21" s="1571" t="str">
        <f>B21</f>
        <v>办公集聚程度</v>
      </c>
      <c r="R21" s="1572" t="s">
        <v>8</v>
      </c>
      <c r="S21" s="1573">
        <f>F21</f>
        <v>100</v>
      </c>
      <c r="T21" s="1572" t="s">
        <v>8</v>
      </c>
      <c r="U21" s="1573">
        <f>H21</f>
        <v>100</v>
      </c>
      <c r="V21" s="1572" t="s">
        <v>8</v>
      </c>
      <c r="W21" s="1573">
        <f>J21</f>
        <v>100</v>
      </c>
      <c r="X21" s="1566"/>
      <c r="Y21" s="3738"/>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2"/>
      <c r="M22" s="2132"/>
      <c r="N22" s="2132"/>
      <c r="O22" s="2141"/>
      <c r="P22" s="3738"/>
      <c r="Q22" s="1571"/>
      <c r="R22" s="1572"/>
      <c r="S22" s="1573"/>
      <c r="T22" s="1572"/>
      <c r="U22" s="1573"/>
      <c r="V22" s="1572"/>
      <c r="W22" s="1573"/>
      <c r="X22" s="1566"/>
      <c r="Y22" s="3738"/>
      <c r="Z22" s="1574"/>
      <c r="AA22" s="1575">
        <v>1</v>
      </c>
      <c r="AB22" s="1575">
        <v>1</v>
      </c>
      <c r="AC22" s="1575">
        <v>1</v>
      </c>
    </row>
    <row r="23" spans="1:29" ht="99.75">
      <c r="A23" s="532"/>
      <c r="B23" s="560" t="s">
        <v>544</v>
      </c>
      <c r="C23" s="573" t="str">
        <f>估价对象房地状况!C18</f>
        <v>估价对象周边路网密集度一般、公共交通通达情况一般、停车便捷程度一般，综合评价交通便捷度一般</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738"/>
      <c r="Q23" s="1571" t="str">
        <f>B23</f>
        <v>交通便捷度</v>
      </c>
      <c r="R23" s="1572" t="s">
        <v>8</v>
      </c>
      <c r="S23" s="1573">
        <f>F23</f>
        <v>100</v>
      </c>
      <c r="T23" s="1572" t="s">
        <v>8</v>
      </c>
      <c r="U23" s="1573">
        <f>H23</f>
        <v>100</v>
      </c>
      <c r="V23" s="1572" t="s">
        <v>8</v>
      </c>
      <c r="W23" s="1573">
        <f>J23</f>
        <v>100</v>
      </c>
      <c r="X23" s="1566"/>
      <c r="Y23" s="3738"/>
      <c r="Z23" s="1574" t="str">
        <f>Q23</f>
        <v>交通便捷度</v>
      </c>
      <c r="AA23" s="1575">
        <f t="shared" si="3"/>
        <v>1</v>
      </c>
      <c r="AB23" s="1575">
        <f t="shared" si="4"/>
        <v>1</v>
      </c>
      <c r="AC23" s="1575">
        <f t="shared" si="5"/>
        <v>1</v>
      </c>
    </row>
    <row r="24" spans="1:29" ht="20.25">
      <c r="A24" s="532"/>
      <c r="B24" s="578"/>
      <c r="C24" s="554" t="s">
        <v>3399</v>
      </c>
      <c r="D24" s="557"/>
      <c r="E24" s="558" t="s">
        <v>3399</v>
      </c>
      <c r="F24" s="555"/>
      <c r="G24" s="556" t="s">
        <v>3399</v>
      </c>
      <c r="H24" s="555"/>
      <c r="I24" s="558" t="s">
        <v>3399</v>
      </c>
      <c r="J24" s="555"/>
      <c r="K24" s="531"/>
      <c r="L24" s="2142"/>
      <c r="M24" s="2132"/>
      <c r="N24" s="2132"/>
      <c r="O24" s="2141"/>
      <c r="P24" s="3738"/>
      <c r="Q24" s="1571"/>
      <c r="R24" s="1572"/>
      <c r="S24" s="1573"/>
      <c r="T24" s="1572"/>
      <c r="U24" s="1573"/>
      <c r="V24" s="1572"/>
      <c r="W24" s="1573"/>
      <c r="X24" s="1566"/>
      <c r="Y24" s="3738"/>
      <c r="Z24" s="1574"/>
      <c r="AA24" s="1575">
        <v>1</v>
      </c>
      <c r="AB24" s="1575">
        <v>1</v>
      </c>
      <c r="AC24" s="1575">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738"/>
      <c r="Q25" s="1571" t="str">
        <f t="shared" ref="Q25:Q39" si="8">B25</f>
        <v>区域土地利用方向</v>
      </c>
      <c r="R25" s="1572" t="s">
        <v>8</v>
      </c>
      <c r="S25" s="1573">
        <f>F25</f>
        <v>100</v>
      </c>
      <c r="T25" s="1572" t="s">
        <v>8</v>
      </c>
      <c r="U25" s="1573">
        <f>H25</f>
        <v>100</v>
      </c>
      <c r="V25" s="1572" t="s">
        <v>8</v>
      </c>
      <c r="W25" s="1573">
        <f>J25</f>
        <v>100</v>
      </c>
      <c r="X25" s="1566"/>
      <c r="Y25" s="3738"/>
      <c r="Z25" s="1574" t="str">
        <f>Q25</f>
        <v>区域土地利用方向</v>
      </c>
      <c r="AA25" s="1575">
        <f t="shared" si="3"/>
        <v>1</v>
      </c>
      <c r="AB25" s="1575">
        <f t="shared" si="4"/>
        <v>1</v>
      </c>
      <c r="AC25" s="1575">
        <f t="shared" si="5"/>
        <v>1</v>
      </c>
    </row>
    <row r="26" spans="1:29" ht="20.25">
      <c r="A26" s="515"/>
      <c r="B26" s="1005"/>
      <c r="C26" s="554" t="s">
        <v>3399</v>
      </c>
      <c r="D26" s="557"/>
      <c r="E26" s="558" t="s">
        <v>3399</v>
      </c>
      <c r="F26" s="555"/>
      <c r="G26" s="556" t="s">
        <v>3399</v>
      </c>
      <c r="H26" s="555"/>
      <c r="I26" s="558" t="s">
        <v>3399</v>
      </c>
      <c r="J26" s="555"/>
      <c r="K26" s="531"/>
      <c r="L26" s="2142"/>
      <c r="M26" s="2132"/>
      <c r="N26" s="2132"/>
      <c r="O26" s="2141"/>
      <c r="P26" s="3738"/>
      <c r="Q26" s="1571"/>
      <c r="R26" s="1572"/>
      <c r="S26" s="1573"/>
      <c r="T26" s="1572"/>
      <c r="U26" s="1573"/>
      <c r="V26" s="1572"/>
      <c r="W26" s="1573"/>
      <c r="X26" s="1566"/>
      <c r="Y26" s="3738"/>
      <c r="Z26" s="1574"/>
      <c r="AA26" s="1575"/>
      <c r="AB26" s="1575"/>
      <c r="AC26" s="1575"/>
    </row>
    <row r="27" spans="1:29" ht="99.75">
      <c r="A27" s="515"/>
      <c r="B27" s="578" t="s">
        <v>546</v>
      </c>
      <c r="C27" s="561" t="str">
        <f>估价对象房地状况!C20</f>
        <v>区域自然环境：周边绿化条件较好，有水系；人文环境：缺乏图书馆、剧院等设施；综合评价环境状况较差</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738"/>
      <c r="Q27" s="1571" t="str">
        <f t="shared" si="8"/>
        <v>自然及人文环境状况</v>
      </c>
      <c r="R27" s="1572" t="s">
        <v>8</v>
      </c>
      <c r="S27" s="1573">
        <f>F27</f>
        <v>100</v>
      </c>
      <c r="T27" s="1572" t="s">
        <v>8</v>
      </c>
      <c r="U27" s="1573">
        <f>H27</f>
        <v>100</v>
      </c>
      <c r="V27" s="1572" t="s">
        <v>8</v>
      </c>
      <c r="W27" s="1573">
        <f>J27</f>
        <v>100</v>
      </c>
      <c r="X27" s="1566"/>
      <c r="Y27" s="3738"/>
      <c r="Z27" s="1574" t="str">
        <f>Q27</f>
        <v>自然及人文环境状况</v>
      </c>
      <c r="AA27" s="1575">
        <f t="shared" si="3"/>
        <v>1</v>
      </c>
      <c r="AB27" s="1575">
        <f t="shared" si="4"/>
        <v>1</v>
      </c>
      <c r="AC27" s="1575">
        <f t="shared" si="5"/>
        <v>1</v>
      </c>
    </row>
    <row r="28" spans="1:29" ht="20.25">
      <c r="A28" s="515"/>
      <c r="B28" s="566"/>
      <c r="C28" s="554" t="s">
        <v>3400</v>
      </c>
      <c r="D28" s="557"/>
      <c r="E28" s="576" t="s">
        <v>3400</v>
      </c>
      <c r="F28" s="555"/>
      <c r="G28" s="554" t="s">
        <v>3400</v>
      </c>
      <c r="H28" s="555"/>
      <c r="I28" s="576" t="s">
        <v>3400</v>
      </c>
      <c r="J28" s="555"/>
      <c r="K28" s="531"/>
      <c r="L28" s="2142"/>
      <c r="M28" s="2132"/>
      <c r="N28" s="2132"/>
      <c r="O28" s="2141"/>
      <c r="P28" s="3738"/>
      <c r="Q28" s="1571"/>
      <c r="R28" s="1572"/>
      <c r="S28" s="1573"/>
      <c r="T28" s="1572"/>
      <c r="U28" s="1573"/>
      <c r="V28" s="1572"/>
      <c r="W28" s="1573"/>
      <c r="X28" s="1566"/>
      <c r="Y28" s="3738"/>
      <c r="Z28" s="1574"/>
      <c r="AA28" s="1575">
        <v>1</v>
      </c>
      <c r="AB28" s="1575">
        <v>1</v>
      </c>
      <c r="AC28" s="1575">
        <v>1</v>
      </c>
    </row>
    <row r="29" spans="1:29" s="1218" customFormat="1" ht="71.25">
      <c r="A29" s="577"/>
      <c r="B29" s="2615" t="s">
        <v>2550</v>
      </c>
      <c r="C29" s="573" t="str">
        <f>估价对象房地状况!C21</f>
        <v>估价对象所在区域公共配套设施齐备情况一般，有雅庭小学、龙溪二中</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738"/>
      <c r="Q29" s="1149" t="str">
        <f t="shared" si="8"/>
        <v>公共配套设施</v>
      </c>
      <c r="R29" s="1567" t="s">
        <v>8</v>
      </c>
      <c r="S29" s="1568">
        <f>F29</f>
        <v>100</v>
      </c>
      <c r="T29" s="1567" t="s">
        <v>8</v>
      </c>
      <c r="U29" s="1568">
        <f>H29</f>
        <v>100</v>
      </c>
      <c r="V29" s="1567" t="s">
        <v>8</v>
      </c>
      <c r="W29" s="1568">
        <f>J29</f>
        <v>100</v>
      </c>
      <c r="X29" s="1569"/>
      <c r="Y29" s="3738"/>
      <c r="Z29" s="1148" t="str">
        <f>Q29</f>
        <v>公共配套设施</v>
      </c>
      <c r="AA29" s="1575">
        <f>D29/F29</f>
        <v>1</v>
      </c>
      <c r="AB29" s="1575">
        <f>D29/H29</f>
        <v>1</v>
      </c>
      <c r="AC29" s="1575">
        <f>D29/J29</f>
        <v>1</v>
      </c>
    </row>
    <row r="30" spans="1:29" s="1218" customFormat="1" ht="20.25">
      <c r="A30" s="577"/>
      <c r="B30" s="566"/>
      <c r="C30" s="579" t="s">
        <v>3399</v>
      </c>
      <c r="D30" s="557"/>
      <c r="E30" s="576" t="s">
        <v>3399</v>
      </c>
      <c r="F30" s="555"/>
      <c r="G30" s="554" t="s">
        <v>3399</v>
      </c>
      <c r="H30" s="555"/>
      <c r="I30" s="576" t="s">
        <v>3399</v>
      </c>
      <c r="J30" s="555"/>
      <c r="K30" s="531"/>
      <c r="L30" s="2135"/>
      <c r="M30" s="2132"/>
      <c r="N30" s="2132"/>
      <c r="O30" s="2137"/>
      <c r="P30" s="3738"/>
      <c r="Q30" s="1149"/>
      <c r="R30" s="1567"/>
      <c r="S30" s="1568"/>
      <c r="T30" s="1567"/>
      <c r="U30" s="1568"/>
      <c r="V30" s="1567"/>
      <c r="W30" s="1568"/>
      <c r="X30" s="1569"/>
      <c r="Y30" s="3738"/>
      <c r="Z30" s="1148"/>
      <c r="AA30" s="1575">
        <v>1</v>
      </c>
      <c r="AB30" s="1575">
        <v>1</v>
      </c>
      <c r="AC30" s="1575">
        <v>1</v>
      </c>
    </row>
    <row r="31" spans="1:29" s="1218" customFormat="1" ht="42.75">
      <c r="A31" s="577"/>
      <c r="B31" s="2615" t="s">
        <v>2551</v>
      </c>
      <c r="C31" s="573" t="str">
        <f>估价对象房地状况!C22</f>
        <v>估价对象所在区域基础设施水平达到六通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738"/>
      <c r="Q31" s="2602" t="str">
        <f t="shared" ref="Q31" si="9">B31</f>
        <v>基础设施水平</v>
      </c>
      <c r="R31" s="1567" t="s">
        <v>8</v>
      </c>
      <c r="S31" s="1568">
        <f>F31</f>
        <v>100</v>
      </c>
      <c r="T31" s="1567" t="s">
        <v>8</v>
      </c>
      <c r="U31" s="1568">
        <f>H31</f>
        <v>100</v>
      </c>
      <c r="V31" s="1567" t="s">
        <v>8</v>
      </c>
      <c r="W31" s="1568">
        <f>J31</f>
        <v>100</v>
      </c>
      <c r="X31" s="1569"/>
      <c r="Y31" s="3738"/>
      <c r="Z31" s="2599" t="str">
        <f>Q31</f>
        <v>基础设施水平</v>
      </c>
      <c r="AA31" s="1575">
        <f>D31/F31</f>
        <v>1</v>
      </c>
      <c r="AB31" s="1575">
        <f>D31/H31</f>
        <v>1</v>
      </c>
      <c r="AC31" s="1575">
        <f>D31/J31</f>
        <v>1</v>
      </c>
    </row>
    <row r="32" spans="1:29" s="1218" customFormat="1" ht="20.25">
      <c r="A32" s="577"/>
      <c r="B32" s="566"/>
      <c r="C32" s="579" t="s">
        <v>3401</v>
      </c>
      <c r="D32" s="557"/>
      <c r="E32" s="2616" t="s">
        <v>3401</v>
      </c>
      <c r="F32" s="555"/>
      <c r="G32" s="579" t="s">
        <v>3401</v>
      </c>
      <c r="H32" s="555"/>
      <c r="I32" s="579" t="s">
        <v>3401</v>
      </c>
      <c r="J32" s="555"/>
      <c r="K32" s="531"/>
      <c r="L32" s="2135"/>
      <c r="M32" s="2132"/>
      <c r="N32" s="2132"/>
      <c r="O32" s="2137"/>
      <c r="P32" s="3738"/>
      <c r="Q32" s="2602"/>
      <c r="R32" s="1567"/>
      <c r="S32" s="1568"/>
      <c r="T32" s="1567"/>
      <c r="U32" s="1568"/>
      <c r="V32" s="1567"/>
      <c r="W32" s="1568"/>
      <c r="X32" s="1569"/>
      <c r="Y32" s="3738"/>
      <c r="Z32" s="2599"/>
      <c r="AA32" s="1575">
        <v>1</v>
      </c>
      <c r="AB32" s="1575">
        <v>1</v>
      </c>
      <c r="AC32" s="1575">
        <v>1</v>
      </c>
    </row>
    <row r="33" spans="1:29" ht="20.25">
      <c r="A33" s="532"/>
      <c r="B33" s="566" t="s">
        <v>548</v>
      </c>
      <c r="C33" s="580" t="s">
        <v>3472</v>
      </c>
      <c r="D33" s="575">
        <v>100</v>
      </c>
      <c r="E33" s="583" t="s">
        <v>3472</v>
      </c>
      <c r="F33" s="540">
        <f>SUMIF(106:106,E33,107:107)-SUMIF(106:106,C33,107:107)+100</f>
        <v>100</v>
      </c>
      <c r="G33" s="580" t="s">
        <v>3472</v>
      </c>
      <c r="H33" s="540">
        <f>SUMIF(106:106,G33,107:107)-SUMIF(106:106,C33,107:107)+100</f>
        <v>100</v>
      </c>
      <c r="I33" s="580" t="s">
        <v>3472</v>
      </c>
      <c r="J33" s="540">
        <f>SUMIF(106:106,I33,107:107)-SUMIF(106:106,C33,107:107)+100</f>
        <v>100</v>
      </c>
      <c r="K33" s="535"/>
      <c r="L33" s="2142"/>
      <c r="M33" s="2132"/>
      <c r="N33" s="2132"/>
      <c r="O33" s="2141"/>
      <c r="P33" s="373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738"/>
      <c r="Z33" s="1574" t="str">
        <f t="shared" ref="Z33:Z47" si="13">Q33</f>
        <v>临街状况</v>
      </c>
      <c r="AA33" s="1575">
        <f t="shared" si="3"/>
        <v>1</v>
      </c>
      <c r="AB33" s="1575">
        <f t="shared" si="4"/>
        <v>1</v>
      </c>
      <c r="AC33" s="1575">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738"/>
      <c r="Q34" s="1571" t="str">
        <f t="shared" si="8"/>
        <v>毗邻道路的类型与等级</v>
      </c>
      <c r="R34" s="1572" t="s">
        <v>8</v>
      </c>
      <c r="S34" s="1573">
        <f t="shared" si="10"/>
        <v>100</v>
      </c>
      <c r="T34" s="1572" t="s">
        <v>8</v>
      </c>
      <c r="U34" s="1573">
        <f t="shared" si="11"/>
        <v>100</v>
      </c>
      <c r="V34" s="1572" t="s">
        <v>8</v>
      </c>
      <c r="W34" s="1573">
        <f t="shared" si="12"/>
        <v>100</v>
      </c>
      <c r="X34" s="1566"/>
      <c r="Y34" s="3738"/>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2"/>
      <c r="M35" s="2132"/>
      <c r="N35" s="2132"/>
      <c r="O35" s="2141"/>
      <c r="P35" s="3738"/>
      <c r="Q35" s="1571"/>
      <c r="R35" s="1572"/>
      <c r="S35" s="1573"/>
      <c r="T35" s="1572"/>
      <c r="U35" s="1573"/>
      <c r="V35" s="1572"/>
      <c r="W35" s="1573"/>
      <c r="X35" s="1566"/>
      <c r="Y35" s="3738"/>
      <c r="Z35" s="1574"/>
      <c r="AA35" s="1575">
        <v>1</v>
      </c>
      <c r="AB35" s="1575">
        <v>1</v>
      </c>
      <c r="AC35" s="1575">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738"/>
      <c r="Q36" s="1571" t="str">
        <f t="shared" si="8"/>
        <v>土地级别</v>
      </c>
      <c r="R36" s="1572" t="s">
        <v>8</v>
      </c>
      <c r="S36" s="1573">
        <f t="shared" si="10"/>
        <v>100</v>
      </c>
      <c r="T36" s="1572" t="s">
        <v>8</v>
      </c>
      <c r="U36" s="1573">
        <f t="shared" si="11"/>
        <v>100</v>
      </c>
      <c r="V36" s="1572" t="s">
        <v>8</v>
      </c>
      <c r="W36" s="1573">
        <f t="shared" si="12"/>
        <v>100</v>
      </c>
      <c r="X36" s="1566"/>
      <c r="Y36" s="3738"/>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738"/>
      <c r="Q37" s="1571">
        <f t="shared" si="8"/>
        <v>111</v>
      </c>
      <c r="R37" s="1572" t="s">
        <v>8</v>
      </c>
      <c r="S37" s="1573">
        <f t="shared" si="10"/>
        <v>100</v>
      </c>
      <c r="T37" s="1572" t="s">
        <v>8</v>
      </c>
      <c r="U37" s="1573">
        <f t="shared" si="11"/>
        <v>100</v>
      </c>
      <c r="V37" s="1572" t="s">
        <v>8</v>
      </c>
      <c r="W37" s="1573">
        <f t="shared" si="12"/>
        <v>100</v>
      </c>
      <c r="X37" s="1566"/>
      <c r="Y37" s="3738"/>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739" t="s">
        <v>551</v>
      </c>
      <c r="Q38" s="1571">
        <f t="shared" si="8"/>
        <v>111</v>
      </c>
      <c r="R38" s="1572" t="s">
        <v>8</v>
      </c>
      <c r="S38" s="1573">
        <f t="shared" si="10"/>
        <v>100</v>
      </c>
      <c r="T38" s="1572" t="s">
        <v>8</v>
      </c>
      <c r="U38" s="1573">
        <f t="shared" si="11"/>
        <v>100</v>
      </c>
      <c r="V38" s="1572" t="s">
        <v>8</v>
      </c>
      <c r="W38" s="1573">
        <f t="shared" si="12"/>
        <v>100</v>
      </c>
      <c r="X38" s="1566"/>
      <c r="Y38" s="3740" t="s">
        <v>551</v>
      </c>
      <c r="Z38" s="1574">
        <f t="shared" si="13"/>
        <v>111</v>
      </c>
      <c r="AA38" s="1575">
        <f t="shared" si="3"/>
        <v>1</v>
      </c>
      <c r="AB38" s="1575">
        <f t="shared" si="4"/>
        <v>1</v>
      </c>
      <c r="AC38" s="1575">
        <f t="shared" si="5"/>
        <v>1</v>
      </c>
    </row>
    <row r="39" spans="1:29" s="1337"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740"/>
      <c r="Q39" s="1571">
        <f t="shared" si="8"/>
        <v>111</v>
      </c>
      <c r="R39" s="1576" t="s">
        <v>8</v>
      </c>
      <c r="S39" s="1577">
        <f t="shared" si="10"/>
        <v>100</v>
      </c>
      <c r="T39" s="1576" t="s">
        <v>8</v>
      </c>
      <c r="U39" s="1577">
        <f t="shared" si="11"/>
        <v>100</v>
      </c>
      <c r="V39" s="1576" t="s">
        <v>8</v>
      </c>
      <c r="W39" s="1577">
        <f t="shared" si="12"/>
        <v>100</v>
      </c>
      <c r="X39" s="1578"/>
      <c r="Y39" s="3740"/>
      <c r="Z39" s="1579">
        <f t="shared" si="13"/>
        <v>111</v>
      </c>
      <c r="AA39" s="1575">
        <f t="shared" si="3"/>
        <v>1</v>
      </c>
      <c r="AB39" s="1575">
        <f t="shared" si="4"/>
        <v>1</v>
      </c>
      <c r="AC39" s="1575">
        <f t="shared" si="5"/>
        <v>1</v>
      </c>
    </row>
    <row r="40" spans="1:29" ht="20.25">
      <c r="A40" s="2932" t="s">
        <v>2757</v>
      </c>
      <c r="B40" s="595" t="s">
        <v>553</v>
      </c>
      <c r="C40" s="596">
        <f>'数据-基础表'!A3</f>
        <v>74806</v>
      </c>
      <c r="D40" s="597">
        <v>100</v>
      </c>
      <c r="E40" s="596">
        <f>土地案例!D2</f>
        <v>37113</v>
      </c>
      <c r="F40" s="597">
        <f>LOOKUP(E40,119:119,120:120)-LOOKUP(C40,119:119,120:120)+100</f>
        <v>98</v>
      </c>
      <c r="G40" s="596">
        <f>土地案例!D4</f>
        <v>5257</v>
      </c>
      <c r="H40" s="597">
        <f>LOOKUP(G40,119:119,120:120)-LOOKUP(C40,119:119,120:120)+100</f>
        <v>96</v>
      </c>
      <c r="I40" s="598">
        <f>土地案例!D9</f>
        <v>15343</v>
      </c>
      <c r="J40" s="597">
        <f>LOOKUP(I40,119:119,120:120)-LOOKUP(C40,119:119,120:120)+100</f>
        <v>97</v>
      </c>
      <c r="K40" s="581"/>
      <c r="L40" s="2142"/>
      <c r="M40" s="2132"/>
      <c r="N40" s="2132"/>
      <c r="O40" s="2141"/>
      <c r="P40" s="3740"/>
      <c r="Q40" s="1571" t="str">
        <f>B40</f>
        <v>宗地面积</v>
      </c>
      <c r="R40" s="1572" t="s">
        <v>8</v>
      </c>
      <c r="S40" s="1573">
        <f t="shared" si="10"/>
        <v>98</v>
      </c>
      <c r="T40" s="1572" t="s">
        <v>8</v>
      </c>
      <c r="U40" s="1573">
        <f t="shared" si="11"/>
        <v>96</v>
      </c>
      <c r="V40" s="1572" t="s">
        <v>8</v>
      </c>
      <c r="W40" s="1573">
        <f t="shared" si="12"/>
        <v>97</v>
      </c>
      <c r="X40" s="1566"/>
      <c r="Y40" s="3740"/>
      <c r="Z40" s="1574" t="str">
        <f t="shared" si="13"/>
        <v>宗地面积</v>
      </c>
      <c r="AA40" s="1575">
        <f t="shared" si="3"/>
        <v>1.0204081632653061</v>
      </c>
      <c r="AB40" s="1575">
        <f t="shared" si="4"/>
        <v>1.0416666666666667</v>
      </c>
      <c r="AC40" s="1575">
        <f t="shared" si="5"/>
        <v>1.0309278350515463</v>
      </c>
    </row>
    <row r="41" spans="1:29" ht="20.25">
      <c r="A41" s="594"/>
      <c r="B41" s="527" t="s">
        <v>554</v>
      </c>
      <c r="C41" s="599" t="s">
        <v>3404</v>
      </c>
      <c r="D41" s="540">
        <v>100</v>
      </c>
      <c r="E41" s="599" t="s">
        <v>3404</v>
      </c>
      <c r="F41" s="540">
        <f>SUMIF(121:121,E41,122:122)-SUMIF(121:121,C41,122:122)+100</f>
        <v>100</v>
      </c>
      <c r="G41" s="599" t="s">
        <v>3404</v>
      </c>
      <c r="H41" s="540">
        <f>SUMIF(121:121,G41,122:122)-SUMIF(121:121,C41,122:122)+100</f>
        <v>100</v>
      </c>
      <c r="I41" s="599" t="s">
        <v>3404</v>
      </c>
      <c r="J41" s="540">
        <f>SUMIF(121:121,I41,122:122)-SUMIF(121:121,C41,122:122)+100</f>
        <v>100</v>
      </c>
      <c r="K41" s="584">
        <v>1</v>
      </c>
      <c r="L41" s="2142"/>
      <c r="M41" s="2132"/>
      <c r="N41" s="2132"/>
      <c r="O41" s="2141"/>
      <c r="P41" s="3740"/>
      <c r="Q41" s="1571" t="str">
        <f t="shared" ref="Q41:Q47" si="14">B41</f>
        <v>宗地形状</v>
      </c>
      <c r="R41" s="1572" t="s">
        <v>8</v>
      </c>
      <c r="S41" s="1573">
        <f t="shared" si="10"/>
        <v>100</v>
      </c>
      <c r="T41" s="1572" t="s">
        <v>8</v>
      </c>
      <c r="U41" s="1573">
        <f t="shared" si="11"/>
        <v>100</v>
      </c>
      <c r="V41" s="1572" t="s">
        <v>8</v>
      </c>
      <c r="W41" s="1573">
        <f t="shared" si="12"/>
        <v>100</v>
      </c>
      <c r="X41" s="1566"/>
      <c r="Y41" s="3740"/>
      <c r="Z41" s="1574" t="str">
        <f t="shared" si="13"/>
        <v>宗地形状</v>
      </c>
      <c r="AA41" s="1575">
        <f t="shared" si="3"/>
        <v>1</v>
      </c>
      <c r="AB41" s="1575">
        <f t="shared" si="4"/>
        <v>1</v>
      </c>
      <c r="AC41" s="1575">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740"/>
      <c r="Q42" s="1571" t="str">
        <f t="shared" si="14"/>
        <v>临街宽度及深度</v>
      </c>
      <c r="R42" s="1572" t="s">
        <v>8</v>
      </c>
      <c r="S42" s="1573">
        <f t="shared" si="10"/>
        <v>100</v>
      </c>
      <c r="T42" s="1572" t="s">
        <v>8</v>
      </c>
      <c r="U42" s="1573">
        <f t="shared" si="11"/>
        <v>100</v>
      </c>
      <c r="V42" s="1572" t="s">
        <v>8</v>
      </c>
      <c r="W42" s="1573">
        <f t="shared" si="12"/>
        <v>100</v>
      </c>
      <c r="X42" s="1566"/>
      <c r="Y42" s="3740"/>
      <c r="Z42" s="1574" t="str">
        <f t="shared" si="13"/>
        <v>临街宽度及深度</v>
      </c>
      <c r="AA42" s="1575">
        <f t="shared" si="3"/>
        <v>1</v>
      </c>
      <c r="AB42" s="1575">
        <f t="shared" si="4"/>
        <v>1</v>
      </c>
      <c r="AC42" s="1575">
        <f t="shared" si="5"/>
        <v>1</v>
      </c>
    </row>
    <row r="43" spans="1:29" s="1218" customFormat="1" ht="20.25">
      <c r="A43" s="600"/>
      <c r="B43" s="1895" t="s">
        <v>2424</v>
      </c>
      <c r="C43" s="601" t="s">
        <v>3409</v>
      </c>
      <c r="D43" s="255">
        <v>100</v>
      </c>
      <c r="E43" s="601" t="s">
        <v>3409</v>
      </c>
      <c r="F43" s="540">
        <f>SUMIF(125:125,E43,126:126)-SUMIF(125:125,C43,126:126)+100</f>
        <v>100</v>
      </c>
      <c r="G43" s="601" t="s">
        <v>3409</v>
      </c>
      <c r="H43" s="540">
        <f>SUMIF(125:125,G43,126:126)-SUMIF(125:125,C43,126:126)+100</f>
        <v>100</v>
      </c>
      <c r="I43" s="601" t="s">
        <v>3409</v>
      </c>
      <c r="J43" s="540">
        <f>SUMIF(125:125,I43,126:126)-SUMIF(125:125,C43,126:126)+100</f>
        <v>100</v>
      </c>
      <c r="K43" s="584">
        <v>1</v>
      </c>
      <c r="L43" s="2135"/>
      <c r="M43" s="2132"/>
      <c r="N43" s="2132"/>
      <c r="O43" s="2137"/>
      <c r="P43" s="3740"/>
      <c r="Q43" s="1571" t="str">
        <f t="shared" si="14"/>
        <v>宗地开发程度</v>
      </c>
      <c r="R43" s="1567" t="s">
        <v>8</v>
      </c>
      <c r="S43" s="1568">
        <f t="shared" si="10"/>
        <v>100</v>
      </c>
      <c r="T43" s="1567" t="s">
        <v>8</v>
      </c>
      <c r="U43" s="1568">
        <f t="shared" si="11"/>
        <v>100</v>
      </c>
      <c r="V43" s="1567" t="s">
        <v>8</v>
      </c>
      <c r="W43" s="1568">
        <f t="shared" si="12"/>
        <v>100</v>
      </c>
      <c r="X43" s="1569"/>
      <c r="Y43" s="3740"/>
      <c r="Z43" s="1148" t="str">
        <f t="shared" si="13"/>
        <v>宗地开发程度</v>
      </c>
      <c r="AA43" s="1570">
        <f t="shared" si="3"/>
        <v>1</v>
      </c>
      <c r="AB43" s="1570">
        <f t="shared" si="4"/>
        <v>1</v>
      </c>
      <c r="AC43" s="1570">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740" t="s">
        <v>551</v>
      </c>
      <c r="Q44" s="1571" t="str">
        <f t="shared" si="14"/>
        <v>工程地质条件</v>
      </c>
      <c r="R44" s="1572" t="s">
        <v>8</v>
      </c>
      <c r="S44" s="1573">
        <f t="shared" si="10"/>
        <v>100</v>
      </c>
      <c r="T44" s="1572" t="s">
        <v>8</v>
      </c>
      <c r="U44" s="1573">
        <f t="shared" si="11"/>
        <v>100</v>
      </c>
      <c r="V44" s="1572" t="s">
        <v>8</v>
      </c>
      <c r="W44" s="1573">
        <f t="shared" si="12"/>
        <v>100</v>
      </c>
      <c r="X44" s="1566"/>
      <c r="Y44" s="3740" t="s">
        <v>551</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740"/>
      <c r="Q45" s="1571">
        <f t="shared" si="14"/>
        <v>111</v>
      </c>
      <c r="R45" s="1572" t="s">
        <v>8</v>
      </c>
      <c r="S45" s="1573">
        <f t="shared" si="10"/>
        <v>100</v>
      </c>
      <c r="T45" s="1572" t="s">
        <v>8</v>
      </c>
      <c r="U45" s="1573">
        <f t="shared" si="11"/>
        <v>100</v>
      </c>
      <c r="V45" s="1572" t="s">
        <v>8</v>
      </c>
      <c r="W45" s="1573">
        <f t="shared" si="12"/>
        <v>100</v>
      </c>
      <c r="X45" s="1566"/>
      <c r="Y45" s="3740"/>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740"/>
      <c r="Q46" s="1571">
        <f t="shared" si="14"/>
        <v>111</v>
      </c>
      <c r="R46" s="1572" t="s">
        <v>8</v>
      </c>
      <c r="S46" s="1573">
        <f t="shared" si="10"/>
        <v>100</v>
      </c>
      <c r="T46" s="1572" t="s">
        <v>8</v>
      </c>
      <c r="U46" s="1573">
        <f t="shared" si="11"/>
        <v>100</v>
      </c>
      <c r="V46" s="1572" t="s">
        <v>8</v>
      </c>
      <c r="W46" s="1573">
        <f t="shared" si="12"/>
        <v>100</v>
      </c>
      <c r="X46" s="1566"/>
      <c r="Y46" s="3740"/>
      <c r="Z46" s="1574">
        <f t="shared" si="13"/>
        <v>111</v>
      </c>
      <c r="AA46" s="1575">
        <f t="shared" si="3"/>
        <v>1</v>
      </c>
      <c r="AB46" s="1575">
        <f t="shared" si="4"/>
        <v>1</v>
      </c>
      <c r="AC46" s="1575">
        <f t="shared" si="5"/>
        <v>1</v>
      </c>
    </row>
    <row r="47" spans="1:29" s="1337"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740"/>
      <c r="Q47" s="1571">
        <f t="shared" si="14"/>
        <v>111</v>
      </c>
      <c r="R47" s="1576" t="s">
        <v>8</v>
      </c>
      <c r="S47" s="1577">
        <f t="shared" si="10"/>
        <v>100</v>
      </c>
      <c r="T47" s="1576" t="s">
        <v>8</v>
      </c>
      <c r="U47" s="1577">
        <f t="shared" si="11"/>
        <v>100</v>
      </c>
      <c r="V47" s="1576" t="s">
        <v>8</v>
      </c>
      <c r="W47" s="1577">
        <f t="shared" si="12"/>
        <v>100</v>
      </c>
      <c r="X47" s="1578"/>
      <c r="Y47" s="3740"/>
      <c r="Z47" s="1579">
        <f t="shared" si="13"/>
        <v>111</v>
      </c>
      <c r="AA47" s="1575">
        <f t="shared" si="3"/>
        <v>1</v>
      </c>
      <c r="AB47" s="1575">
        <f t="shared" si="4"/>
        <v>1</v>
      </c>
      <c r="AC47" s="1575">
        <f t="shared" si="5"/>
        <v>1</v>
      </c>
    </row>
    <row r="48" spans="1:29" ht="20.25">
      <c r="A48" s="607" t="s">
        <v>557</v>
      </c>
      <c r="B48" s="608" t="s">
        <v>3375</v>
      </c>
      <c r="C48" s="609" t="s">
        <v>1</v>
      </c>
      <c r="D48" s="610"/>
      <c r="E48" s="611">
        <f>ROUND(土地案例!K2,0)</f>
        <v>2212</v>
      </c>
      <c r="F48" s="612"/>
      <c r="G48" s="613">
        <f>ROUND(土地案例!K4,0)</f>
        <v>2332</v>
      </c>
      <c r="H48" s="614"/>
      <c r="I48" s="611">
        <f>ROUND(土地案例!K9,0)</f>
        <v>2035</v>
      </c>
      <c r="J48" s="614"/>
      <c r="K48" s="1338"/>
      <c r="L48" s="2144"/>
      <c r="M48" s="2132"/>
      <c r="N48" s="2132"/>
      <c r="O48" s="2145"/>
      <c r="P48" s="3703" t="str">
        <f>A48</f>
        <v>成交单价</v>
      </c>
      <c r="Q48" s="3703"/>
      <c r="R48" s="3704">
        <f>E48</f>
        <v>2212</v>
      </c>
      <c r="S48" s="3704"/>
      <c r="T48" s="3704">
        <f>G48</f>
        <v>2332</v>
      </c>
      <c r="U48" s="3704"/>
      <c r="V48" s="3704">
        <f>I48</f>
        <v>2035</v>
      </c>
      <c r="W48" s="3704"/>
      <c r="X48" s="1558"/>
      <c r="Y48" s="1580"/>
      <c r="Z48" s="1558"/>
      <c r="AA48" s="1558"/>
      <c r="AB48" s="1558"/>
      <c r="AC48" s="1558"/>
    </row>
    <row r="49" spans="1:29" ht="21" thickBot="1">
      <c r="A49" s="615" t="s">
        <v>2695</v>
      </c>
      <c r="B49" s="616"/>
      <c r="C49" s="617">
        <f>R50</f>
        <v>2231</v>
      </c>
      <c r="D49" s="618"/>
      <c r="E49" s="617">
        <f>R49</f>
        <v>2213</v>
      </c>
      <c r="F49" s="619"/>
      <c r="G49" s="620">
        <f>T49</f>
        <v>2382</v>
      </c>
      <c r="H49" s="618"/>
      <c r="I49" s="617">
        <f>V49</f>
        <v>2099</v>
      </c>
      <c r="J49" s="618"/>
      <c r="K49" s="1339"/>
      <c r="L49" s="2144"/>
      <c r="M49" s="2132"/>
      <c r="N49" s="2132"/>
      <c r="O49" s="2145"/>
      <c r="P49" s="3703" t="str">
        <f>A49</f>
        <v>比较价格（元/平方米）</v>
      </c>
      <c r="Q49" s="3703"/>
      <c r="R49" s="3705">
        <f>ROUND(PRODUCT(R48,AA9:AA47),0)</f>
        <v>2213</v>
      </c>
      <c r="S49" s="3705"/>
      <c r="T49" s="3705">
        <f>ROUND(PRODUCT(T48,AB9:AB47),0)</f>
        <v>2382</v>
      </c>
      <c r="U49" s="3705"/>
      <c r="V49" s="3705">
        <f>ROUND(PRODUCT(V48,AC9:AC47),0)</f>
        <v>2099</v>
      </c>
      <c r="W49" s="3705"/>
      <c r="X49" s="1558"/>
      <c r="Y49" s="1558"/>
      <c r="Z49" s="1558"/>
      <c r="AA49" s="1558"/>
      <c r="AB49" s="1558"/>
      <c r="AC49" s="1558"/>
    </row>
    <row r="50" spans="1:29" ht="21" thickBot="1">
      <c r="A50" s="621" t="s">
        <v>2931</v>
      </c>
      <c r="B50" s="622"/>
      <c r="C50" s="623">
        <f>R50</f>
        <v>2231</v>
      </c>
      <c r="D50" s="623"/>
      <c r="E50" s="623"/>
      <c r="F50" s="623"/>
      <c r="G50" s="623"/>
      <c r="H50" s="623"/>
      <c r="I50" s="623"/>
      <c r="J50" s="623"/>
      <c r="K50" s="1340"/>
      <c r="L50" s="2144"/>
      <c r="M50" s="2132"/>
      <c r="N50" s="2132"/>
      <c r="O50" s="2145"/>
      <c r="P50" s="3700" t="str">
        <f>A50</f>
        <v>估价对象XX用房的比较价格（楼面单价，元/平方米）</v>
      </c>
      <c r="Q50" s="3701"/>
      <c r="R50" s="3702">
        <f>ROUND(AVERAGE(R49:V49),0)</f>
        <v>2231</v>
      </c>
      <c r="S50" s="3702"/>
      <c r="T50" s="3702"/>
      <c r="U50" s="3702"/>
      <c r="V50" s="3702"/>
      <c r="W50" s="3702"/>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4.5207956600368249E-4</v>
      </c>
      <c r="F53" s="627" t="str">
        <f>IF(OR(E53&gt;=0.3,E53&lt;=-0.3),"超过30%","")</f>
        <v/>
      </c>
      <c r="G53" s="626">
        <f>IF(G48&lt;G49,G49/G48-1,G48/G49-1)</f>
        <v>2.1440823327615766E-2</v>
      </c>
      <c r="H53" s="627" t="str">
        <f>IF(OR(G53&gt;=0.3,G53&lt;=-0.3),"超过30%","")</f>
        <v/>
      </c>
      <c r="I53" s="626">
        <f>IF(I48&lt;I49,I49/I48-1,I48/I49-1)</f>
        <v>3.1449631449631532E-2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7.6366922729326658E-2</v>
      </c>
      <c r="F54" s="627" t="str">
        <f>IF(OR(E54&gt;=0.2,E54&lt;=-0.2),"超过20%","")</f>
        <v/>
      </c>
      <c r="G54" s="626">
        <f>IF(G49&lt;I49,I49/G49-1,G49/I49-1)</f>
        <v>0.13482610767031922</v>
      </c>
      <c r="H54" s="627" t="str">
        <f>IF(OR(G54&gt;=0.2,G54&lt;=-0.2),"超过20%","")</f>
        <v/>
      </c>
      <c r="I54" s="626">
        <f>IF(I49&lt;E49,E49/I49-1,I49/E49-1)</f>
        <v>5.4311576941400652E-2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4" t="s">
        <v>560</v>
      </c>
      <c r="D55" s="628"/>
      <c r="E55" s="626">
        <f>IF(E48&lt;G48,G48/E48-1,E48/G48-1)</f>
        <v>5.4249547920433905E-2</v>
      </c>
      <c r="F55" s="627" t="str">
        <f>IF(OR(E55&gt;=0.3,E55&lt;=-0.3),"超过30%","")</f>
        <v/>
      </c>
      <c r="G55" s="626">
        <f>IF(G48&lt;I48,I48/G48-1,G48/I48-1)</f>
        <v>0.14594594594594601</v>
      </c>
      <c r="H55" s="627" t="str">
        <f>IF(OR(G55&gt;=0.3,G55&lt;=-0.3),"超过30%","")</f>
        <v/>
      </c>
      <c r="I55" s="626">
        <f>IF(I48&lt;E48,E48/I48-1,I48/E48-1)</f>
        <v>8.6977886977886998E-2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561</v>
      </c>
      <c r="B57" s="630" t="s">
        <v>562</v>
      </c>
      <c r="C57" s="1559" t="s">
        <v>1725</v>
      </c>
      <c r="D57" s="2227" t="s">
        <v>2294</v>
      </c>
      <c r="E57" s="631" t="s">
        <v>563</v>
      </c>
      <c r="F57" s="632" t="s">
        <v>564</v>
      </c>
      <c r="G57" s="3729" t="s">
        <v>2282</v>
      </c>
      <c r="H57" s="3730"/>
      <c r="I57" s="1554" t="s">
        <v>1723</v>
      </c>
      <c r="J57" s="1554" t="str">
        <f>项目基本情况!F41</f>
        <v>广东省惠州市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3" t="s">
        <v>565</v>
      </c>
      <c r="B58" s="634">
        <f>C50</f>
        <v>2231</v>
      </c>
      <c r="C58" s="635">
        <v>1</v>
      </c>
      <c r="D58" s="2228">
        <v>1</v>
      </c>
      <c r="E58" s="635">
        <f>'数据-汇总表'!E8+'数据-汇总表'!E9</f>
        <v>257721</v>
      </c>
      <c r="F58" s="636">
        <f t="shared" ref="F58:F67" si="15">ROUND(B58*E58/10000,0)</f>
        <v>57498</v>
      </c>
      <c r="G58" s="3731"/>
      <c r="H58" s="3732"/>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7" t="s">
        <v>566</v>
      </c>
      <c r="B59" s="638">
        <f>ROUND($C$50*C59*D59,0)</f>
        <v>0</v>
      </c>
      <c r="C59" s="378">
        <f t="shared" ref="C59:C67" si="16">IF($C$57="北京市系数",I59,J59)</f>
        <v>0</v>
      </c>
      <c r="D59" s="2229">
        <v>0.25</v>
      </c>
      <c r="E59" s="639">
        <v>0</v>
      </c>
      <c r="F59" s="636">
        <f t="shared" si="15"/>
        <v>0</v>
      </c>
      <c r="G59" s="3733"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7" t="s">
        <v>567</v>
      </c>
      <c r="B60" s="638">
        <f t="shared" ref="B60:B67" si="17">ROUND($C$50*C60*D60,0)</f>
        <v>0</v>
      </c>
      <c r="C60" s="378">
        <f t="shared" si="16"/>
        <v>0</v>
      </c>
      <c r="D60" s="2229">
        <v>0.25</v>
      </c>
      <c r="E60" s="639">
        <v>0</v>
      </c>
      <c r="F60" s="636">
        <f t="shared" si="15"/>
        <v>0</v>
      </c>
      <c r="G60" s="3733"/>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7" t="s">
        <v>568</v>
      </c>
      <c r="B61" s="638">
        <f t="shared" si="17"/>
        <v>0</v>
      </c>
      <c r="C61" s="378">
        <f t="shared" si="16"/>
        <v>0</v>
      </c>
      <c r="D61" s="2229">
        <v>0.25</v>
      </c>
      <c r="E61" s="639">
        <v>0</v>
      </c>
      <c r="F61" s="636">
        <f t="shared" si="15"/>
        <v>0</v>
      </c>
      <c r="G61" s="3733"/>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7" t="s">
        <v>569</v>
      </c>
      <c r="B62" s="638">
        <f t="shared" si="17"/>
        <v>0</v>
      </c>
      <c r="C62" s="378">
        <f t="shared" si="16"/>
        <v>0</v>
      </c>
      <c r="D62" s="2229">
        <v>0.25</v>
      </c>
      <c r="E62" s="639">
        <v>0</v>
      </c>
      <c r="F62" s="636">
        <f t="shared" si="15"/>
        <v>0</v>
      </c>
      <c r="G62" s="3733"/>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2327</v>
      </c>
      <c r="B63" s="638">
        <f t="shared" si="17"/>
        <v>0</v>
      </c>
      <c r="C63" s="378">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7" t="s">
        <v>570</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7" t="s">
        <v>571</v>
      </c>
      <c r="B65" s="638">
        <f t="shared" si="17"/>
        <v>0</v>
      </c>
      <c r="C65" s="378">
        <f t="shared" si="16"/>
        <v>0</v>
      </c>
      <c r="D65" s="2229">
        <v>0.25</v>
      </c>
      <c r="E65" s="641">
        <f>'数据-汇总表'!E13</f>
        <v>96520</v>
      </c>
      <c r="F65" s="636">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7" t="s">
        <v>572</v>
      </c>
      <c r="B66" s="638">
        <f t="shared" si="17"/>
        <v>0</v>
      </c>
      <c r="C66" s="378">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7" t="s">
        <v>573</v>
      </c>
      <c r="B67" s="638">
        <f t="shared" si="17"/>
        <v>0</v>
      </c>
      <c r="C67" s="378">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2" t="s">
        <v>574</v>
      </c>
      <c r="B68" s="643" t="s">
        <v>17</v>
      </c>
      <c r="C68" s="643" t="s">
        <v>18</v>
      </c>
      <c r="D68" s="643" t="s">
        <v>2295</v>
      </c>
      <c r="E68" s="643">
        <f>IF(B48="楼面地价",SUM(E58:E67),'数据-汇总表'!D3)</f>
        <v>354241</v>
      </c>
      <c r="F68" s="644">
        <f>IF(B48="楼面地价",SUM(F58:F67),ROUND(C50*E68/10000,0))</f>
        <v>57498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2018-2-1</v>
      </c>
      <c r="D70" s="2824">
        <f>EDATE(C70,-3)</f>
        <v>43040</v>
      </c>
      <c r="E70" s="2824">
        <f t="shared" ref="E70:N70" si="18">EDATE(D70,-3)</f>
        <v>42948</v>
      </c>
      <c r="F70" s="2824">
        <f t="shared" si="18"/>
        <v>42856</v>
      </c>
      <c r="G70" s="2824">
        <f t="shared" si="18"/>
        <v>42767</v>
      </c>
      <c r="H70" s="2824">
        <f t="shared" si="18"/>
        <v>42675</v>
      </c>
      <c r="I70" s="2824">
        <f t="shared" si="18"/>
        <v>42583</v>
      </c>
      <c r="J70" s="2824">
        <f t="shared" si="18"/>
        <v>42491</v>
      </c>
      <c r="K70" s="2824">
        <f t="shared" si="18"/>
        <v>42401</v>
      </c>
      <c r="L70" s="2824">
        <f t="shared" si="18"/>
        <v>42309</v>
      </c>
      <c r="M70" s="2824">
        <f t="shared" si="18"/>
        <v>42217</v>
      </c>
      <c r="N70" s="2824">
        <f t="shared" si="18"/>
        <v>42125</v>
      </c>
      <c r="O70" s="2145"/>
      <c r="P70" s="2145"/>
      <c r="Q70" s="2145"/>
      <c r="R70" s="2145"/>
      <c r="S70" s="2145"/>
      <c r="T70" s="2145"/>
      <c r="U70" s="2145"/>
      <c r="V70" s="2145"/>
      <c r="W70" s="2145"/>
      <c r="X70" s="2145"/>
      <c r="Y70" s="2145"/>
      <c r="Z70" s="2145"/>
      <c r="AA70" s="2145"/>
      <c r="AB70" s="2145"/>
      <c r="AC70" s="2145"/>
    </row>
    <row r="71" spans="1:29" ht="21.75" thickBot="1">
      <c r="A71" s="1583" t="s">
        <v>575</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92" t="s">
        <v>2534</v>
      </c>
      <c r="B72" s="2593"/>
      <c r="C72" s="2819" t="str">
        <f>YEAR(C70)&amp;"-"&amp;ROUNDUP(MONTH(C70)/3,0)</f>
        <v>2018-1</v>
      </c>
      <c r="D72" s="2826" t="str">
        <f>YEAR(D70)&amp;"-"&amp;ROUNDUP(MONTH(D70)/3,0)</f>
        <v>2017-4</v>
      </c>
      <c r="E72" s="2826" t="str">
        <f t="shared" ref="E72:N72" si="19">YEAR(E70)&amp;"-"&amp;ROUNDUP(MONTH(E70)/3,0)</f>
        <v>2017-3</v>
      </c>
      <c r="F72" s="2826" t="str">
        <f t="shared" si="19"/>
        <v>2017-2</v>
      </c>
      <c r="G72" s="2826" t="str">
        <f t="shared" si="19"/>
        <v>2017-1</v>
      </c>
      <c r="H72" s="2826" t="str">
        <f t="shared" si="19"/>
        <v>2016-4</v>
      </c>
      <c r="I72" s="2826" t="str">
        <f t="shared" si="19"/>
        <v>2016-3</v>
      </c>
      <c r="J72" s="2826" t="str">
        <f t="shared" si="19"/>
        <v>2016-2</v>
      </c>
      <c r="K72" s="2826" t="str">
        <f t="shared" si="19"/>
        <v>2016-1</v>
      </c>
      <c r="L72" s="2826" t="str">
        <f t="shared" si="19"/>
        <v>2015-4</v>
      </c>
      <c r="M72" s="2826" t="str">
        <f t="shared" si="19"/>
        <v>2015-3</v>
      </c>
      <c r="N72" s="2826" t="str">
        <f t="shared" si="19"/>
        <v>2015-2</v>
      </c>
      <c r="O72" s="2159"/>
      <c r="P72" s="2160"/>
      <c r="Q72" s="2161"/>
      <c r="R72" s="2161"/>
      <c r="S72" s="2161"/>
      <c r="T72" s="2161"/>
      <c r="U72" s="2161"/>
      <c r="V72" s="2161"/>
      <c r="W72" s="2161"/>
      <c r="X72" s="2161"/>
      <c r="Y72" s="2161"/>
      <c r="Z72" s="2161"/>
      <c r="AA72" s="2161"/>
      <c r="AB72" s="2161"/>
      <c r="AC72" s="2161"/>
    </row>
    <row r="73" spans="1:29" s="1218" customFormat="1" ht="27" customHeight="1">
      <c r="A73" s="2831" t="s">
        <v>2649</v>
      </c>
      <c r="B73" s="479" t="str">
        <f>"北京市平均增长率"&amp;TEXT(SUMIF(基准地价!N21:N25,A73,基准地价!P21:P25),"0.00%")</f>
        <v>北京市平均增长率2.30%</v>
      </c>
      <c r="C73" s="893">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821" t="s">
        <v>2648</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8"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7"/>
      <c r="B84" s="673" t="str">
        <f>B14</f>
        <v>配建</v>
      </c>
      <c r="C84" s="688"/>
      <c r="D84" s="1374"/>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7"/>
      <c r="B102" s="1896" t="s">
        <v>2550</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7"/>
      <c r="B104" s="2621" t="s">
        <v>2552</v>
      </c>
      <c r="C104" s="2622" t="s">
        <v>2553</v>
      </c>
      <c r="D104" s="2622" t="s">
        <v>2554</v>
      </c>
      <c r="E104" s="2622" t="s">
        <v>2555</v>
      </c>
      <c r="F104" s="2622" t="s">
        <v>2556</v>
      </c>
      <c r="G104" s="2622"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552</v>
      </c>
      <c r="B118" s="665" t="s">
        <v>594</v>
      </c>
      <c r="C118" s="704" t="str">
        <f t="shared" ref="C118:L118" si="26">C119&amp;"(含)"&amp;"-"&amp;D119</f>
        <v>0(含)-10000</v>
      </c>
      <c r="D118" s="704" t="str">
        <f t="shared" si="26"/>
        <v>10000(含)-30000</v>
      </c>
      <c r="E118" s="704" t="str">
        <f t="shared" si="26"/>
        <v>30000(含)-50000</v>
      </c>
      <c r="F118" s="704" t="str">
        <f t="shared" si="26"/>
        <v>50000(含)-70000</v>
      </c>
      <c r="G118" s="704" t="str">
        <f t="shared" si="26"/>
        <v>70000(含)-90000</v>
      </c>
      <c r="H118" s="704" t="str">
        <f t="shared" si="26"/>
        <v>90000(含)-</v>
      </c>
      <c r="I118" s="704" t="str">
        <f t="shared" si="26"/>
        <v>(含)-</v>
      </c>
      <c r="J118" s="3116" t="str">
        <f t="shared" si="26"/>
        <v>(含)-</v>
      </c>
      <c r="K118" s="3116" t="str">
        <f t="shared" si="26"/>
        <v>(含)-</v>
      </c>
      <c r="L118" s="3117" t="str">
        <f t="shared" si="26"/>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30000</v>
      </c>
      <c r="F119" s="730">
        <v>50000</v>
      </c>
      <c r="G119" s="730">
        <v>70000</v>
      </c>
      <c r="H119" s="730">
        <v>90000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26">
        <v>102</v>
      </c>
      <c r="F120" s="726">
        <v>103</v>
      </c>
      <c r="G120" s="726">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3504" t="s">
        <v>3402</v>
      </c>
      <c r="D121" s="3504" t="s">
        <v>3403</v>
      </c>
      <c r="E121" s="3504" t="s">
        <v>3405</v>
      </c>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8"/>
      <c r="B125" s="1896" t="s">
        <v>2425</v>
      </c>
      <c r="C125" s="1374" t="s">
        <v>3406</v>
      </c>
      <c r="D125" s="1374" t="s">
        <v>3407</v>
      </c>
      <c r="E125" s="1374" t="s">
        <v>3408</v>
      </c>
      <c r="F125" s="1374" t="s">
        <v>3410</v>
      </c>
      <c r="G125" s="1374"/>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517</v>
      </c>
      <c r="B1" s="503"/>
      <c r="C1" s="504" t="s">
        <v>598</v>
      </c>
      <c r="D1" s="505" t="s">
        <v>519</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4"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522</v>
      </c>
      <c r="B6" s="513"/>
      <c r="C6" s="3709" t="s">
        <v>523</v>
      </c>
      <c r="D6" s="3710"/>
      <c r="E6" s="3743" t="s">
        <v>524</v>
      </c>
      <c r="F6" s="3744"/>
      <c r="G6" s="3709" t="s">
        <v>525</v>
      </c>
      <c r="H6" s="3710"/>
      <c r="I6" s="3709" t="s">
        <v>526</v>
      </c>
      <c r="J6" s="3710"/>
      <c r="K6" s="514" t="s">
        <v>527</v>
      </c>
      <c r="L6" s="2133"/>
      <c r="M6" s="2134"/>
      <c r="N6" s="2134"/>
      <c r="O6" s="2134"/>
      <c r="P6" s="3711" t="s">
        <v>528</v>
      </c>
      <c r="Q6" s="3712"/>
      <c r="R6" s="3717" t="s">
        <v>524</v>
      </c>
      <c r="S6" s="3718"/>
      <c r="T6" s="3717" t="s">
        <v>525</v>
      </c>
      <c r="U6" s="3718"/>
      <c r="V6" s="3704" t="s">
        <v>526</v>
      </c>
      <c r="W6" s="3704"/>
      <c r="X6" s="1566"/>
      <c r="Y6" s="3717" t="s">
        <v>528</v>
      </c>
      <c r="Z6" s="3718"/>
      <c r="AA6" s="3706" t="s">
        <v>524</v>
      </c>
      <c r="AB6" s="3707" t="s">
        <v>525</v>
      </c>
      <c r="AC6" s="3706" t="s">
        <v>526</v>
      </c>
    </row>
    <row r="7" spans="1:29" ht="15">
      <c r="A7" s="515"/>
      <c r="B7" s="516"/>
      <c r="C7" s="3725" t="s">
        <v>2925</v>
      </c>
      <c r="D7" s="3726"/>
      <c r="E7" s="3745" t="s">
        <v>2926</v>
      </c>
      <c r="F7" s="3746"/>
      <c r="G7" s="3725" t="s">
        <v>2927</v>
      </c>
      <c r="H7" s="3726"/>
      <c r="I7" s="3725" t="s">
        <v>2928</v>
      </c>
      <c r="J7" s="3726"/>
      <c r="K7" s="514"/>
      <c r="L7" s="2133"/>
      <c r="M7" s="2134"/>
      <c r="N7" s="2134"/>
      <c r="O7" s="2134"/>
      <c r="P7" s="3713"/>
      <c r="Q7" s="3714"/>
      <c r="R7" s="3719"/>
      <c r="S7" s="3720"/>
      <c r="T7" s="3719"/>
      <c r="U7" s="3720"/>
      <c r="V7" s="3704"/>
      <c r="W7" s="3704"/>
      <c r="X7" s="1566"/>
      <c r="Y7" s="3719"/>
      <c r="Z7" s="3720"/>
      <c r="AA7" s="3707"/>
      <c r="AB7" s="3707"/>
      <c r="AC7" s="3707"/>
    </row>
    <row r="8" spans="1:29" ht="15.75" thickBot="1">
      <c r="A8" s="517"/>
      <c r="B8" s="518"/>
      <c r="C8" s="3723" t="s">
        <v>2929</v>
      </c>
      <c r="D8" s="3724"/>
      <c r="E8" s="3741" t="s">
        <v>2929</v>
      </c>
      <c r="F8" s="3742"/>
      <c r="G8" s="3723" t="s">
        <v>2929</v>
      </c>
      <c r="H8" s="3724"/>
      <c r="I8" s="3723" t="s">
        <v>2929</v>
      </c>
      <c r="J8" s="3724"/>
      <c r="K8" s="514" t="s">
        <v>529</v>
      </c>
      <c r="L8" s="2133"/>
      <c r="M8" s="2134"/>
      <c r="N8" s="2134"/>
      <c r="O8" s="2134"/>
      <c r="P8" s="3715"/>
      <c r="Q8" s="3716"/>
      <c r="R8" s="3719"/>
      <c r="S8" s="3720"/>
      <c r="T8" s="3721"/>
      <c r="U8" s="3722"/>
      <c r="V8" s="3704"/>
      <c r="W8" s="3704"/>
      <c r="X8" s="1566"/>
      <c r="Y8" s="3721"/>
      <c r="Z8" s="3722"/>
      <c r="AA8" s="3708"/>
      <c r="AB8" s="3708"/>
      <c r="AC8" s="3708"/>
    </row>
    <row r="9" spans="1:29" s="1218" customFormat="1" ht="15.75" thickBot="1">
      <c r="A9" s="2936"/>
      <c r="B9" s="2943" t="s">
        <v>530</v>
      </c>
      <c r="C9" s="519">
        <f>'数据-取费表'!B2</f>
        <v>43138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34" t="s">
        <v>531</v>
      </c>
      <c r="Q9" s="3736"/>
      <c r="R9" s="1567" t="s">
        <v>8</v>
      </c>
      <c r="S9" s="1568">
        <f t="shared" ref="S9:S17" si="0">F9</f>
        <v>0</v>
      </c>
      <c r="T9" s="1567" t="s">
        <v>8</v>
      </c>
      <c r="U9" s="1568">
        <f t="shared" ref="U9:U17" si="1">H9</f>
        <v>0</v>
      </c>
      <c r="V9" s="1567" t="s">
        <v>8</v>
      </c>
      <c r="W9" s="1568">
        <f t="shared" ref="W9:W17" si="2">J9</f>
        <v>0</v>
      </c>
      <c r="X9" s="1569"/>
      <c r="Y9" s="3734" t="s">
        <v>531</v>
      </c>
      <c r="Z9" s="3735"/>
      <c r="AA9" s="1570" t="e">
        <f>D9/F9</f>
        <v>#DIV/0!</v>
      </c>
      <c r="AB9" s="1570" t="e">
        <f>D9/H9</f>
        <v>#DIV/0!</v>
      </c>
      <c r="AC9" s="1570" t="e">
        <f>D9/J9</f>
        <v>#DIV/0!</v>
      </c>
    </row>
    <row r="10" spans="1:29" s="1218" customFormat="1" ht="15.75" thickBot="1">
      <c r="A10" s="2937"/>
      <c r="B10" s="2944"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34" t="s">
        <v>534</v>
      </c>
      <c r="Q10" s="3735"/>
      <c r="R10" s="1567" t="s">
        <v>8</v>
      </c>
      <c r="S10" s="1568">
        <f t="shared" si="0"/>
        <v>0</v>
      </c>
      <c r="T10" s="1567" t="s">
        <v>8</v>
      </c>
      <c r="U10" s="1568">
        <f t="shared" si="1"/>
        <v>0</v>
      </c>
      <c r="V10" s="1567" t="s">
        <v>8</v>
      </c>
      <c r="W10" s="1568">
        <f t="shared" si="2"/>
        <v>0</v>
      </c>
      <c r="X10" s="1569"/>
      <c r="Y10" s="3734" t="s">
        <v>534</v>
      </c>
      <c r="Z10" s="3735"/>
      <c r="AA10" s="1570" t="e">
        <f t="shared" ref="AA10:AA42" si="3">D10/F10</f>
        <v>#DIV/0!</v>
      </c>
      <c r="AB10" s="1570" t="e">
        <f t="shared" ref="AB10:AB42" si="4">D10/H10</f>
        <v>#DIV/0!</v>
      </c>
      <c r="AC10" s="1570" t="e">
        <f t="shared" ref="AC10:AC42" si="5">D10/J10</f>
        <v>#DIV/0!</v>
      </c>
    </row>
    <row r="11" spans="1:29" s="1218" customFormat="1" ht="15">
      <c r="A11" s="2938"/>
      <c r="B11" s="2945"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703" t="s">
        <v>536</v>
      </c>
      <c r="Q11" s="1149" t="str">
        <f t="shared" ref="Q11:Q17" si="6">B11</f>
        <v>用途</v>
      </c>
      <c r="R11" s="1567" t="s">
        <v>8</v>
      </c>
      <c r="S11" s="1568">
        <f t="shared" si="0"/>
        <v>100</v>
      </c>
      <c r="T11" s="1567" t="s">
        <v>8</v>
      </c>
      <c r="U11" s="1568">
        <f t="shared" si="1"/>
        <v>100</v>
      </c>
      <c r="V11" s="1567" t="s">
        <v>8</v>
      </c>
      <c r="W11" s="1568">
        <f t="shared" si="2"/>
        <v>100</v>
      </c>
      <c r="X11" s="1569"/>
      <c r="Y11" s="3649" t="s">
        <v>537</v>
      </c>
      <c r="Z11" s="1148" t="str">
        <f t="shared" ref="Z11:Z17" si="7">Q11</f>
        <v>用途</v>
      </c>
      <c r="AA11" s="1570">
        <f t="shared" si="3"/>
        <v>1</v>
      </c>
      <c r="AB11" s="1570">
        <f t="shared" si="4"/>
        <v>1</v>
      </c>
      <c r="AC11" s="1570">
        <f t="shared" si="5"/>
        <v>1</v>
      </c>
    </row>
    <row r="12" spans="1:29" s="1336" customFormat="1" ht="27">
      <c r="A12" s="2939"/>
      <c r="B12" s="2944" t="s">
        <v>2759</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703"/>
      <c r="Q12" s="1149" t="str">
        <f t="shared" si="6"/>
        <v>土地使用年限（年）</v>
      </c>
      <c r="R12" s="1567" t="s">
        <v>8</v>
      </c>
      <c r="S12" s="1568">
        <f t="shared" si="0"/>
        <v>102</v>
      </c>
      <c r="T12" s="1567" t="s">
        <v>8</v>
      </c>
      <c r="U12" s="1568">
        <f t="shared" si="1"/>
        <v>102</v>
      </c>
      <c r="V12" s="1567" t="s">
        <v>8</v>
      </c>
      <c r="W12" s="1568">
        <f t="shared" si="2"/>
        <v>102</v>
      </c>
      <c r="X12" s="1569"/>
      <c r="Y12" s="3649"/>
      <c r="Z12" s="1148" t="str">
        <f t="shared" si="7"/>
        <v>土地使用年限（年）</v>
      </c>
      <c r="AA12" s="1570">
        <f t="shared" si="3"/>
        <v>0.98039215686274506</v>
      </c>
      <c r="AB12" s="1570">
        <f t="shared" si="4"/>
        <v>0.98039215686274506</v>
      </c>
      <c r="AC12" s="1570">
        <f t="shared" si="5"/>
        <v>0.98039215686274506</v>
      </c>
    </row>
    <row r="13" spans="1:29" ht="15">
      <c r="A13" s="2940"/>
      <c r="B13" s="2944"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703"/>
      <c r="Q13" s="1149" t="str">
        <f t="shared" si="6"/>
        <v>容积率</v>
      </c>
      <c r="R13" s="1567" t="s">
        <v>8</v>
      </c>
      <c r="S13" s="1568" t="e">
        <f t="shared" si="0"/>
        <v>#N/A</v>
      </c>
      <c r="T13" s="1567" t="s">
        <v>8</v>
      </c>
      <c r="U13" s="1568" t="e">
        <f t="shared" si="1"/>
        <v>#N/A</v>
      </c>
      <c r="V13" s="1567" t="s">
        <v>8</v>
      </c>
      <c r="W13" s="1568" t="e">
        <f t="shared" si="2"/>
        <v>#N/A</v>
      </c>
      <c r="X13" s="1569"/>
      <c r="Y13" s="3649"/>
      <c r="Z13" s="1148" t="str">
        <f t="shared" si="7"/>
        <v>容积率</v>
      </c>
      <c r="AA13" s="1570" t="e">
        <f t="shared" si="3"/>
        <v>#N/A</v>
      </c>
      <c r="AB13" s="1570" t="e">
        <f t="shared" si="4"/>
        <v>#N/A</v>
      </c>
      <c r="AC13" s="1570" t="e">
        <f t="shared" si="5"/>
        <v>#N/A</v>
      </c>
    </row>
    <row r="14" spans="1:29" s="1218"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703"/>
      <c r="Q14" s="1149">
        <f t="shared" si="6"/>
        <v>111</v>
      </c>
      <c r="R14" s="1567" t="s">
        <v>8</v>
      </c>
      <c r="S14" s="1568">
        <f t="shared" si="0"/>
        <v>100</v>
      </c>
      <c r="T14" s="1567" t="s">
        <v>8</v>
      </c>
      <c r="U14" s="1568">
        <f t="shared" si="1"/>
        <v>100</v>
      </c>
      <c r="V14" s="1567" t="s">
        <v>8</v>
      </c>
      <c r="W14" s="1568">
        <f t="shared" si="2"/>
        <v>100</v>
      </c>
      <c r="X14" s="1569"/>
      <c r="Y14" s="3649"/>
      <c r="Z14" s="1148">
        <f t="shared" si="7"/>
        <v>111</v>
      </c>
      <c r="AA14" s="1570">
        <f>D14/F14</f>
        <v>1</v>
      </c>
      <c r="AB14" s="1570">
        <f>D14/H14</f>
        <v>1</v>
      </c>
      <c r="AC14" s="1570">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703"/>
      <c r="Q15" s="1149">
        <f t="shared" si="6"/>
        <v>111</v>
      </c>
      <c r="R15" s="1567" t="s">
        <v>8</v>
      </c>
      <c r="S15" s="1568">
        <f t="shared" si="0"/>
        <v>100</v>
      </c>
      <c r="T15" s="1567" t="s">
        <v>8</v>
      </c>
      <c r="U15" s="1568">
        <f t="shared" si="1"/>
        <v>100</v>
      </c>
      <c r="V15" s="1567" t="s">
        <v>8</v>
      </c>
      <c r="W15" s="1568">
        <f t="shared" si="2"/>
        <v>100</v>
      </c>
      <c r="X15" s="1569"/>
      <c r="Y15" s="3649"/>
      <c r="Z15" s="1148">
        <f t="shared" si="7"/>
        <v>111</v>
      </c>
      <c r="AA15" s="1570">
        <f t="shared" si="3"/>
        <v>1</v>
      </c>
      <c r="AB15" s="1570">
        <f t="shared" si="4"/>
        <v>1</v>
      </c>
      <c r="AC15" s="1570">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703"/>
      <c r="Q16" s="1149">
        <f t="shared" si="6"/>
        <v>111</v>
      </c>
      <c r="R16" s="1567" t="s">
        <v>8</v>
      </c>
      <c r="S16" s="1568">
        <f t="shared" si="0"/>
        <v>100</v>
      </c>
      <c r="T16" s="1567" t="s">
        <v>8</v>
      </c>
      <c r="U16" s="1568">
        <f t="shared" si="1"/>
        <v>100</v>
      </c>
      <c r="V16" s="1567" t="s">
        <v>8</v>
      </c>
      <c r="W16" s="1568">
        <f t="shared" si="2"/>
        <v>100</v>
      </c>
      <c r="X16" s="1569"/>
      <c r="Y16" s="3649"/>
      <c r="Z16" s="1148">
        <f t="shared" si="7"/>
        <v>111</v>
      </c>
      <c r="AA16" s="1570">
        <f t="shared" si="3"/>
        <v>1</v>
      </c>
      <c r="AB16" s="1570">
        <f t="shared" si="4"/>
        <v>1</v>
      </c>
      <c r="AC16" s="1570">
        <f t="shared" si="5"/>
        <v>1</v>
      </c>
    </row>
    <row r="17" spans="1:29" ht="57">
      <c r="A17" s="2934" t="s">
        <v>2756</v>
      </c>
      <c r="B17" s="166" t="s">
        <v>599</v>
      </c>
      <c r="C17" s="919"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737" t="s">
        <v>541</v>
      </c>
      <c r="Q17" s="1571" t="str">
        <f t="shared" si="6"/>
        <v>产业集聚程度</v>
      </c>
      <c r="R17" s="1572" t="s">
        <v>8</v>
      </c>
      <c r="S17" s="1573">
        <f t="shared" si="0"/>
        <v>100</v>
      </c>
      <c r="T17" s="1572" t="s">
        <v>8</v>
      </c>
      <c r="U17" s="1573">
        <f t="shared" si="1"/>
        <v>100</v>
      </c>
      <c r="V17" s="1572" t="s">
        <v>8</v>
      </c>
      <c r="W17" s="1573">
        <f t="shared" si="2"/>
        <v>100</v>
      </c>
      <c r="X17" s="1566"/>
      <c r="Y17" s="3737" t="s">
        <v>541</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738"/>
      <c r="Q18" s="1571"/>
      <c r="R18" s="1572"/>
      <c r="S18" s="1573"/>
      <c r="T18" s="1572"/>
      <c r="U18" s="1573"/>
      <c r="V18" s="1572"/>
      <c r="W18" s="1573"/>
      <c r="X18" s="1566"/>
      <c r="Y18" s="3738"/>
      <c r="Z18" s="1574"/>
      <c r="AA18" s="1575">
        <v>1</v>
      </c>
      <c r="AB18" s="1575">
        <v>1</v>
      </c>
      <c r="AC18" s="1575">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738"/>
      <c r="Q19" s="1571" t="str">
        <f>B19</f>
        <v>交通便捷度</v>
      </c>
      <c r="R19" s="1572" t="s">
        <v>8</v>
      </c>
      <c r="S19" s="1573">
        <f>F19</f>
        <v>100</v>
      </c>
      <c r="T19" s="1572" t="s">
        <v>8</v>
      </c>
      <c r="U19" s="1573">
        <f>H19</f>
        <v>100</v>
      </c>
      <c r="V19" s="1572" t="s">
        <v>8</v>
      </c>
      <c r="W19" s="1573">
        <f>J19</f>
        <v>100</v>
      </c>
      <c r="X19" s="1566"/>
      <c r="Y19" s="3738"/>
      <c r="Z19" s="1574" t="str">
        <f>Q19</f>
        <v>交通便捷度</v>
      </c>
      <c r="AA19" s="1575">
        <f t="shared" si="3"/>
        <v>1</v>
      </c>
      <c r="AB19" s="1575">
        <f t="shared" si="4"/>
        <v>1</v>
      </c>
      <c r="AC19" s="1575">
        <f t="shared" si="5"/>
        <v>1</v>
      </c>
    </row>
    <row r="20" spans="1:29" ht="15">
      <c r="A20" s="532"/>
      <c r="B20" s="920"/>
      <c r="C20" s="576"/>
      <c r="D20" s="555"/>
      <c r="E20" s="556"/>
      <c r="F20" s="555"/>
      <c r="G20" s="556"/>
      <c r="H20" s="555"/>
      <c r="I20" s="558"/>
      <c r="J20" s="555"/>
      <c r="K20" s="531"/>
      <c r="L20" s="2142"/>
      <c r="M20" s="2134"/>
      <c r="N20" s="2134"/>
      <c r="O20" s="2141"/>
      <c r="P20" s="3738"/>
      <c r="Q20" s="1571"/>
      <c r="R20" s="1572"/>
      <c r="S20" s="1573"/>
      <c r="T20" s="1572"/>
      <c r="U20" s="1573"/>
      <c r="V20" s="1572"/>
      <c r="W20" s="1573"/>
      <c r="X20" s="1566"/>
      <c r="Y20" s="3738"/>
      <c r="Z20" s="1574"/>
      <c r="AA20" s="1575">
        <v>1</v>
      </c>
      <c r="AB20" s="1575">
        <v>1</v>
      </c>
      <c r="AC20" s="1575">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42"/>
      <c r="M21" s="2134"/>
      <c r="N21" s="2134"/>
      <c r="O21" s="2141"/>
      <c r="P21" s="3738"/>
      <c r="Q21" s="1571" t="str">
        <f t="shared" ref="Q21:Q35" si="8">B21</f>
        <v>区域土地利用方向</v>
      </c>
      <c r="R21" s="1572" t="s">
        <v>8</v>
      </c>
      <c r="S21" s="1573">
        <f>F21</f>
        <v>100</v>
      </c>
      <c r="T21" s="1572" t="s">
        <v>8</v>
      </c>
      <c r="U21" s="1573">
        <f>H21</f>
        <v>100</v>
      </c>
      <c r="V21" s="1572" t="s">
        <v>8</v>
      </c>
      <c r="W21" s="1573">
        <f>J21</f>
        <v>100</v>
      </c>
      <c r="X21" s="1566"/>
      <c r="Y21" s="3738"/>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6"/>
      <c r="L22" s="2142"/>
      <c r="M22" s="2134"/>
      <c r="N22" s="2134"/>
      <c r="O22" s="2141"/>
      <c r="P22" s="3738"/>
      <c r="Q22" s="1571"/>
      <c r="R22" s="1572"/>
      <c r="S22" s="1573"/>
      <c r="T22" s="1572"/>
      <c r="U22" s="1573"/>
      <c r="V22" s="1572"/>
      <c r="W22" s="1573"/>
      <c r="X22" s="1566"/>
      <c r="Y22" s="3738"/>
      <c r="Z22" s="1574"/>
      <c r="AA22" s="1575"/>
      <c r="AB22" s="1575"/>
      <c r="AC22" s="1575"/>
    </row>
    <row r="23" spans="1:29" ht="71.25">
      <c r="A23" s="515"/>
      <c r="B23" s="920"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738"/>
      <c r="Q23" s="1571" t="str">
        <f t="shared" si="8"/>
        <v>环境状况</v>
      </c>
      <c r="R23" s="1572" t="s">
        <v>8</v>
      </c>
      <c r="S23" s="1573">
        <f>F23</f>
        <v>100</v>
      </c>
      <c r="T23" s="1572" t="s">
        <v>8</v>
      </c>
      <c r="U23" s="1573">
        <f>H23</f>
        <v>100</v>
      </c>
      <c r="V23" s="1572" t="s">
        <v>8</v>
      </c>
      <c r="W23" s="1573">
        <f>J23</f>
        <v>100</v>
      </c>
      <c r="X23" s="1566"/>
      <c r="Y23" s="3738"/>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738"/>
      <c r="Q24" s="1571"/>
      <c r="R24" s="1572"/>
      <c r="S24" s="1573"/>
      <c r="T24" s="1572"/>
      <c r="U24" s="1573"/>
      <c r="V24" s="1572"/>
      <c r="W24" s="1573"/>
      <c r="X24" s="1566"/>
      <c r="Y24" s="3738"/>
      <c r="Z24" s="1574"/>
      <c r="AA24" s="1575">
        <v>1</v>
      </c>
      <c r="AB24" s="1575">
        <v>1</v>
      </c>
      <c r="AC24" s="1575">
        <v>1</v>
      </c>
    </row>
    <row r="25" spans="1:29" s="1218" customFormat="1" ht="42.75">
      <c r="A25" s="577"/>
      <c r="B25" s="2617"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738"/>
      <c r="Q25" s="1149" t="str">
        <f t="shared" si="8"/>
        <v>公共配套设施</v>
      </c>
      <c r="R25" s="1567" t="s">
        <v>8</v>
      </c>
      <c r="S25" s="1568">
        <f>F25</f>
        <v>100</v>
      </c>
      <c r="T25" s="1567" t="s">
        <v>8</v>
      </c>
      <c r="U25" s="1568">
        <f>H25</f>
        <v>100</v>
      </c>
      <c r="V25" s="1567" t="s">
        <v>8</v>
      </c>
      <c r="W25" s="1568">
        <f>J25</f>
        <v>100</v>
      </c>
      <c r="X25" s="1569"/>
      <c r="Y25" s="3738"/>
      <c r="Z25" s="1148" t="str">
        <f>Q25</f>
        <v>公共配套设施</v>
      </c>
      <c r="AA25" s="1575">
        <f>D25/F25</f>
        <v>1</v>
      </c>
      <c r="AB25" s="1575">
        <f>D25/H25</f>
        <v>1</v>
      </c>
      <c r="AC25" s="1575">
        <f>D25/J25</f>
        <v>1</v>
      </c>
    </row>
    <row r="26" spans="1:29" s="1218" customFormat="1" ht="15">
      <c r="A26" s="577"/>
      <c r="B26" s="595"/>
      <c r="C26" s="2616"/>
      <c r="D26" s="555"/>
      <c r="E26" s="554"/>
      <c r="F26" s="555"/>
      <c r="G26" s="554"/>
      <c r="H26" s="555"/>
      <c r="I26" s="576"/>
      <c r="J26" s="555"/>
      <c r="K26" s="531"/>
      <c r="L26" s="2135"/>
      <c r="M26" s="2136"/>
      <c r="N26" s="2136"/>
      <c r="O26" s="2137"/>
      <c r="P26" s="3738"/>
      <c r="Q26" s="1149"/>
      <c r="R26" s="1567"/>
      <c r="S26" s="1568"/>
      <c r="T26" s="1567"/>
      <c r="U26" s="1568"/>
      <c r="V26" s="1567"/>
      <c r="W26" s="1568"/>
      <c r="X26" s="1569"/>
      <c r="Y26" s="3738"/>
      <c r="Z26" s="1148"/>
      <c r="AA26" s="1570">
        <v>1</v>
      </c>
      <c r="AB26" s="1570">
        <v>1</v>
      </c>
      <c r="AC26" s="1570">
        <v>1</v>
      </c>
    </row>
    <row r="27" spans="1:29" s="1218" customFormat="1" ht="28.5">
      <c r="A27" s="577"/>
      <c r="B27" s="2617"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738"/>
      <c r="Q27" s="2602" t="str">
        <f t="shared" ref="Q27" si="9">B27</f>
        <v>基础设施水平</v>
      </c>
      <c r="R27" s="1567" t="s">
        <v>8</v>
      </c>
      <c r="S27" s="1568">
        <f>F27</f>
        <v>100</v>
      </c>
      <c r="T27" s="1567" t="s">
        <v>8</v>
      </c>
      <c r="U27" s="1568">
        <f>H27</f>
        <v>100</v>
      </c>
      <c r="V27" s="1567" t="s">
        <v>8</v>
      </c>
      <c r="W27" s="1568">
        <f>J27</f>
        <v>100</v>
      </c>
      <c r="X27" s="1569"/>
      <c r="Y27" s="3738"/>
      <c r="Z27" s="2599" t="str">
        <f>Q27</f>
        <v>基础设施水平</v>
      </c>
      <c r="AA27" s="1575">
        <f>D27/F27</f>
        <v>1</v>
      </c>
      <c r="AB27" s="1575">
        <f>D27/H27</f>
        <v>1</v>
      </c>
      <c r="AC27" s="1575">
        <f>D27/J27</f>
        <v>1</v>
      </c>
    </row>
    <row r="28" spans="1:29" s="1218" customFormat="1" ht="15">
      <c r="A28" s="577"/>
      <c r="B28" s="595"/>
      <c r="C28" s="2616"/>
      <c r="D28" s="555"/>
      <c r="E28" s="579"/>
      <c r="F28" s="555"/>
      <c r="G28" s="579"/>
      <c r="H28" s="555"/>
      <c r="I28" s="579"/>
      <c r="J28" s="555"/>
      <c r="K28" s="531"/>
      <c r="L28" s="2135"/>
      <c r="M28" s="2136"/>
      <c r="N28" s="2136"/>
      <c r="O28" s="2137"/>
      <c r="P28" s="3738"/>
      <c r="Q28" s="2602"/>
      <c r="R28" s="1567"/>
      <c r="S28" s="1568"/>
      <c r="T28" s="1567"/>
      <c r="U28" s="1568"/>
      <c r="V28" s="1567"/>
      <c r="W28" s="1568"/>
      <c r="X28" s="1569"/>
      <c r="Y28" s="3738"/>
      <c r="Z28" s="2599"/>
      <c r="AA28" s="1570">
        <v>1</v>
      </c>
      <c r="AB28" s="1570">
        <v>1</v>
      </c>
      <c r="AC28" s="1570">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73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738"/>
      <c r="Z29" s="1574" t="str">
        <f t="shared" ref="Z29:Z42" si="13">Q29</f>
        <v>临街状况</v>
      </c>
      <c r="AA29" s="1575">
        <f t="shared" si="3"/>
        <v>1</v>
      </c>
      <c r="AB29" s="1575">
        <f t="shared" si="4"/>
        <v>1</v>
      </c>
      <c r="AC29" s="1575">
        <f t="shared" si="5"/>
        <v>1</v>
      </c>
    </row>
    <row r="30" spans="1:29" ht="27">
      <c r="A30" s="532"/>
      <c r="B30" s="920"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738"/>
      <c r="Q30" s="1571" t="str">
        <f t="shared" si="8"/>
        <v>毗邻道路的类型与等级</v>
      </c>
      <c r="R30" s="1572" t="s">
        <v>8</v>
      </c>
      <c r="S30" s="1573">
        <f t="shared" si="10"/>
        <v>100</v>
      </c>
      <c r="T30" s="1572" t="s">
        <v>8</v>
      </c>
      <c r="U30" s="1573">
        <f t="shared" si="11"/>
        <v>100</v>
      </c>
      <c r="V30" s="1572" t="s">
        <v>8</v>
      </c>
      <c r="W30" s="1573">
        <f t="shared" si="12"/>
        <v>100</v>
      </c>
      <c r="X30" s="1566"/>
      <c r="Y30" s="3738"/>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738"/>
      <c r="Q31" s="1571"/>
      <c r="R31" s="1572"/>
      <c r="S31" s="1573"/>
      <c r="T31" s="1572"/>
      <c r="U31" s="1573"/>
      <c r="V31" s="1572"/>
      <c r="W31" s="1573"/>
      <c r="X31" s="1566"/>
      <c r="Y31" s="3738"/>
      <c r="Z31" s="1574"/>
      <c r="AA31" s="1575">
        <v>1</v>
      </c>
      <c r="AB31" s="1575">
        <v>1</v>
      </c>
      <c r="AC31" s="1575">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738"/>
      <c r="Q32" s="1571" t="str">
        <f t="shared" si="8"/>
        <v>土地级别</v>
      </c>
      <c r="R32" s="1572" t="s">
        <v>8</v>
      </c>
      <c r="S32" s="1573">
        <f t="shared" si="10"/>
        <v>100</v>
      </c>
      <c r="T32" s="1572" t="s">
        <v>8</v>
      </c>
      <c r="U32" s="1573">
        <f t="shared" si="11"/>
        <v>100</v>
      </c>
      <c r="V32" s="1572" t="s">
        <v>8</v>
      </c>
      <c r="W32" s="1573">
        <f t="shared" si="12"/>
        <v>100</v>
      </c>
      <c r="X32" s="1566"/>
      <c r="Y32" s="3738"/>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738"/>
      <c r="Q33" s="1571">
        <f t="shared" si="8"/>
        <v>111</v>
      </c>
      <c r="R33" s="1572" t="s">
        <v>8</v>
      </c>
      <c r="S33" s="1573">
        <f t="shared" si="10"/>
        <v>100</v>
      </c>
      <c r="T33" s="1572" t="s">
        <v>8</v>
      </c>
      <c r="U33" s="1573">
        <f t="shared" si="11"/>
        <v>100</v>
      </c>
      <c r="V33" s="1572" t="s">
        <v>8</v>
      </c>
      <c r="W33" s="1573">
        <f t="shared" si="12"/>
        <v>100</v>
      </c>
      <c r="X33" s="1566"/>
      <c r="Y33" s="3738"/>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739" t="s">
        <v>551</v>
      </c>
      <c r="Q34" s="1571">
        <f t="shared" si="8"/>
        <v>111</v>
      </c>
      <c r="R34" s="1572" t="s">
        <v>8</v>
      </c>
      <c r="S34" s="1573">
        <f t="shared" si="10"/>
        <v>100</v>
      </c>
      <c r="T34" s="1572" t="s">
        <v>8</v>
      </c>
      <c r="U34" s="1573">
        <f t="shared" si="11"/>
        <v>100</v>
      </c>
      <c r="V34" s="1572" t="s">
        <v>8</v>
      </c>
      <c r="W34" s="1573">
        <f t="shared" si="12"/>
        <v>100</v>
      </c>
      <c r="X34" s="1566"/>
      <c r="Y34" s="3740" t="s">
        <v>551</v>
      </c>
      <c r="Z34" s="1574">
        <f t="shared" si="13"/>
        <v>111</v>
      </c>
      <c r="AA34" s="1575">
        <f t="shared" si="3"/>
        <v>1</v>
      </c>
      <c r="AB34" s="1575">
        <f t="shared" si="4"/>
        <v>1</v>
      </c>
      <c r="AC34" s="1575">
        <f t="shared" si="5"/>
        <v>1</v>
      </c>
    </row>
    <row r="35" spans="1:29" s="1337"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740"/>
      <c r="Q35" s="1571">
        <f t="shared" si="8"/>
        <v>111</v>
      </c>
      <c r="R35" s="1576" t="s">
        <v>8</v>
      </c>
      <c r="S35" s="1577">
        <f t="shared" si="10"/>
        <v>100</v>
      </c>
      <c r="T35" s="1576" t="s">
        <v>8</v>
      </c>
      <c r="U35" s="1577">
        <f t="shared" si="11"/>
        <v>100</v>
      </c>
      <c r="V35" s="1576" t="s">
        <v>8</v>
      </c>
      <c r="W35" s="1577">
        <f t="shared" si="12"/>
        <v>100</v>
      </c>
      <c r="X35" s="1578"/>
      <c r="Y35" s="3740"/>
      <c r="Z35" s="1579">
        <f t="shared" si="13"/>
        <v>111</v>
      </c>
      <c r="AA35" s="1575">
        <f t="shared" si="3"/>
        <v>1</v>
      </c>
      <c r="AB35" s="1575">
        <f t="shared" si="4"/>
        <v>1</v>
      </c>
      <c r="AC35" s="1575">
        <f t="shared" si="5"/>
        <v>1</v>
      </c>
    </row>
    <row r="36" spans="1:29" ht="15">
      <c r="A36" s="2932" t="s">
        <v>2757</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740"/>
      <c r="Q36" s="1571" t="str">
        <f>B36</f>
        <v>宗地面积</v>
      </c>
      <c r="R36" s="1572" t="s">
        <v>8</v>
      </c>
      <c r="S36" s="1573" t="e">
        <f t="shared" si="10"/>
        <v>#N/A</v>
      </c>
      <c r="T36" s="1572" t="s">
        <v>8</v>
      </c>
      <c r="U36" s="1573" t="e">
        <f t="shared" si="11"/>
        <v>#N/A</v>
      </c>
      <c r="V36" s="1572" t="s">
        <v>8</v>
      </c>
      <c r="W36" s="1573" t="e">
        <f t="shared" si="12"/>
        <v>#N/A</v>
      </c>
      <c r="X36" s="1566"/>
      <c r="Y36" s="3740"/>
      <c r="Z36" s="1574" t="str">
        <f t="shared" si="13"/>
        <v>宗地面积</v>
      </c>
      <c r="AA36" s="1575" t="e">
        <f t="shared" si="3"/>
        <v>#N/A</v>
      </c>
      <c r="AB36" s="1575" t="e">
        <f t="shared" si="4"/>
        <v>#N/A</v>
      </c>
      <c r="AC36" s="1575"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740"/>
      <c r="Q37" s="1571" t="str">
        <f t="shared" ref="Q37:Q42" si="14">B37</f>
        <v>宗地形状</v>
      </c>
      <c r="R37" s="1572" t="s">
        <v>8</v>
      </c>
      <c r="S37" s="1573">
        <f t="shared" si="10"/>
        <v>100</v>
      </c>
      <c r="T37" s="1572" t="s">
        <v>8</v>
      </c>
      <c r="U37" s="1573">
        <f t="shared" si="11"/>
        <v>100</v>
      </c>
      <c r="V37" s="1572" t="s">
        <v>8</v>
      </c>
      <c r="W37" s="1573">
        <f t="shared" si="12"/>
        <v>100</v>
      </c>
      <c r="X37" s="1566"/>
      <c r="Y37" s="3740"/>
      <c r="Z37" s="1574" t="str">
        <f t="shared" si="13"/>
        <v>宗地形状</v>
      </c>
      <c r="AA37" s="1575">
        <f t="shared" si="3"/>
        <v>1</v>
      </c>
      <c r="AB37" s="1575">
        <f t="shared" si="4"/>
        <v>1</v>
      </c>
      <c r="AC37" s="1575">
        <f t="shared" si="5"/>
        <v>1</v>
      </c>
    </row>
    <row r="38" spans="1:29" s="1218"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740"/>
      <c r="Q38" s="1571" t="str">
        <f t="shared" si="14"/>
        <v>宗地开发程度</v>
      </c>
      <c r="R38" s="1567" t="s">
        <v>8</v>
      </c>
      <c r="S38" s="1568">
        <f t="shared" si="10"/>
        <v>100</v>
      </c>
      <c r="T38" s="1567" t="s">
        <v>8</v>
      </c>
      <c r="U38" s="1568">
        <f t="shared" si="11"/>
        <v>100</v>
      </c>
      <c r="V38" s="1567" t="s">
        <v>8</v>
      </c>
      <c r="W38" s="1568">
        <f t="shared" si="12"/>
        <v>100</v>
      </c>
      <c r="X38" s="1569"/>
      <c r="Y38" s="3740"/>
      <c r="Z38" s="1148" t="str">
        <f t="shared" si="13"/>
        <v>宗地开发程度</v>
      </c>
      <c r="AA38" s="1570">
        <f t="shared" si="3"/>
        <v>1</v>
      </c>
      <c r="AB38" s="1570">
        <f t="shared" si="4"/>
        <v>1</v>
      </c>
      <c r="AC38" s="1570">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40" t="s">
        <v>602</v>
      </c>
      <c r="Q39" s="1571" t="str">
        <f t="shared" si="14"/>
        <v>工程地质条件</v>
      </c>
      <c r="R39" s="1572" t="s">
        <v>8</v>
      </c>
      <c r="S39" s="1573">
        <f t="shared" si="10"/>
        <v>100</v>
      </c>
      <c r="T39" s="1572" t="s">
        <v>8</v>
      </c>
      <c r="U39" s="1573">
        <f t="shared" si="11"/>
        <v>100</v>
      </c>
      <c r="V39" s="1572" t="s">
        <v>8</v>
      </c>
      <c r="W39" s="1573">
        <f t="shared" si="12"/>
        <v>100</v>
      </c>
      <c r="X39" s="1566"/>
      <c r="Y39" s="3740" t="s">
        <v>602</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740"/>
      <c r="Q40" s="1571">
        <f t="shared" si="14"/>
        <v>111</v>
      </c>
      <c r="R40" s="1572" t="s">
        <v>8</v>
      </c>
      <c r="S40" s="1573">
        <f t="shared" si="10"/>
        <v>100</v>
      </c>
      <c r="T40" s="1572" t="s">
        <v>8</v>
      </c>
      <c r="U40" s="1573">
        <f t="shared" si="11"/>
        <v>100</v>
      </c>
      <c r="V40" s="1572" t="s">
        <v>8</v>
      </c>
      <c r="W40" s="1573">
        <f t="shared" si="12"/>
        <v>100</v>
      </c>
      <c r="X40" s="1566"/>
      <c r="Y40" s="3740"/>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740"/>
      <c r="Q41" s="1571">
        <f t="shared" si="14"/>
        <v>111</v>
      </c>
      <c r="R41" s="1572" t="s">
        <v>8</v>
      </c>
      <c r="S41" s="1573">
        <f t="shared" si="10"/>
        <v>100</v>
      </c>
      <c r="T41" s="1572" t="s">
        <v>8</v>
      </c>
      <c r="U41" s="1573">
        <f t="shared" si="11"/>
        <v>100</v>
      </c>
      <c r="V41" s="1572" t="s">
        <v>8</v>
      </c>
      <c r="W41" s="1573">
        <f t="shared" si="12"/>
        <v>100</v>
      </c>
      <c r="X41" s="1566"/>
      <c r="Y41" s="3740"/>
      <c r="Z41" s="1574">
        <f t="shared" si="13"/>
        <v>111</v>
      </c>
      <c r="AA41" s="1575">
        <f t="shared" si="3"/>
        <v>1</v>
      </c>
      <c r="AB41" s="1575">
        <f t="shared" si="4"/>
        <v>1</v>
      </c>
      <c r="AC41" s="1575">
        <f t="shared" si="5"/>
        <v>1</v>
      </c>
    </row>
    <row r="42" spans="1:29" s="1337"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740"/>
      <c r="Q42" s="1571">
        <f t="shared" si="14"/>
        <v>111</v>
      </c>
      <c r="R42" s="1576" t="s">
        <v>8</v>
      </c>
      <c r="S42" s="1577">
        <f t="shared" si="10"/>
        <v>100</v>
      </c>
      <c r="T42" s="1576" t="s">
        <v>8</v>
      </c>
      <c r="U42" s="1577">
        <f t="shared" si="11"/>
        <v>100</v>
      </c>
      <c r="V42" s="1576" t="s">
        <v>8</v>
      </c>
      <c r="W42" s="1577">
        <f t="shared" si="12"/>
        <v>100</v>
      </c>
      <c r="X42" s="1578"/>
      <c r="Y42" s="3740"/>
      <c r="Z42" s="1579">
        <f t="shared" si="13"/>
        <v>111</v>
      </c>
      <c r="AA42" s="1575">
        <f t="shared" si="3"/>
        <v>1</v>
      </c>
      <c r="AB42" s="1575">
        <f t="shared" si="4"/>
        <v>1</v>
      </c>
      <c r="AC42" s="1575">
        <f t="shared" si="5"/>
        <v>1</v>
      </c>
    </row>
    <row r="43" spans="1:29" ht="15">
      <c r="A43" s="607" t="s">
        <v>557</v>
      </c>
      <c r="B43" s="608" t="s">
        <v>2930</v>
      </c>
      <c r="C43" s="609" t="s">
        <v>1</v>
      </c>
      <c r="D43" s="610"/>
      <c r="E43" s="611"/>
      <c r="F43" s="612"/>
      <c r="G43" s="613"/>
      <c r="H43" s="614"/>
      <c r="I43" s="611"/>
      <c r="J43" s="614"/>
      <c r="K43" s="1338"/>
      <c r="L43" s="2144"/>
      <c r="M43" s="2134"/>
      <c r="N43" s="2134"/>
      <c r="O43" s="2145"/>
      <c r="P43" s="3703" t="str">
        <f>A43</f>
        <v>成交单价</v>
      </c>
      <c r="Q43" s="3703"/>
      <c r="R43" s="3704">
        <f>E43</f>
        <v>0</v>
      </c>
      <c r="S43" s="3704"/>
      <c r="T43" s="3704">
        <f>G43</f>
        <v>0</v>
      </c>
      <c r="U43" s="3704"/>
      <c r="V43" s="3704">
        <f>I43</f>
        <v>0</v>
      </c>
      <c r="W43" s="3704"/>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39"/>
      <c r="L44" s="2144"/>
      <c r="M44" s="2134"/>
      <c r="N44" s="2134"/>
      <c r="O44" s="2145"/>
      <c r="P44" s="3703" t="str">
        <f>A44</f>
        <v>比较价格（元/平方米）</v>
      </c>
      <c r="Q44" s="3703"/>
      <c r="R44" s="3705" t="e">
        <f>ROUND(PRODUCT(R43,AA9:AA42),0)</f>
        <v>#DIV/0!</v>
      </c>
      <c r="S44" s="3705"/>
      <c r="T44" s="3705" t="e">
        <f>ROUND(PRODUCT(T43,AB9:AB42),0)</f>
        <v>#DIV/0!</v>
      </c>
      <c r="U44" s="3705"/>
      <c r="V44" s="3705" t="e">
        <f>ROUND(PRODUCT(V43,AC9:AC42),0)</f>
        <v>#DIV/0!</v>
      </c>
      <c r="W44" s="3705"/>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0"/>
      <c r="L45" s="2144"/>
      <c r="M45" s="2134"/>
      <c r="N45" s="2134"/>
      <c r="O45" s="2145"/>
      <c r="P45" s="3700" t="str">
        <f>A45</f>
        <v>估价对象XX用房的比较价格（楼面单价，元/平方米）</v>
      </c>
      <c r="Q45" s="3701"/>
      <c r="R45" s="3702" t="e">
        <f>ROUND(AVERAGE(R44:V44),0)</f>
        <v>#DIV/0!</v>
      </c>
      <c r="S45" s="3702"/>
      <c r="T45" s="3702"/>
      <c r="U45" s="3702"/>
      <c r="V45" s="3702"/>
      <c r="W45" s="3702"/>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59" t="s">
        <v>1725</v>
      </c>
      <c r="D52" s="2227" t="s">
        <v>2294</v>
      </c>
      <c r="E52" s="631" t="s">
        <v>563</v>
      </c>
      <c r="F52" s="1951" t="s">
        <v>564</v>
      </c>
      <c r="G52" s="3747" t="s">
        <v>2285</v>
      </c>
      <c r="H52" s="3748"/>
      <c r="I52" s="1952" t="s">
        <v>1948</v>
      </c>
      <c r="J52" s="1554" t="str">
        <f>项目基本情况!F41</f>
        <v>广东省惠州市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3" t="s">
        <v>565</v>
      </c>
      <c r="B53" s="634" t="e">
        <f>C45</f>
        <v>#DIV/0!</v>
      </c>
      <c r="C53" s="635">
        <v>1</v>
      </c>
      <c r="D53" s="2228">
        <v>1</v>
      </c>
      <c r="E53" s="635">
        <f>'数据-汇总表'!E8+'数据-汇总表'!E9</f>
        <v>257721</v>
      </c>
      <c r="F53" s="1950" t="e">
        <f t="shared" ref="F53:F62" si="15">ROUND(B53*E53/10000,0)</f>
        <v>#DIV/0!</v>
      </c>
      <c r="G53" s="3749"/>
      <c r="H53" s="3750"/>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7" t="s">
        <v>566</v>
      </c>
      <c r="B54" s="638" t="e">
        <f>ROUND($C$45*C54*D54,0)</f>
        <v>#DIV/0!</v>
      </c>
      <c r="C54" s="378">
        <f t="shared" ref="C54:C62" si="16">IF($C$52="北京市系数",I54,J54)</f>
        <v>0</v>
      </c>
      <c r="D54" s="2229">
        <v>0.25</v>
      </c>
      <c r="E54" s="639"/>
      <c r="F54" s="1950" t="e">
        <f t="shared" si="15"/>
        <v>#DIV/0!</v>
      </c>
      <c r="G54" s="3751"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7" t="s">
        <v>567</v>
      </c>
      <c r="B55" s="638" t="e">
        <f t="shared" ref="B55:B62" si="17">ROUND($C$45*C55*D55,0)</f>
        <v>#DIV/0!</v>
      </c>
      <c r="C55" s="378">
        <f t="shared" si="16"/>
        <v>0</v>
      </c>
      <c r="D55" s="2229">
        <v>0.25</v>
      </c>
      <c r="E55" s="639"/>
      <c r="F55" s="1950" t="e">
        <f t="shared" si="15"/>
        <v>#DIV/0!</v>
      </c>
      <c r="G55" s="3751"/>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7" t="s">
        <v>568</v>
      </c>
      <c r="B56" s="638" t="e">
        <f t="shared" si="17"/>
        <v>#DIV/0!</v>
      </c>
      <c r="C56" s="378">
        <f t="shared" si="16"/>
        <v>0</v>
      </c>
      <c r="D56" s="2229">
        <v>0.25</v>
      </c>
      <c r="E56" s="639"/>
      <c r="F56" s="1950" t="e">
        <f t="shared" si="15"/>
        <v>#DIV/0!</v>
      </c>
      <c r="G56" s="3751"/>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7" t="s">
        <v>569</v>
      </c>
      <c r="B57" s="638" t="e">
        <f t="shared" si="17"/>
        <v>#DIV/0!</v>
      </c>
      <c r="C57" s="378">
        <f t="shared" si="16"/>
        <v>0</v>
      </c>
      <c r="D57" s="2229">
        <v>0.25</v>
      </c>
      <c r="E57" s="639"/>
      <c r="F57" s="1950" t="e">
        <f t="shared" si="15"/>
        <v>#DIV/0!</v>
      </c>
      <c r="G57" s="3751"/>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2327</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7" t="s">
        <v>570</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7" t="s">
        <v>571</v>
      </c>
      <c r="B60" s="638" t="e">
        <f t="shared" si="17"/>
        <v>#DIV/0!</v>
      </c>
      <c r="C60" s="378">
        <f t="shared" si="16"/>
        <v>0</v>
      </c>
      <c r="D60" s="2229">
        <v>0.25</v>
      </c>
      <c r="E60" s="641">
        <f>'数据-汇总表'!E13</f>
        <v>96520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7" t="s">
        <v>572</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7" t="s">
        <v>573</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2" t="s">
        <v>574</v>
      </c>
      <c r="B63" s="643" t="s">
        <v>17</v>
      </c>
      <c r="C63" s="643" t="s">
        <v>18</v>
      </c>
      <c r="D63" s="643" t="s">
        <v>2295</v>
      </c>
      <c r="E63" s="643">
        <f>IF(B43="楼面地价",SUM(E53:E62),'数据-汇总表'!D3)</f>
        <v>74806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2018-2-1</v>
      </c>
      <c r="D65" s="2824">
        <f>EDATE(C65,-3)</f>
        <v>43040</v>
      </c>
      <c r="E65" s="2824">
        <f t="shared" ref="E65:N65" si="18">EDATE(D65,-3)</f>
        <v>42948</v>
      </c>
      <c r="F65" s="2824">
        <f t="shared" si="18"/>
        <v>42856</v>
      </c>
      <c r="G65" s="2824">
        <f t="shared" si="18"/>
        <v>42767</v>
      </c>
      <c r="H65" s="2824">
        <f t="shared" si="18"/>
        <v>42675</v>
      </c>
      <c r="I65" s="2824">
        <f t="shared" si="18"/>
        <v>42583</v>
      </c>
      <c r="J65" s="2824">
        <f t="shared" si="18"/>
        <v>42491</v>
      </c>
      <c r="K65" s="2824">
        <f t="shared" si="18"/>
        <v>42401</v>
      </c>
      <c r="L65" s="2824">
        <f t="shared" si="18"/>
        <v>42309</v>
      </c>
      <c r="M65" s="2824">
        <f t="shared" si="18"/>
        <v>42217</v>
      </c>
      <c r="N65" s="2824">
        <f t="shared" si="18"/>
        <v>42125</v>
      </c>
      <c r="O65" s="2145"/>
      <c r="P65" s="2145"/>
      <c r="Q65" s="2145"/>
      <c r="R65" s="2145"/>
      <c r="S65" s="2145"/>
      <c r="T65" s="2145"/>
      <c r="U65" s="2145"/>
      <c r="V65" s="2145"/>
      <c r="W65" s="2145"/>
      <c r="X65" s="2145"/>
      <c r="Y65" s="2145"/>
      <c r="Z65" s="2145"/>
      <c r="AA65" s="2145"/>
      <c r="AB65" s="2145"/>
      <c r="AC65" s="2145"/>
    </row>
    <row r="66" spans="1:29" ht="21.75" thickBot="1">
      <c r="A66" s="1583" t="s">
        <v>575</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92" t="s">
        <v>2535</v>
      </c>
      <c r="B67" s="646"/>
      <c r="C67" s="2819" t="str">
        <f>YEAR(C65)&amp;"-"&amp;ROUNDUP(MONTH(C65)/3,0)</f>
        <v>2018-1</v>
      </c>
      <c r="D67" s="2826" t="str">
        <f t="shared" ref="D67:N67" si="19">YEAR(D65)&amp;"-"&amp;ROUNDUP(MONTH(D65)/3,0)</f>
        <v>2017-4</v>
      </c>
      <c r="E67" s="2826" t="str">
        <f t="shared" si="19"/>
        <v>2017-3</v>
      </c>
      <c r="F67" s="2826" t="str">
        <f t="shared" si="19"/>
        <v>2017-2</v>
      </c>
      <c r="G67" s="2826" t="str">
        <f t="shared" si="19"/>
        <v>2017-1</v>
      </c>
      <c r="H67" s="2826" t="str">
        <f t="shared" si="19"/>
        <v>2016-4</v>
      </c>
      <c r="I67" s="2826" t="str">
        <f t="shared" si="19"/>
        <v>2016-3</v>
      </c>
      <c r="J67" s="2826" t="str">
        <f t="shared" si="19"/>
        <v>2016-2</v>
      </c>
      <c r="K67" s="2826" t="str">
        <f t="shared" si="19"/>
        <v>2016-1</v>
      </c>
      <c r="L67" s="2826" t="str">
        <f t="shared" si="19"/>
        <v>2015-4</v>
      </c>
      <c r="M67" s="2826" t="str">
        <f t="shared" si="19"/>
        <v>2015-3</v>
      </c>
      <c r="N67" s="2826" t="str">
        <f t="shared" si="19"/>
        <v>2015-2</v>
      </c>
      <c r="O67" s="2159"/>
      <c r="P67" s="2160"/>
      <c r="Q67" s="2161"/>
      <c r="R67" s="2161"/>
      <c r="S67" s="2161"/>
      <c r="T67" s="2161"/>
      <c r="U67" s="2161"/>
      <c r="V67" s="2161"/>
      <c r="W67" s="2161"/>
      <c r="X67" s="2161"/>
      <c r="Y67" s="2161"/>
      <c r="Z67" s="2161"/>
      <c r="AA67" s="2161"/>
      <c r="AB67" s="2161"/>
      <c r="AC67" s="2161"/>
    </row>
    <row r="68" spans="1:29" s="1218" customFormat="1" ht="27.75" customHeight="1">
      <c r="A68" s="2823" t="s">
        <v>2651</v>
      </c>
      <c r="B68" s="479" t="str">
        <f>"北京市平均增长率"&amp;TEXT(基准地价!P24,"0.00%")</f>
        <v>北京市平均增长率1.31%</v>
      </c>
      <c r="C68" s="893">
        <v>100</v>
      </c>
      <c r="D68" s="730"/>
      <c r="E68" s="730"/>
      <c r="F68" s="730"/>
      <c r="G68" s="730"/>
      <c r="H68" s="730"/>
      <c r="I68" s="730"/>
      <c r="J68" s="730"/>
      <c r="K68" s="730"/>
      <c r="L68" s="730"/>
      <c r="M68" s="2817"/>
      <c r="N68" s="2818"/>
      <c r="O68" s="2162"/>
      <c r="P68" s="2158"/>
      <c r="Q68" s="1993"/>
      <c r="R68" s="1993"/>
      <c r="S68" s="1993"/>
      <c r="T68" s="1993"/>
      <c r="U68" s="1993"/>
      <c r="V68" s="1993"/>
      <c r="W68" s="1993"/>
      <c r="X68" s="1993"/>
      <c r="Y68" s="1993"/>
      <c r="Z68" s="1993"/>
      <c r="AA68" s="1993"/>
      <c r="AB68" s="1993"/>
      <c r="AC68" s="1993"/>
    </row>
    <row r="69" spans="1:29" s="1218" customFormat="1" ht="15.75" thickBot="1">
      <c r="A69" s="653" t="s">
        <v>576</v>
      </c>
      <c r="B69" s="654"/>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8"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7"/>
      <c r="B93" s="1896" t="s">
        <v>2550</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7"/>
      <c r="B95" s="2621" t="s">
        <v>2552</v>
      </c>
      <c r="C95" s="2622" t="s">
        <v>2553</v>
      </c>
      <c r="D95" s="2622" t="s">
        <v>2554</v>
      </c>
      <c r="E95" s="2622" t="s">
        <v>2555</v>
      </c>
      <c r="F95" s="2622" t="s">
        <v>2556</v>
      </c>
      <c r="G95" s="2622"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8"/>
      <c r="B114" s="1896" t="s">
        <v>2425</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2426</v>
      </c>
      <c r="D1" s="1520">
        <f>SUM(D29:D30,D33:D39)</f>
        <v>0</v>
      </c>
      <c r="E1" s="1405" t="s">
        <v>2427</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0" t="s">
        <v>2764</v>
      </c>
      <c r="S1" s="2960" t="s">
        <v>2765</v>
      </c>
      <c r="T1" s="2960" t="s">
        <v>2786</v>
      </c>
      <c r="U1" s="2960" t="s">
        <v>2787</v>
      </c>
      <c r="V1" s="2960" t="s">
        <v>2788</v>
      </c>
      <c r="W1" s="2189"/>
      <c r="X1" s="2189"/>
      <c r="Y1" s="2189"/>
      <c r="Z1" s="2189"/>
      <c r="AA1" s="2189"/>
      <c r="AB1" s="2189"/>
      <c r="AC1" s="2190"/>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1688</v>
      </c>
      <c r="B3" s="1036" t="e">
        <f>ROUND(B2*10000/D1,0)</f>
        <v>#DIV/0!</v>
      </c>
      <c r="C3" s="1406" t="s">
        <v>927</v>
      </c>
      <c r="D3" s="1407" t="s">
        <v>928</v>
      </c>
      <c r="E3" s="1411"/>
      <c r="F3" s="1412" t="s">
        <v>2932</v>
      </c>
      <c r="G3" s="1037">
        <f>IF(F3="宗地容积率",'数据-汇总表'!I4,IF(F3="估价对象容积率",'数据-汇总表'!I6,'数据-汇总表'!I7))</f>
        <v>3.5</v>
      </c>
      <c r="H3" s="1413" t="s">
        <v>929</v>
      </c>
      <c r="I3" s="1038">
        <v>8</v>
      </c>
      <c r="J3" s="1409" t="s">
        <v>930</v>
      </c>
      <c r="K3" s="1400"/>
      <c r="L3" s="1885" t="s">
        <v>2241</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1824</v>
      </c>
      <c r="B5" s="1414" t="s">
        <v>931</v>
      </c>
      <c r="C5" s="1039"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0</v>
      </c>
      <c r="D6" s="1422" t="s">
        <v>1696</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761" t="str">
        <f>IF(E2="商业",IF(C8="不临58条商业街","",2),"")</f>
        <v/>
      </c>
      <c r="B7" s="1426" t="s">
        <v>932</v>
      </c>
      <c r="C7" s="1041" t="e">
        <f>IF(C8="不临58条商业街",1,ROUND(1+(1.6*E8+1.2*E9+0.8*E10+0.4*E11)*C9,4))</f>
        <v>#DIV/0!</v>
      </c>
      <c r="D7" s="1427" t="s">
        <v>933</v>
      </c>
      <c r="E7" s="1042"/>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2767</v>
      </c>
      <c r="X7" s="2951">
        <f>G2</f>
        <v>0</v>
      </c>
      <c r="Y7" s="2951" t="s">
        <v>2768</v>
      </c>
      <c r="Z7" s="2952">
        <f>G3</f>
        <v>3.5</v>
      </c>
      <c r="AA7" s="2192"/>
      <c r="AB7" s="2192"/>
      <c r="AC7" s="2193"/>
      <c r="AD7" s="2953"/>
      <c r="AE7" s="2953"/>
      <c r="AF7" s="2953"/>
      <c r="AG7" s="2953"/>
      <c r="AH7" s="2953"/>
      <c r="AI7" s="2953"/>
      <c r="AJ7" s="2954"/>
    </row>
    <row r="8" spans="1:39" ht="15">
      <c r="A8" s="3762"/>
      <c r="B8" s="1413" t="s">
        <v>934</v>
      </c>
      <c r="C8" s="1528"/>
      <c r="D8" s="1043" t="s">
        <v>935</v>
      </c>
      <c r="E8" s="1044" t="e">
        <f>ROUND(C11/E7,4)</f>
        <v>#DIV/0!</v>
      </c>
      <c r="F8" s="1431" t="s">
        <v>936</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753" t="s">
        <v>2785</v>
      </c>
      <c r="X8" s="3754"/>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762"/>
      <c r="B9" s="1413" t="s">
        <v>937</v>
      </c>
      <c r="C9" s="1045">
        <f>SUMIF(修正!C59:C119,C8,修正!E59:E119)</f>
        <v>0</v>
      </c>
      <c r="D9" s="1046" t="s">
        <v>938</v>
      </c>
      <c r="E9" s="1046" t="e">
        <f>ROUND(C11/E7,4)</f>
        <v>#DIV/0!</v>
      </c>
      <c r="F9" s="1431" t="s">
        <v>939</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752" t="s">
        <v>2781</v>
      </c>
      <c r="X9" s="2955" t="s">
        <v>2782</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762"/>
      <c r="B10" s="1413" t="s">
        <v>940</v>
      </c>
      <c r="C10" s="1046">
        <f>SUMIF(修正!C59:C119,C8,修正!F59:F119)</f>
        <v>0</v>
      </c>
      <c r="D10" s="1046" t="s">
        <v>941</v>
      </c>
      <c r="E10" s="1046" t="e">
        <f>ROUND(C11/E7,4)</f>
        <v>#DIV/0!</v>
      </c>
      <c r="F10" s="1431" t="s">
        <v>942</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752"/>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762"/>
      <c r="B11" s="1434" t="s">
        <v>943</v>
      </c>
      <c r="C11" s="1047">
        <f>C10/4</f>
        <v>0</v>
      </c>
      <c r="D11" s="1047" t="s">
        <v>944</v>
      </c>
      <c r="E11" s="1047" t="e">
        <f>ROUND(C11/E7,4)</f>
        <v>#DIV/0!</v>
      </c>
      <c r="F11" s="1435" t="s">
        <v>945</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752" t="s">
        <v>2783</v>
      </c>
      <c r="X11" s="1046" t="s">
        <v>2768</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761" t="s">
        <v>1872</v>
      </c>
      <c r="B12" s="1438" t="s">
        <v>946</v>
      </c>
      <c r="C12" s="1041">
        <f>ROUND(C15*D15*E15*F15*G15*H15*I15*J15,4)</f>
        <v>1</v>
      </c>
      <c r="D12" s="1439" t="s">
        <v>947</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752"/>
      <c r="X12" s="2958" t="s">
        <v>2784</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763"/>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61">
        <v>12</v>
      </c>
      <c r="S13" s="2950"/>
      <c r="T13" s="2961" t="e">
        <f t="shared" si="0"/>
        <v>#DIV/0!</v>
      </c>
      <c r="U13" s="2950"/>
      <c r="V13" s="2961" t="e">
        <f t="shared" si="1"/>
        <v>#DIV/0!</v>
      </c>
      <c r="W13" s="3752"/>
      <c r="X13" s="2958"/>
      <c r="Y13" s="2957">
        <f>(-0.163*(Y12^2)-0.59*Y12+7617)*(10^(-4))/Y11</f>
        <v>0.21762857142857145</v>
      </c>
      <c r="Z13" s="2957">
        <f t="shared" ref="Z13:AJ13" si="5">(-0.163*(Z12^2)-0.59*Z12+7617)*(10^(-4))/Z11</f>
        <v>0.21762857142857145</v>
      </c>
      <c r="AA13" s="2957">
        <f t="shared" si="5"/>
        <v>0.21762857142857145</v>
      </c>
      <c r="AB13" s="2957">
        <f t="shared" si="5"/>
        <v>0.21762857142857145</v>
      </c>
      <c r="AC13" s="2957">
        <f t="shared" si="5"/>
        <v>0.21762857142857145</v>
      </c>
      <c r="AD13" s="2957">
        <f t="shared" si="5"/>
        <v>0.21762857142857145</v>
      </c>
      <c r="AE13" s="2957">
        <f t="shared" si="5"/>
        <v>0.21762857142857145</v>
      </c>
      <c r="AF13" s="2957">
        <f t="shared" si="5"/>
        <v>0.21762857142857145</v>
      </c>
      <c r="AG13" s="2957">
        <f t="shared" si="5"/>
        <v>0.21762857142857145</v>
      </c>
      <c r="AH13" s="2957">
        <f t="shared" si="5"/>
        <v>0.21762857142857145</v>
      </c>
      <c r="AI13" s="2957">
        <f t="shared" si="5"/>
        <v>0.21762857142857145</v>
      </c>
      <c r="AJ13" s="2957">
        <f t="shared" si="5"/>
        <v>0.21762857142857145</v>
      </c>
    </row>
    <row r="14" spans="1:39" ht="12.75" customHeight="1" thickBot="1">
      <c r="A14" s="3763"/>
      <c r="B14" s="1450"/>
      <c r="C14" s="1451"/>
      <c r="D14" s="1452"/>
      <c r="E14" s="1452"/>
      <c r="F14" s="1453"/>
      <c r="G14" s="1454" t="s">
        <v>949</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764"/>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61">
        <v>14</v>
      </c>
      <c r="S15" s="2950"/>
      <c r="T15" s="2961" t="e">
        <f t="shared" si="0"/>
        <v>#DIV/0!</v>
      </c>
      <c r="U15" s="2950"/>
      <c r="V15" s="2961" t="e">
        <f t="shared" si="1"/>
        <v>#DIV/0!</v>
      </c>
      <c r="W15" s="2189"/>
      <c r="X15" s="2189"/>
      <c r="Y15" s="2189"/>
      <c r="Z15" s="2189"/>
      <c r="AA15" s="2189"/>
      <c r="AB15" s="2189"/>
      <c r="AC15" s="2190"/>
    </row>
    <row r="16" spans="1:39" ht="24">
      <c r="A16" s="3761"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762"/>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7" t="s">
        <v>956</v>
      </c>
      <c r="C18" s="2798">
        <f>SUMIF(修正!C18:C39,E3,修正!E18:E39)</f>
        <v>0</v>
      </c>
      <c r="D18" s="2799"/>
      <c r="E18" s="2800"/>
      <c r="F18" s="2801"/>
      <c r="G18" s="2795"/>
      <c r="H18" s="2795"/>
      <c r="I18" s="2795"/>
      <c r="J18" s="2802"/>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t="e">
        <f>ROUND(IF(H19="按公示增长率计算",SUMPRODUCT((地价!A3:A21=YEAR(G19)&amp;"-"&amp;ROUNDUP(MONTH(G19)/3,0))*(地价!X2:AB2=E2)*(地价!X3:AB21)),IF(H19="地价指数",M20/M19,(1+I19)^O19)),4)</f>
        <v>#DIV/0!</v>
      </c>
      <c r="D19" s="1473" t="s">
        <v>958</v>
      </c>
      <c r="E19" s="1056">
        <v>41640</v>
      </c>
      <c r="F19" s="1473" t="s">
        <v>959</v>
      </c>
      <c r="G19" s="1057">
        <f>'数据-取费表'!B2</f>
        <v>43138</v>
      </c>
      <c r="H19" s="1474" t="s">
        <v>2933</v>
      </c>
      <c r="I19" s="2809" t="str">
        <f>IF(H19="季度增幅（自定义）",SUMIF(N21:N24,E2,O21:O24),"")</f>
        <v/>
      </c>
      <c r="J19" s="1470"/>
      <c r="K19" s="1480"/>
      <c r="L19" s="3064" t="s">
        <v>2843</v>
      </c>
      <c r="M19" s="3065">
        <f>ROUND(SUMIF(地价!B2:F2,E2,地价!B21:F21),0)</f>
        <v>0</v>
      </c>
      <c r="N19" s="2811" t="s">
        <v>1677</v>
      </c>
      <c r="O19" s="2810">
        <f>ROUNDDOWN(DATEDIF(E19,G19,"M")/3,0)</f>
        <v>16</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3" t="s">
        <v>1837</v>
      </c>
      <c r="B20" s="2804" t="s">
        <v>972</v>
      </c>
      <c r="C20" s="2805" t="e">
        <f>ROUND(POWER(1+G20,J20-I20)*(POWER(1+G20,I20)-1)/(POWER(1+G20,J20)-1),4)</f>
        <v>#DIV/0!</v>
      </c>
      <c r="D20" s="2806" t="s">
        <v>973</v>
      </c>
      <c r="E20" s="3119">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80"/>
      <c r="L20" s="3066" t="s">
        <v>2844</v>
      </c>
      <c r="M20" s="3067">
        <f>ROUND(SUMPRODUCT((地价!A4:A21=YEAR(G19)&amp;"-"&amp;ROUNDUP(MONTH(G19)/3,0))*(地价!B2:F2=E2)*(地价!B4:F21)),0)</f>
        <v>0</v>
      </c>
      <c r="N20" s="2814" t="s">
        <v>2647</v>
      </c>
      <c r="O20" s="2812" t="s">
        <v>2646</v>
      </c>
      <c r="P20" s="2813" t="s">
        <v>2652</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1838</v>
      </c>
      <c r="B21" s="1479" t="s">
        <v>2763</v>
      </c>
      <c r="C21" s="1156">
        <f>IF(B21="容积率修正",IF(G3&lt;=10,D22,J22),C23)</f>
        <v>0</v>
      </c>
      <c r="D21" s="1480"/>
      <c r="E21" s="1480"/>
      <c r="F21" s="1480"/>
      <c r="G21" s="1480"/>
      <c r="H21" s="1480"/>
      <c r="I21" s="1480"/>
      <c r="J21" s="1481"/>
      <c r="K21" s="1480"/>
      <c r="L21" s="1480"/>
      <c r="M21" s="1480"/>
      <c r="N21" s="1477" t="s">
        <v>976</v>
      </c>
      <c r="O21" s="1541"/>
      <c r="P21" s="2794">
        <f>SUMPRODUCT((地价!A3:A21=YEAR(G19)&amp;"-"&amp;ROUNDUP(MONTH(G19)/3,0))*(地价!AD2:AH2=N21)*(地价!AD3:AH21))</f>
        <v>1.55E-2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94">
        <f>SUMPRODUCT((地价!A3:A21=YEAR(G19)&amp;"-"&amp;ROUNDUP(MONTH(G19)/3,0))*(地价!AD2:AH2=N22)*(地价!AD3:AH21))</f>
        <v>1.55E-2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4">
        <f>SUMPRODUCT((地价!A3:A21=YEAR(G19)&amp;"-"&amp;ROUNDUP(MONTH(G19)/3,0))*(地价!AD2:AH2=N23)*(地价!AD3:AH21))</f>
        <v>2.5499999999999998E-2</v>
      </c>
      <c r="R23" s="2949"/>
      <c r="S23" s="2949"/>
      <c r="T23" s="2949"/>
      <c r="U23" s="2949"/>
      <c r="V23" s="2949"/>
      <c r="W23" s="2195"/>
      <c r="X23" s="2195"/>
      <c r="Y23" s="2195"/>
      <c r="Z23" s="2195"/>
      <c r="AA23" s="2195"/>
      <c r="AB23" s="2195"/>
      <c r="AC23" s="2195"/>
      <c r="AN23" s="1403"/>
    </row>
    <row r="24" spans="1:40" s="1420" customFormat="1" ht="15.7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SUMPRODUCT((地价!A3:A21=YEAR(G19)&amp;"-"&amp;ROUNDUP(MONTH(G19)/3,0))*(地价!AD2:AH2=N24)*(地价!AD3:AH21))</f>
        <v>1.3100000000000001E-2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2" t="s">
        <v>2650</v>
      </c>
      <c r="O25" s="2195"/>
      <c r="P25" s="1540">
        <f>SUMPRODUCT((地价!A3:A21=YEAR(G19)&amp;"-"&amp;ROUNDUP(MONTH(G19)/3,0))*(地价!AD2:AH2=N25)*(地价!AD3:AH21))</f>
        <v>2.3E-2</v>
      </c>
      <c r="R25" s="2949"/>
      <c r="S25" s="2949"/>
      <c r="T25" s="2949"/>
      <c r="U25" s="2949"/>
      <c r="V25" s="2949"/>
      <c r="W25" s="2195"/>
      <c r="X25" s="2195"/>
      <c r="Y25" s="2195"/>
      <c r="Z25" s="2195"/>
      <c r="AA25" s="2195"/>
      <c r="AB25" s="2195"/>
      <c r="AC25" s="2195"/>
    </row>
    <row r="26" spans="1:40" ht="14.25">
      <c r="A26" s="1488"/>
      <c r="B26" s="1482" t="s">
        <v>987</v>
      </c>
      <c r="C26" s="1061"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994</v>
      </c>
      <c r="C29" s="1061" t="e">
        <f>ROUND(C5*C18*C19*C20*C21*C24,0)</f>
        <v>#DIV/0!</v>
      </c>
      <c r="D29" s="1503"/>
      <c r="E29" s="1849" t="e">
        <f>ROUND(C29*D29/10000,0)</f>
        <v>#DIV/0!</v>
      </c>
      <c r="F29" s="1504" t="s">
        <v>1702</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995</v>
      </c>
      <c r="C30" s="1049"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767" t="s">
        <v>2960</v>
      </c>
      <c r="B33" s="1523" t="s">
        <v>1000</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768"/>
      <c r="B34" s="1444" t="s">
        <v>1001</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768"/>
      <c r="B35" s="1444" t="s">
        <v>1002</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69"/>
      <c r="B36" s="1444" t="s">
        <v>1003</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4"/>
      <c r="H44" s="2447"/>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1009</v>
      </c>
      <c r="B46" s="2432" t="s">
        <v>1010</v>
      </c>
      <c r="C46" s="2454" t="s">
        <v>1011</v>
      </c>
      <c r="D46" s="2455" t="s">
        <v>1012</v>
      </c>
      <c r="E46" s="2456" t="s">
        <v>1014</v>
      </c>
      <c r="F46" s="2457" t="s">
        <v>2251</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5" t="s">
        <v>1021</v>
      </c>
      <c r="B47" s="2435" t="str">
        <f>估价对象房地状况!C16</f>
        <v>估价对象位于南水园，周边商业氛围一般，人流量一般，商业繁华度一般</v>
      </c>
      <c r="C47" s="1048"/>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5" t="s">
        <v>1022</v>
      </c>
      <c r="B48" s="2432" t="str">
        <f>估价对象房地状况!C18</f>
        <v>估价对象周边路网密集度一般、公共交通通达情况一般、停车便捷程度一般，综合评价交通便捷度一般</v>
      </c>
      <c r="C48" s="1048"/>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1023</v>
      </c>
      <c r="B49" s="2432">
        <f>估价对象房地状况!C19</f>
        <v>0</v>
      </c>
      <c r="C49" s="1048"/>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1024</v>
      </c>
      <c r="B50" s="3121" t="s">
        <v>2935</v>
      </c>
      <c r="C50" s="1048"/>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1025</v>
      </c>
      <c r="B51" s="2432">
        <f>估价对象房地状况!C24</f>
        <v>0</v>
      </c>
      <c r="C51" s="1048"/>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1026</v>
      </c>
      <c r="B52" s="3120" t="s">
        <v>2934</v>
      </c>
      <c r="C52" s="1048"/>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64" t="s">
        <v>1027</v>
      </c>
      <c r="B53" s="2433" t="str">
        <f>估价对象房地状况!C21</f>
        <v>估价对象所在区域公共配套设施齐备情况一般，有雅庭小学、龙溪二中</v>
      </c>
      <c r="C53" s="1048"/>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估价对象所在区域基础设施水平达到六通</v>
      </c>
      <c r="C54" s="1048"/>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60.75" thickBot="1">
      <c r="A55" s="2465" t="s">
        <v>1029</v>
      </c>
      <c r="B55" s="2436" t="str">
        <f>估价对象房地状况!C20</f>
        <v>区域自然环境：周边绿化条件较好，有水系；人文环境：缺乏图书馆、剧院等设施；综合评价环境状况较差</v>
      </c>
      <c r="C55" s="1048"/>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32"/>
      <c r="C57" s="2454" t="s">
        <v>1011</v>
      </c>
      <c r="D57" s="2455" t="s">
        <v>1012</v>
      </c>
      <c r="E57" s="2456" t="s">
        <v>1014</v>
      </c>
      <c r="F57" s="2457" t="s">
        <v>2252</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1031</v>
      </c>
      <c r="B58" s="2435">
        <f>估价对象房地状况!C17</f>
        <v>0</v>
      </c>
      <c r="C58" s="1048"/>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5" t="s">
        <v>1022</v>
      </c>
      <c r="B59" s="2432" t="str">
        <f>估价对象房地状况!C18</f>
        <v>估价对象周边路网密集度一般、公共交通通达情况一般、停车便捷程度一般，综合评价交通便捷度一般</v>
      </c>
      <c r="C59" s="1048"/>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32">
        <f>估价对象房地状况!C19</f>
        <v>0</v>
      </c>
      <c r="C60" s="1048"/>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121" t="s">
        <v>2936</v>
      </c>
      <c r="C61" s="1048"/>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32">
        <f>估价对象房地状况!C24</f>
        <v>0</v>
      </c>
      <c r="C62" s="1048"/>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120" t="s">
        <v>2934</v>
      </c>
      <c r="C63" s="1048"/>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5" t="s">
        <v>1027</v>
      </c>
      <c r="B64" s="2433" t="str">
        <f>估价对象房地状况!C21</f>
        <v>估价对象所在区域公共配套设施齐备情况一般，有雅庭小学、龙溪二中</v>
      </c>
      <c r="C64" s="1048"/>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33" t="str">
        <f>估价对象房地状况!C22</f>
        <v>估价对象所在区域基础设施水平达到六通</v>
      </c>
      <c r="C65" s="1048"/>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60.75" thickBot="1">
      <c r="A66" s="2465" t="s">
        <v>1029</v>
      </c>
      <c r="B66" s="2437" t="str">
        <f>估价对象房地状况!C20</f>
        <v>区域自然环境：周边绿化条件较好，有水系；人文环境：缺乏图书馆、剧院等设施；综合评价环境状况较差</v>
      </c>
      <c r="C66" s="1048"/>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32"/>
      <c r="C68" s="2454" t="s">
        <v>1011</v>
      </c>
      <c r="D68" s="2455" t="s">
        <v>1012</v>
      </c>
      <c r="E68" s="2456" t="s">
        <v>1014</v>
      </c>
      <c r="F68" s="2457" t="s">
        <v>2253</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5" t="s">
        <v>1033</v>
      </c>
      <c r="B69" s="2435" t="str">
        <f>估价对象房地状况!C15</f>
        <v>估价对象周边居住用地比例较小、居住小区规模和社区发展完善程度一般，综合评价居住社区成熟度一般</v>
      </c>
      <c r="C69" s="1157"/>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5" t="s">
        <v>1034</v>
      </c>
      <c r="B70" s="2432" t="str">
        <f>估价对象房地状况!C18</f>
        <v>估价对象周边路网密集度一般、公共交通通达情况一般、停车便捷程度一般，综合评价交通便捷度一般</v>
      </c>
      <c r="C70" s="1157"/>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32">
        <f>估价对象房地状况!C19</f>
        <v>0</v>
      </c>
      <c r="C71" s="1157"/>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32">
        <f>估价对象房地状况!C24</f>
        <v>0</v>
      </c>
      <c r="C72" s="1157"/>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5" t="s">
        <v>1027</v>
      </c>
      <c r="B73" s="2433" t="str">
        <f>估价对象房地状况!C21</f>
        <v>估价对象所在区域公共配套设施齐备情况一般，有雅庭小学、龙溪二中</v>
      </c>
      <c r="C73" s="1157"/>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33" t="str">
        <f>估价对象房地状况!C22</f>
        <v>估价对象所在区域基础设施水平达到六通</v>
      </c>
      <c r="C74" s="1157"/>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120" t="s">
        <v>2934</v>
      </c>
      <c r="C75" s="1157"/>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60">
      <c r="A76" s="1065" t="s">
        <v>1029</v>
      </c>
      <c r="B76" s="2435" t="str">
        <f>估价对象房地状况!C20</f>
        <v>区域自然环境：周边绿化条件较好，有水系；人文环境：缺乏图书馆、剧院等设施；综合评价环境状况较差</v>
      </c>
      <c r="C76" s="1157"/>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7"/>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4"/>
      <c r="K78" s="1064"/>
      <c r="L78" s="1064"/>
      <c r="M78" s="1064"/>
      <c r="N78" s="1064"/>
      <c r="AC78" s="1404"/>
      <c r="AD78" s="1403"/>
      <c r="AJ78" s="1402"/>
      <c r="AN78" s="1403"/>
    </row>
    <row r="79" spans="1:40" ht="24">
      <c r="A79" s="1065" t="s">
        <v>1009</v>
      </c>
      <c r="B79" s="2432"/>
      <c r="C79" s="2454" t="s">
        <v>1011</v>
      </c>
      <c r="D79" s="2455" t="s">
        <v>1012</v>
      </c>
      <c r="E79" s="2456" t="s">
        <v>1014</v>
      </c>
      <c r="F79" s="2457" t="s">
        <v>2254</v>
      </c>
      <c r="G79" s="2455" t="s">
        <v>1015</v>
      </c>
      <c r="H79" s="2438" t="s">
        <v>2418</v>
      </c>
      <c r="I79" s="2455" t="s">
        <v>1013</v>
      </c>
      <c r="J79" s="2458" t="s">
        <v>1016</v>
      </c>
      <c r="K79" s="2458" t="s">
        <v>1017</v>
      </c>
      <c r="L79" s="2458" t="s">
        <v>1018</v>
      </c>
      <c r="M79" s="2458" t="s">
        <v>1019</v>
      </c>
      <c r="N79" s="2458" t="s">
        <v>1020</v>
      </c>
      <c r="AC79" s="1404"/>
      <c r="AD79" s="1403"/>
      <c r="AJ79" s="1402"/>
      <c r="AN79" s="1403"/>
    </row>
    <row r="80" spans="1:40" ht="36">
      <c r="A80" s="1065" t="s">
        <v>1038</v>
      </c>
      <c r="B80" s="2432" t="str">
        <f>估价对象房地状况!G15</f>
        <v>估价对象位于XX开发区，园区建设成熟度XX，产业集聚程度XX</v>
      </c>
      <c r="C80" s="1048"/>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5" t="s">
        <v>1034</v>
      </c>
      <c r="B81" s="2432" t="str">
        <f>估价对象房地状况!G16</f>
        <v>估价对象周边道路状况、公共交通通达情况、停车便捷程度，综合评价交通便捷度较好</v>
      </c>
      <c r="C81" s="1048"/>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5" t="s">
        <v>1023</v>
      </c>
      <c r="B82" s="2432">
        <f>估价对象房地状况!G17</f>
        <v>0</v>
      </c>
      <c r="C82" s="1048"/>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5" t="s">
        <v>1035</v>
      </c>
      <c r="B83" s="2432">
        <f>估价对象房地状况!G22</f>
        <v>0</v>
      </c>
      <c r="C83" s="1048"/>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5" t="s">
        <v>1027</v>
      </c>
      <c r="B84" s="2433" t="str">
        <f>估价对象房地状况!G19</f>
        <v>估价对象所在区域公共配套设施齐备情况</v>
      </c>
      <c r="C84" s="1048"/>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5" t="s">
        <v>1028</v>
      </c>
      <c r="B85" s="2433" t="str">
        <f>估价对象房地状况!G20</f>
        <v>估价对象所在区域基础设施水平</v>
      </c>
      <c r="C85" s="1048"/>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5" t="s">
        <v>1026</v>
      </c>
      <c r="B86" s="3120" t="s">
        <v>2934</v>
      </c>
      <c r="C86" s="1048"/>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8"/>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765" t="s">
        <v>1634</v>
      </c>
      <c r="B90" s="3765"/>
      <c r="C90" s="3765"/>
      <c r="D90" s="3765"/>
      <c r="E90" s="3765"/>
      <c r="F90" s="3765"/>
      <c r="G90" s="3765"/>
      <c r="H90" s="3765"/>
      <c r="I90" s="3765"/>
      <c r="J90" s="3765"/>
      <c r="K90" s="2474"/>
      <c r="L90" s="2474"/>
      <c r="M90" s="2474"/>
      <c r="N90" s="2474"/>
    </row>
    <row r="91" spans="1:40">
      <c r="A91" s="3766" t="s">
        <v>1444</v>
      </c>
      <c r="B91" s="3766" t="s">
        <v>1635</v>
      </c>
      <c r="C91" s="1138" t="s">
        <v>1636</v>
      </c>
      <c r="D91" s="1139"/>
      <c r="E91" s="1139"/>
      <c r="F91" s="1139"/>
      <c r="G91" s="1139"/>
      <c r="H91" s="1139"/>
      <c r="I91" s="1139"/>
      <c r="J91" s="1140"/>
      <c r="K91" s="1132"/>
      <c r="L91" s="1132"/>
      <c r="M91" s="1132"/>
      <c r="N91" s="1132"/>
    </row>
    <row r="92" spans="1:40">
      <c r="A92" s="3766"/>
      <c r="B92" s="3766"/>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755" t="s">
        <v>2766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756"/>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756"/>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756"/>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756"/>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756"/>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756"/>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757"/>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755" t="s">
        <v>1638</v>
      </c>
      <c r="B101" s="1145" t="s">
        <v>906</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756"/>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756"/>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756"/>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756"/>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756"/>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756"/>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756"/>
      <c r="B108" s="3758"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757"/>
      <c r="B109" s="3759"/>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760" t="s">
        <v>1640</v>
      </c>
      <c r="B110" s="3760"/>
      <c r="C110" s="3760"/>
      <c r="D110" s="3760"/>
      <c r="E110" s="3760"/>
      <c r="F110" s="3760"/>
      <c r="G110" s="3760"/>
      <c r="H110" s="3760"/>
      <c r="I110" s="3760"/>
      <c r="J110" s="3760"/>
      <c r="K110" s="2472"/>
      <c r="L110" s="2472"/>
      <c r="M110" s="2472"/>
      <c r="N110" s="2472"/>
    </row>
    <row r="112" spans="1:14" ht="12.75" thickBot="1"/>
    <row r="113" spans="1:13" ht="25.5" thickBot="1">
      <c r="A113" s="1014" t="s">
        <v>896</v>
      </c>
      <c r="B113" s="2475">
        <f>G3</f>
        <v>3.5</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766" t="s">
        <v>1008</v>
      </c>
      <c r="B18" s="1152" t="s">
        <v>1447</v>
      </c>
      <c r="C18" s="1129" t="s">
        <v>1448</v>
      </c>
      <c r="D18" s="1130"/>
      <c r="E18" s="1152">
        <v>1</v>
      </c>
      <c r="F18" s="1131" t="s">
        <v>1449</v>
      </c>
      <c r="G18" s="1132"/>
      <c r="H18" s="1103"/>
      <c r="I18" s="1103"/>
    </row>
    <row r="19" spans="1:9" s="1598" customFormat="1" ht="19.5" customHeight="1">
      <c r="A19" s="3766"/>
      <c r="B19" s="3766" t="s">
        <v>1450</v>
      </c>
      <c r="C19" s="1129" t="s">
        <v>1451</v>
      </c>
      <c r="D19" s="1130"/>
      <c r="E19" s="1152">
        <v>0.9</v>
      </c>
      <c r="F19" s="1131" t="s">
        <v>1452</v>
      </c>
      <c r="G19" s="1132"/>
      <c r="H19" s="1103"/>
      <c r="I19" s="1103"/>
    </row>
    <row r="20" spans="1:9" s="1598" customFormat="1" ht="19.5" customHeight="1">
      <c r="A20" s="3766"/>
      <c r="B20" s="3766"/>
      <c r="C20" s="1129" t="s">
        <v>1453</v>
      </c>
      <c r="D20" s="1130"/>
      <c r="E20" s="1152">
        <v>1.1000000000000001</v>
      </c>
      <c r="F20" s="1131" t="s">
        <v>1454</v>
      </c>
      <c r="G20" s="1132"/>
      <c r="H20" s="1103"/>
      <c r="I20" s="1103"/>
    </row>
    <row r="21" spans="1:9" s="1598" customFormat="1" ht="19.5" customHeight="1">
      <c r="A21" s="3766"/>
      <c r="B21" s="3766"/>
      <c r="C21" s="1129" t="s">
        <v>1455</v>
      </c>
      <c r="D21" s="1130"/>
      <c r="E21" s="1152">
        <v>0.8</v>
      </c>
      <c r="F21" s="1131" t="s">
        <v>1456</v>
      </c>
      <c r="G21" s="1132"/>
      <c r="H21" s="1103"/>
      <c r="I21" s="1103"/>
    </row>
    <row r="22" spans="1:9" s="1598" customFormat="1" ht="19.5" customHeight="1">
      <c r="A22" s="3766"/>
      <c r="B22" s="3766"/>
      <c r="C22" s="1129" t="s">
        <v>1457</v>
      </c>
      <c r="D22" s="1130"/>
      <c r="E22" s="1152">
        <v>0.5</v>
      </c>
      <c r="F22" s="1131"/>
      <c r="G22" s="1132"/>
      <c r="H22" s="1103"/>
      <c r="I22" s="1103"/>
    </row>
    <row r="23" spans="1:9" s="1598" customFormat="1" ht="19.5" customHeight="1">
      <c r="A23" s="3766" t="s">
        <v>1030</v>
      </c>
      <c r="B23" s="1152" t="s">
        <v>1447</v>
      </c>
      <c r="C23" s="1129" t="s">
        <v>1458</v>
      </c>
      <c r="D23" s="1130"/>
      <c r="E23" s="1152">
        <v>1</v>
      </c>
      <c r="F23" s="1131" t="s">
        <v>1459</v>
      </c>
      <c r="G23" s="1132"/>
      <c r="H23" s="1103"/>
      <c r="I23" s="1103"/>
    </row>
    <row r="24" spans="1:9" s="1598" customFormat="1" ht="19.5" customHeight="1">
      <c r="A24" s="3766"/>
      <c r="B24" s="3766" t="s">
        <v>1450</v>
      </c>
      <c r="C24" s="1129" t="s">
        <v>1460</v>
      </c>
      <c r="D24" s="1130"/>
      <c r="E24" s="1152">
        <v>0.5</v>
      </c>
      <c r="F24" s="1131"/>
      <c r="G24" s="1132"/>
      <c r="H24" s="1103"/>
      <c r="I24" s="1103"/>
    </row>
    <row r="25" spans="1:9" s="1598" customFormat="1" ht="19.5" customHeight="1">
      <c r="A25" s="3766"/>
      <c r="B25" s="3766"/>
      <c r="C25" s="1129" t="s">
        <v>1461</v>
      </c>
      <c r="D25" s="1130"/>
      <c r="E25" s="1152">
        <v>1.1000000000000001</v>
      </c>
      <c r="F25" s="1131"/>
      <c r="G25" s="1132"/>
      <c r="H25" s="1103"/>
      <c r="I25" s="1103"/>
    </row>
    <row r="26" spans="1:9" s="1598" customFormat="1" ht="19.5" customHeight="1">
      <c r="A26" s="3766"/>
      <c r="B26" s="3766"/>
      <c r="C26" s="1129" t="s">
        <v>1462</v>
      </c>
      <c r="D26" s="1130"/>
      <c r="E26" s="1152">
        <v>1.1000000000000001</v>
      </c>
      <c r="F26" s="1131"/>
      <c r="G26" s="1132"/>
      <c r="H26" s="1103"/>
      <c r="I26" s="1103"/>
    </row>
    <row r="27" spans="1:9" s="1598" customFormat="1" ht="19.5" customHeight="1">
      <c r="A27" s="3766"/>
      <c r="B27" s="3766"/>
      <c r="C27" s="1129" t="s">
        <v>1463</v>
      </c>
      <c r="D27" s="1130"/>
      <c r="E27" s="1152">
        <v>0.9</v>
      </c>
      <c r="F27" s="1131" t="s">
        <v>1464</v>
      </c>
      <c r="G27" s="1132"/>
      <c r="H27" s="1103"/>
      <c r="I27" s="1103"/>
    </row>
    <row r="28" spans="1:9" s="1598" customFormat="1" ht="19.5" customHeight="1">
      <c r="A28" s="3766"/>
      <c r="B28" s="3766"/>
      <c r="C28" s="1129" t="s">
        <v>1465</v>
      </c>
      <c r="D28" s="1130"/>
      <c r="E28" s="1152">
        <v>0.9</v>
      </c>
      <c r="F28" s="1131" t="s">
        <v>1466</v>
      </c>
      <c r="G28" s="1132"/>
      <c r="H28" s="1103"/>
      <c r="I28" s="1103"/>
    </row>
    <row r="29" spans="1:9" s="1598" customFormat="1" ht="19.5" customHeight="1">
      <c r="A29" s="3766"/>
      <c r="B29" s="3766"/>
      <c r="C29" s="1129" t="s">
        <v>1467</v>
      </c>
      <c r="D29" s="1130"/>
      <c r="E29" s="1152">
        <v>0.9</v>
      </c>
      <c r="F29" s="1131" t="s">
        <v>1468</v>
      </c>
      <c r="G29" s="1132"/>
      <c r="H29" s="1103"/>
      <c r="I29" s="1103"/>
    </row>
    <row r="30" spans="1:9" s="1598" customFormat="1" ht="19.5" customHeight="1">
      <c r="A30" s="3766"/>
      <c r="B30" s="3766"/>
      <c r="C30" s="1129" t="s">
        <v>1469</v>
      </c>
      <c r="D30" s="1130"/>
      <c r="E30" s="1152">
        <v>0.9</v>
      </c>
      <c r="F30" s="1131" t="s">
        <v>1470</v>
      </c>
      <c r="G30" s="1132"/>
      <c r="H30" s="1103"/>
      <c r="I30" s="1103"/>
    </row>
    <row r="31" spans="1:9" s="1598" customFormat="1" ht="19.5" customHeight="1">
      <c r="A31" s="3766"/>
      <c r="B31" s="3766"/>
      <c r="C31" s="1129" t="s">
        <v>1471</v>
      </c>
      <c r="D31" s="1130"/>
      <c r="E31" s="1152">
        <v>0.8</v>
      </c>
      <c r="F31" s="1131" t="s">
        <v>1472</v>
      </c>
      <c r="G31" s="1132"/>
      <c r="H31" s="1103"/>
      <c r="I31" s="1103"/>
    </row>
    <row r="32" spans="1:9" s="1598" customFormat="1" ht="19.5" customHeight="1">
      <c r="A32" s="3766"/>
      <c r="B32" s="3766"/>
      <c r="C32" s="1129" t="s">
        <v>1473</v>
      </c>
      <c r="D32" s="1130"/>
      <c r="E32" s="1152">
        <v>0.8</v>
      </c>
      <c r="F32" s="1131" t="s">
        <v>1474</v>
      </c>
      <c r="G32" s="1132"/>
      <c r="H32" s="1103"/>
      <c r="I32" s="1103"/>
    </row>
    <row r="33" spans="1:9" s="1598" customFormat="1" ht="19.5" customHeight="1">
      <c r="A33" s="3766" t="s">
        <v>1475</v>
      </c>
      <c r="B33" s="1152" t="s">
        <v>1447</v>
      </c>
      <c r="C33" s="1129" t="s">
        <v>1476</v>
      </c>
      <c r="D33" s="1130"/>
      <c r="E33" s="1152">
        <v>1</v>
      </c>
      <c r="F33" s="1131" t="s">
        <v>1477</v>
      </c>
      <c r="G33" s="1132"/>
      <c r="H33" s="1103"/>
      <c r="I33" s="1103"/>
    </row>
    <row r="34" spans="1:9" s="1598" customFormat="1" ht="19.5" customHeight="1">
      <c r="A34" s="3766"/>
      <c r="B34" s="1152" t="s">
        <v>1450</v>
      </c>
      <c r="C34" s="1129" t="s">
        <v>1478</v>
      </c>
      <c r="D34" s="1130"/>
      <c r="E34" s="1152">
        <v>1.5</v>
      </c>
      <c r="F34" s="1131" t="s">
        <v>1479</v>
      </c>
      <c r="G34" s="1132"/>
      <c r="H34" s="1103"/>
      <c r="I34" s="1103"/>
    </row>
    <row r="35" spans="1:9" s="1598" customFormat="1" ht="19.5" customHeight="1">
      <c r="A35" s="3766" t="s">
        <v>1433</v>
      </c>
      <c r="B35" s="1152" t="s">
        <v>1447</v>
      </c>
      <c r="C35" s="1129" t="s">
        <v>1480</v>
      </c>
      <c r="D35" s="1130"/>
      <c r="E35" s="1152">
        <v>1</v>
      </c>
      <c r="F35" s="1131" t="s">
        <v>1481</v>
      </c>
      <c r="G35" s="1132"/>
      <c r="H35" s="1103"/>
      <c r="I35" s="1103"/>
    </row>
    <row r="36" spans="1:9" s="1598" customFormat="1" ht="19.5" customHeight="1">
      <c r="A36" s="3766"/>
      <c r="B36" s="3766" t="s">
        <v>1450</v>
      </c>
      <c r="C36" s="1129" t="s">
        <v>1482</v>
      </c>
      <c r="D36" s="1130"/>
      <c r="E36" s="1152">
        <v>1</v>
      </c>
      <c r="F36" s="1131" t="s">
        <v>1483</v>
      </c>
      <c r="G36" s="1132"/>
      <c r="H36" s="1103"/>
      <c r="I36" s="1103"/>
    </row>
    <row r="37" spans="1:9" s="1598" customFormat="1" ht="19.5" customHeight="1">
      <c r="A37" s="3766"/>
      <c r="B37" s="3766"/>
      <c r="C37" s="1129" t="s">
        <v>1484</v>
      </c>
      <c r="D37" s="1130"/>
      <c r="E37" s="1152">
        <v>1.5</v>
      </c>
      <c r="F37" s="1131" t="s">
        <v>1485</v>
      </c>
      <c r="G37" s="1132"/>
      <c r="H37" s="1103"/>
      <c r="I37" s="1103"/>
    </row>
    <row r="38" spans="1:9" s="1598" customFormat="1" ht="19.5" customHeight="1">
      <c r="A38" s="3766"/>
      <c r="B38" s="3766"/>
      <c r="C38" s="1129" t="s">
        <v>1486</v>
      </c>
      <c r="D38" s="1130"/>
      <c r="E38" s="1152">
        <v>1</v>
      </c>
      <c r="F38" s="1131" t="s">
        <v>1487</v>
      </c>
      <c r="G38" s="1132"/>
      <c r="H38" s="1103"/>
      <c r="I38" s="1103"/>
    </row>
    <row r="39" spans="1:9" s="1598" customFormat="1" ht="19.5" customHeight="1">
      <c r="A39" s="3766"/>
      <c r="B39" s="3766"/>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766" t="s">
        <v>1502</v>
      </c>
      <c r="C61" s="1066" t="s">
        <v>1503</v>
      </c>
      <c r="D61" s="1066" t="s">
        <v>1504</v>
      </c>
      <c r="E61" s="1137">
        <v>0.5</v>
      </c>
      <c r="F61" s="1152">
        <v>80</v>
      </c>
      <c r="H61" s="1103">
        <f>SUMIF(C59:C119,基准地价!C8,E59:E119)</f>
        <v>0</v>
      </c>
    </row>
    <row r="62" spans="1:8" s="1103" customFormat="1" ht="24">
      <c r="A62" s="1152">
        <v>2</v>
      </c>
      <c r="B62" s="3766"/>
      <c r="C62" s="1066" t="s">
        <v>1505</v>
      </c>
      <c r="D62" s="1066" t="s">
        <v>1506</v>
      </c>
      <c r="E62" s="1137">
        <v>0.5</v>
      </c>
      <c r="F62" s="1152">
        <v>80</v>
      </c>
    </row>
    <row r="63" spans="1:8" s="1103" customFormat="1" ht="36">
      <c r="A63" s="1152">
        <v>3</v>
      </c>
      <c r="B63" s="3766"/>
      <c r="C63" s="1066" t="s">
        <v>1507</v>
      </c>
      <c r="D63" s="1066" t="s">
        <v>1508</v>
      </c>
      <c r="E63" s="1137">
        <v>0.5</v>
      </c>
      <c r="F63" s="1152">
        <v>80</v>
      </c>
    </row>
    <row r="64" spans="1:8" s="1103" customFormat="1" ht="36">
      <c r="A64" s="1152">
        <v>4</v>
      </c>
      <c r="B64" s="3766"/>
      <c r="C64" s="1066" t="s">
        <v>1509</v>
      </c>
      <c r="D64" s="1066" t="s">
        <v>1510</v>
      </c>
      <c r="E64" s="1137">
        <v>0.4</v>
      </c>
      <c r="F64" s="1152">
        <v>60</v>
      </c>
    </row>
    <row r="65" spans="1:6" s="1103" customFormat="1" ht="36">
      <c r="A65" s="1152">
        <v>5</v>
      </c>
      <c r="B65" s="3766"/>
      <c r="C65" s="1066" t="s">
        <v>1511</v>
      </c>
      <c r="D65" s="1066" t="s">
        <v>1512</v>
      </c>
      <c r="E65" s="1137">
        <v>0.2</v>
      </c>
      <c r="F65" s="1152">
        <v>30</v>
      </c>
    </row>
    <row r="66" spans="1:6" s="1103" customFormat="1" ht="36">
      <c r="A66" s="1152">
        <v>6</v>
      </c>
      <c r="B66" s="3766"/>
      <c r="C66" s="1066" t="s">
        <v>1513</v>
      </c>
      <c r="D66" s="1066" t="s">
        <v>1514</v>
      </c>
      <c r="E66" s="1137">
        <v>0.3</v>
      </c>
      <c r="F66" s="1152">
        <v>50</v>
      </c>
    </row>
    <row r="67" spans="1:6" s="1103" customFormat="1" ht="36">
      <c r="A67" s="1152">
        <v>7</v>
      </c>
      <c r="B67" s="3766"/>
      <c r="C67" s="1066" t="s">
        <v>1515</v>
      </c>
      <c r="D67" s="1066" t="s">
        <v>1516</v>
      </c>
      <c r="E67" s="1137">
        <v>0.2</v>
      </c>
      <c r="F67" s="1152">
        <v>30</v>
      </c>
    </row>
    <row r="68" spans="1:6" s="1103" customFormat="1" ht="36">
      <c r="A68" s="1152">
        <v>8</v>
      </c>
      <c r="B68" s="3766"/>
      <c r="C68" s="1066" t="s">
        <v>1517</v>
      </c>
      <c r="D68" s="1066" t="s">
        <v>1518</v>
      </c>
      <c r="E68" s="1137">
        <v>0.2</v>
      </c>
      <c r="F68" s="1152">
        <v>30</v>
      </c>
    </row>
    <row r="69" spans="1:6" s="1103" customFormat="1" ht="36">
      <c r="A69" s="1152">
        <v>9</v>
      </c>
      <c r="B69" s="3766"/>
      <c r="C69" s="1066" t="s">
        <v>1519</v>
      </c>
      <c r="D69" s="1066" t="s">
        <v>1520</v>
      </c>
      <c r="E69" s="1137">
        <v>0.2</v>
      </c>
      <c r="F69" s="1152">
        <v>30</v>
      </c>
    </row>
    <row r="70" spans="1:6" s="1103" customFormat="1" ht="48">
      <c r="A70" s="1152">
        <v>10</v>
      </c>
      <c r="B70" s="3766"/>
      <c r="C70" s="1066" t="s">
        <v>1521</v>
      </c>
      <c r="D70" s="1066" t="s">
        <v>1522</v>
      </c>
      <c r="E70" s="1137">
        <v>0.2</v>
      </c>
      <c r="F70" s="1152">
        <v>30</v>
      </c>
    </row>
    <row r="71" spans="1:6" s="1103" customFormat="1" ht="48">
      <c r="A71" s="1152">
        <v>11</v>
      </c>
      <c r="B71" s="3766"/>
      <c r="C71" s="1066" t="s">
        <v>1523</v>
      </c>
      <c r="D71" s="1066" t="s">
        <v>1524</v>
      </c>
      <c r="E71" s="1137">
        <v>0.2</v>
      </c>
      <c r="F71" s="1152">
        <v>30</v>
      </c>
    </row>
    <row r="72" spans="1:6" s="1103" customFormat="1" ht="36">
      <c r="A72" s="1152">
        <v>12</v>
      </c>
      <c r="B72" s="3766"/>
      <c r="C72" s="1066" t="s">
        <v>1525</v>
      </c>
      <c r="D72" s="1066" t="s">
        <v>1526</v>
      </c>
      <c r="E72" s="1137">
        <v>0.5</v>
      </c>
      <c r="F72" s="1152">
        <v>80</v>
      </c>
    </row>
    <row r="73" spans="1:6" s="1103" customFormat="1" ht="24">
      <c r="A73" s="1152">
        <v>13</v>
      </c>
      <c r="B73" s="3766"/>
      <c r="C73" s="1066" t="s">
        <v>1527</v>
      </c>
      <c r="D73" s="1066" t="s">
        <v>1528</v>
      </c>
      <c r="E73" s="1137">
        <v>0.4</v>
      </c>
      <c r="F73" s="1152">
        <v>60</v>
      </c>
    </row>
    <row r="74" spans="1:6" s="1103" customFormat="1" ht="24">
      <c r="A74" s="1152">
        <v>14</v>
      </c>
      <c r="B74" s="3766"/>
      <c r="C74" s="1066" t="s">
        <v>1529</v>
      </c>
      <c r="D74" s="1066" t="s">
        <v>1530</v>
      </c>
      <c r="E74" s="1137">
        <v>0.2</v>
      </c>
      <c r="F74" s="1152">
        <v>30</v>
      </c>
    </row>
    <row r="75" spans="1:6" s="1103" customFormat="1" ht="24">
      <c r="A75" s="1152">
        <v>15</v>
      </c>
      <c r="B75" s="3766"/>
      <c r="C75" s="1066" t="s">
        <v>1531</v>
      </c>
      <c r="D75" s="1066" t="s">
        <v>1532</v>
      </c>
      <c r="E75" s="1137">
        <v>0.2</v>
      </c>
      <c r="F75" s="1152">
        <v>30</v>
      </c>
    </row>
    <row r="76" spans="1:6" s="1103" customFormat="1" ht="24">
      <c r="A76" s="1152">
        <v>16</v>
      </c>
      <c r="B76" s="3766" t="s">
        <v>1533</v>
      </c>
      <c r="C76" s="1066" t="s">
        <v>1534</v>
      </c>
      <c r="D76" s="1066" t="s">
        <v>1535</v>
      </c>
      <c r="E76" s="1137">
        <v>0.5</v>
      </c>
      <c r="F76" s="1152">
        <v>80</v>
      </c>
    </row>
    <row r="77" spans="1:6" s="1103" customFormat="1" ht="24">
      <c r="A77" s="1152">
        <v>17</v>
      </c>
      <c r="B77" s="3766"/>
      <c r="C77" s="1066" t="s">
        <v>1536</v>
      </c>
      <c r="D77" s="1066" t="s">
        <v>1537</v>
      </c>
      <c r="E77" s="1137">
        <v>0.5</v>
      </c>
      <c r="F77" s="1152">
        <v>80</v>
      </c>
    </row>
    <row r="78" spans="1:6" s="1103" customFormat="1" ht="24">
      <c r="A78" s="1152">
        <v>18</v>
      </c>
      <c r="B78" s="3766"/>
      <c r="C78" s="1066" t="s">
        <v>1538</v>
      </c>
      <c r="D78" s="1066" t="s">
        <v>1539</v>
      </c>
      <c r="E78" s="1137">
        <v>0.2</v>
      </c>
      <c r="F78" s="1152">
        <v>30</v>
      </c>
    </row>
    <row r="79" spans="1:6" s="1103" customFormat="1" ht="24">
      <c r="A79" s="1152">
        <v>19</v>
      </c>
      <c r="B79" s="3766"/>
      <c r="C79" s="1066" t="s">
        <v>1540</v>
      </c>
      <c r="D79" s="1066" t="s">
        <v>1541</v>
      </c>
      <c r="E79" s="1137">
        <v>0.5</v>
      </c>
      <c r="F79" s="1152">
        <v>80</v>
      </c>
    </row>
    <row r="80" spans="1:6" s="1103" customFormat="1" ht="36">
      <c r="A80" s="1152">
        <v>20</v>
      </c>
      <c r="B80" s="3766"/>
      <c r="C80" s="1066" t="s">
        <v>1542</v>
      </c>
      <c r="D80" s="1066" t="s">
        <v>1543</v>
      </c>
      <c r="E80" s="1137">
        <v>0.2</v>
      </c>
      <c r="F80" s="1152">
        <v>30</v>
      </c>
    </row>
    <row r="81" spans="1:6" s="1103" customFormat="1" ht="36">
      <c r="A81" s="1152">
        <v>21</v>
      </c>
      <c r="B81" s="3766"/>
      <c r="C81" s="1066" t="s">
        <v>1544</v>
      </c>
      <c r="D81" s="1066" t="s">
        <v>1545</v>
      </c>
      <c r="E81" s="1137">
        <v>0.2</v>
      </c>
      <c r="F81" s="1152">
        <v>30</v>
      </c>
    </row>
    <row r="82" spans="1:6" s="1103" customFormat="1" ht="48">
      <c r="A82" s="1152">
        <v>22</v>
      </c>
      <c r="B82" s="3766"/>
      <c r="C82" s="1066" t="s">
        <v>1546</v>
      </c>
      <c r="D82" s="1066" t="s">
        <v>1547</v>
      </c>
      <c r="E82" s="1137">
        <v>0.2</v>
      </c>
      <c r="F82" s="1152">
        <v>30</v>
      </c>
    </row>
    <row r="83" spans="1:6" s="1103" customFormat="1" ht="48">
      <c r="A83" s="1152">
        <v>23</v>
      </c>
      <c r="B83" s="3766"/>
      <c r="C83" s="1066" t="s">
        <v>1548</v>
      </c>
      <c r="D83" s="1066" t="s">
        <v>1549</v>
      </c>
      <c r="E83" s="1137">
        <v>0.2</v>
      </c>
      <c r="F83" s="1152">
        <v>30</v>
      </c>
    </row>
    <row r="84" spans="1:6" s="1103" customFormat="1" ht="36">
      <c r="A84" s="1152">
        <v>24</v>
      </c>
      <c r="B84" s="3766"/>
      <c r="C84" s="1066" t="s">
        <v>1550</v>
      </c>
      <c r="D84" s="1066" t="s">
        <v>1551</v>
      </c>
      <c r="E84" s="1137">
        <v>0.2</v>
      </c>
      <c r="F84" s="1152">
        <v>30</v>
      </c>
    </row>
    <row r="85" spans="1:6" s="1103" customFormat="1" ht="36">
      <c r="A85" s="1152">
        <v>25</v>
      </c>
      <c r="B85" s="3766"/>
      <c r="C85" s="1066" t="s">
        <v>1552</v>
      </c>
      <c r="D85" s="1066" t="s">
        <v>1553</v>
      </c>
      <c r="E85" s="1137">
        <v>0.5</v>
      </c>
      <c r="F85" s="1152">
        <v>80</v>
      </c>
    </row>
    <row r="86" spans="1:6" s="1103" customFormat="1" ht="36">
      <c r="A86" s="1152">
        <v>26</v>
      </c>
      <c r="B86" s="3766"/>
      <c r="C86" s="1066" t="s">
        <v>1554</v>
      </c>
      <c r="D86" s="1066" t="s">
        <v>1555</v>
      </c>
      <c r="E86" s="1137">
        <v>0.2</v>
      </c>
      <c r="F86" s="1152">
        <v>30</v>
      </c>
    </row>
    <row r="87" spans="1:6" s="1103" customFormat="1" ht="36">
      <c r="A87" s="1152">
        <v>27</v>
      </c>
      <c r="B87" s="3766"/>
      <c r="C87" s="1066" t="s">
        <v>1556</v>
      </c>
      <c r="D87" s="1066" t="s">
        <v>1557</v>
      </c>
      <c r="E87" s="1137">
        <v>0.2</v>
      </c>
      <c r="F87" s="1152">
        <v>30</v>
      </c>
    </row>
    <row r="88" spans="1:6" s="1103" customFormat="1" ht="36">
      <c r="A88" s="1152">
        <v>28</v>
      </c>
      <c r="B88" s="3766"/>
      <c r="C88" s="1066" t="s">
        <v>1558</v>
      </c>
      <c r="D88" s="1066" t="s">
        <v>1559</v>
      </c>
      <c r="E88" s="1137">
        <v>0.2</v>
      </c>
      <c r="F88" s="1152">
        <v>30</v>
      </c>
    </row>
    <row r="89" spans="1:6" s="1103" customFormat="1" ht="24">
      <c r="A89" s="1152">
        <v>29</v>
      </c>
      <c r="B89" s="3766"/>
      <c r="C89" s="1066" t="s">
        <v>1560</v>
      </c>
      <c r="D89" s="1066" t="s">
        <v>1561</v>
      </c>
      <c r="E89" s="1137">
        <v>0.2</v>
      </c>
      <c r="F89" s="1152">
        <v>30</v>
      </c>
    </row>
    <row r="90" spans="1:6" s="1103" customFormat="1" ht="24">
      <c r="A90" s="1152">
        <v>30</v>
      </c>
      <c r="B90" s="3766"/>
      <c r="C90" s="1066" t="s">
        <v>1562</v>
      </c>
      <c r="D90" s="1066" t="s">
        <v>1563</v>
      </c>
      <c r="E90" s="1137">
        <v>0.2</v>
      </c>
      <c r="F90" s="1152">
        <v>30</v>
      </c>
    </row>
    <row r="91" spans="1:6" s="1103" customFormat="1" ht="36">
      <c r="A91" s="1152">
        <v>31</v>
      </c>
      <c r="B91" s="3766"/>
      <c r="C91" s="1066" t="s">
        <v>1564</v>
      </c>
      <c r="D91" s="1066" t="s">
        <v>1565</v>
      </c>
      <c r="E91" s="1137">
        <v>0.2</v>
      </c>
      <c r="F91" s="1152">
        <v>30</v>
      </c>
    </row>
    <row r="92" spans="1:6" s="1103" customFormat="1" ht="24">
      <c r="A92" s="1152">
        <v>32</v>
      </c>
      <c r="B92" s="3766" t="s">
        <v>1566</v>
      </c>
      <c r="C92" s="1152" t="s">
        <v>1567</v>
      </c>
      <c r="D92" s="1066" t="s">
        <v>1568</v>
      </c>
      <c r="E92" s="1137">
        <v>0.2</v>
      </c>
      <c r="F92" s="1152">
        <v>30</v>
      </c>
    </row>
    <row r="93" spans="1:6" s="1103" customFormat="1" ht="36">
      <c r="A93" s="1152">
        <v>33</v>
      </c>
      <c r="B93" s="3766"/>
      <c r="C93" s="1152" t="s">
        <v>1569</v>
      </c>
      <c r="D93" s="1066" t="s">
        <v>1570</v>
      </c>
      <c r="E93" s="1137">
        <v>0.2</v>
      </c>
      <c r="F93" s="1152">
        <v>30</v>
      </c>
    </row>
    <row r="94" spans="1:6" s="1103" customFormat="1" ht="48">
      <c r="A94" s="1152">
        <v>34</v>
      </c>
      <c r="B94" s="3766"/>
      <c r="C94" s="1152" t="s">
        <v>1571</v>
      </c>
      <c r="D94" s="1066" t="s">
        <v>1572</v>
      </c>
      <c r="E94" s="1137">
        <v>0.2</v>
      </c>
      <c r="F94" s="1152">
        <v>30</v>
      </c>
    </row>
    <row r="95" spans="1:6" s="1103" customFormat="1" ht="36">
      <c r="A95" s="1152">
        <v>35</v>
      </c>
      <c r="B95" s="3766"/>
      <c r="C95" s="1152" t="s">
        <v>1573</v>
      </c>
      <c r="D95" s="1066" t="s">
        <v>1574</v>
      </c>
      <c r="E95" s="1137">
        <v>0.2</v>
      </c>
      <c r="F95" s="1152">
        <v>30</v>
      </c>
    </row>
    <row r="96" spans="1:6" s="1103" customFormat="1" ht="48">
      <c r="A96" s="1152">
        <v>36</v>
      </c>
      <c r="B96" s="3766"/>
      <c r="C96" s="1066" t="s">
        <v>1575</v>
      </c>
      <c r="D96" s="1066" t="s">
        <v>1576</v>
      </c>
      <c r="E96" s="1137">
        <v>0.2</v>
      </c>
      <c r="F96" s="1152">
        <v>30</v>
      </c>
    </row>
    <row r="97" spans="1:6" s="1103" customFormat="1" ht="36">
      <c r="A97" s="1152">
        <v>37</v>
      </c>
      <c r="B97" s="3766"/>
      <c r="C97" s="1152" t="s">
        <v>1577</v>
      </c>
      <c r="D97" s="1066" t="s">
        <v>1578</v>
      </c>
      <c r="E97" s="1137">
        <v>0.2</v>
      </c>
      <c r="F97" s="1152">
        <v>30</v>
      </c>
    </row>
    <row r="98" spans="1:6" s="1103" customFormat="1" ht="36">
      <c r="A98" s="1152">
        <v>38</v>
      </c>
      <c r="B98" s="3766"/>
      <c r="C98" s="1152" t="s">
        <v>1579</v>
      </c>
      <c r="D98" s="1066" t="s">
        <v>1580</v>
      </c>
      <c r="E98" s="1137">
        <v>0.2</v>
      </c>
      <c r="F98" s="1152">
        <v>30</v>
      </c>
    </row>
    <row r="99" spans="1:6" s="1103" customFormat="1" ht="36">
      <c r="A99" s="1152">
        <v>39</v>
      </c>
      <c r="B99" s="3766" t="s">
        <v>1581</v>
      </c>
      <c r="C99" s="1152" t="s">
        <v>1582</v>
      </c>
      <c r="D99" s="1066" t="s">
        <v>1583</v>
      </c>
      <c r="E99" s="1137">
        <v>0.3</v>
      </c>
      <c r="F99" s="1152">
        <v>50</v>
      </c>
    </row>
    <row r="100" spans="1:6" s="1103" customFormat="1" ht="24">
      <c r="A100" s="1152">
        <v>40</v>
      </c>
      <c r="B100" s="3766"/>
      <c r="C100" s="1152" t="s">
        <v>1584</v>
      </c>
      <c r="D100" s="1066" t="s">
        <v>1585</v>
      </c>
      <c r="E100" s="1137">
        <v>0.2</v>
      </c>
      <c r="F100" s="1152">
        <v>30</v>
      </c>
    </row>
    <row r="101" spans="1:6" s="1103" customFormat="1" ht="36">
      <c r="A101" s="1152">
        <v>41</v>
      </c>
      <c r="B101" s="3766"/>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766" t="s">
        <v>1596</v>
      </c>
      <c r="C105" s="1152" t="s">
        <v>1597</v>
      </c>
      <c r="D105" s="1066" t="s">
        <v>1598</v>
      </c>
      <c r="E105" s="1137">
        <v>0.2</v>
      </c>
      <c r="F105" s="1152">
        <v>30</v>
      </c>
    </row>
    <row r="106" spans="1:6" s="1103" customFormat="1" ht="36">
      <c r="A106" s="1152">
        <v>46</v>
      </c>
      <c r="B106" s="3766"/>
      <c r="C106" s="1152" t="s">
        <v>1599</v>
      </c>
      <c r="D106" s="1066" t="s">
        <v>1600</v>
      </c>
      <c r="E106" s="1137">
        <v>0.2</v>
      </c>
      <c r="F106" s="1152">
        <v>30</v>
      </c>
    </row>
    <row r="107" spans="1:6" s="1103" customFormat="1" ht="36">
      <c r="A107" s="1152">
        <v>47</v>
      </c>
      <c r="B107" s="3766" t="s">
        <v>1601</v>
      </c>
      <c r="C107" s="1152" t="s">
        <v>1602</v>
      </c>
      <c r="D107" s="1066" t="s">
        <v>1603</v>
      </c>
      <c r="E107" s="1137">
        <v>0.3</v>
      </c>
      <c r="F107" s="1152">
        <v>50</v>
      </c>
    </row>
    <row r="108" spans="1:6" s="1103" customFormat="1" ht="36">
      <c r="A108" s="1152">
        <v>48</v>
      </c>
      <c r="B108" s="3766"/>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766" t="s">
        <v>1612</v>
      </c>
      <c r="C111" s="1152" t="s">
        <v>1613</v>
      </c>
      <c r="D111" s="1066" t="s">
        <v>1614</v>
      </c>
      <c r="E111" s="1137">
        <v>0.2</v>
      </c>
      <c r="F111" s="1152">
        <v>30</v>
      </c>
    </row>
    <row r="112" spans="1:6" s="1103" customFormat="1" ht="24">
      <c r="A112" s="1152">
        <v>52</v>
      </c>
      <c r="B112" s="3766"/>
      <c r="C112" s="1152" t="s">
        <v>1615</v>
      </c>
      <c r="D112" s="1066" t="s">
        <v>1616</v>
      </c>
      <c r="E112" s="1137">
        <v>0.2</v>
      </c>
      <c r="F112" s="1152">
        <v>30</v>
      </c>
    </row>
    <row r="113" spans="1:14" s="1103" customFormat="1" ht="24">
      <c r="A113" s="1152">
        <v>53</v>
      </c>
      <c r="B113" s="3766"/>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766" t="s">
        <v>1625</v>
      </c>
      <c r="C116" s="1152" t="s">
        <v>1626</v>
      </c>
      <c r="D116" s="1066" t="s">
        <v>1627</v>
      </c>
      <c r="E116" s="1137">
        <v>0.2</v>
      </c>
      <c r="F116" s="1152">
        <v>30</v>
      </c>
    </row>
    <row r="117" spans="1:14" ht="36">
      <c r="A117" s="1152">
        <v>57</v>
      </c>
      <c r="B117" s="3766"/>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765" t="s">
        <v>1634</v>
      </c>
      <c r="B121" s="3765"/>
      <c r="C121" s="3765"/>
      <c r="D121" s="3765"/>
      <c r="E121" s="3765"/>
      <c r="F121" s="3765"/>
      <c r="G121" s="3765"/>
      <c r="H121" s="3765"/>
      <c r="I121" s="3765"/>
      <c r="J121" s="3765"/>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770" t="s">
        <v>1040</v>
      </c>
      <c r="B1" s="3770"/>
      <c r="C1" s="3770"/>
      <c r="D1" s="3770"/>
      <c r="E1" s="3770"/>
      <c r="F1" s="3770"/>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771" t="s">
        <v>1053</v>
      </c>
      <c r="B2" s="3771"/>
      <c r="C2" s="3771"/>
      <c r="D2" s="3771"/>
      <c r="E2" s="3771"/>
      <c r="F2" s="3771"/>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772"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773"/>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2422</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2423</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774" t="s">
        <v>2080</v>
      </c>
      <c r="B1" s="3774"/>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2948</v>
      </c>
      <c r="B1" s="3133"/>
      <c r="C1" s="3133"/>
      <c r="D1" s="3133"/>
      <c r="E1" s="3133"/>
      <c r="F1" s="3133"/>
    </row>
    <row r="2" spans="1:6" ht="14.25">
      <c r="A2" s="3134" t="s">
        <v>2942</v>
      </c>
      <c r="B2" s="3135" t="e">
        <f ca="1">SUMIF(B7:B14,"&lt;&gt;#ref!",B7:B14)</f>
        <v>#DIV/0!</v>
      </c>
      <c r="C2" s="3134" t="s">
        <v>2943</v>
      </c>
      <c r="D2" s="3133"/>
      <c r="E2" s="3133"/>
      <c r="F2" s="3133"/>
    </row>
    <row r="3" spans="1:6" ht="14.25">
      <c r="A3" s="3134" t="s">
        <v>2945</v>
      </c>
      <c r="B3" s="3135" t="e">
        <f ca="1">ROUND(B2*10000/E3,0)</f>
        <v>#DIV/0!</v>
      </c>
      <c r="C3" s="3134" t="s">
        <v>2079</v>
      </c>
      <c r="D3" s="3134" t="s">
        <v>2944</v>
      </c>
      <c r="E3" s="3135" t="e">
        <f ca="1">SUM(E7:E14)</f>
        <v>#REF!</v>
      </c>
      <c r="F3" s="3133"/>
    </row>
    <row r="4" spans="1:6" ht="14.25">
      <c r="A4" s="3134" t="s">
        <v>2952</v>
      </c>
      <c r="B4" s="3135" t="e">
        <f ca="1">ROUND(B2*10000/E4,0)</f>
        <v>#DIV/0!</v>
      </c>
      <c r="C4" s="3134" t="s">
        <v>2079</v>
      </c>
      <c r="D4" s="3134" t="s">
        <v>2953</v>
      </c>
      <c r="E4" s="3135" t="e">
        <f ca="1">SUM(F7:F14)</f>
        <v>#REF!</v>
      </c>
      <c r="F4" s="3133"/>
    </row>
    <row r="5" spans="1:6" ht="14.25">
      <c r="A5" s="3136"/>
      <c r="B5" s="1881"/>
      <c r="C5" s="1881"/>
      <c r="D5" s="1881"/>
      <c r="E5" s="1881"/>
      <c r="F5" s="3133"/>
    </row>
    <row r="6" spans="1:6" ht="28.5">
      <c r="A6" s="3137" t="s">
        <v>2949</v>
      </c>
      <c r="B6" s="3134" t="s">
        <v>2946</v>
      </c>
      <c r="C6" s="3135"/>
      <c r="D6" s="1881"/>
      <c r="E6" s="3134" t="s">
        <v>2947</v>
      </c>
      <c r="F6" s="3134" t="s">
        <v>2951</v>
      </c>
    </row>
    <row r="7" spans="1:6" ht="14.25">
      <c r="A7" s="260" t="s">
        <v>2950</v>
      </c>
      <c r="B7" s="3138" t="e">
        <f ca="1">SUMIF(INDIRECT("'"&amp;A7&amp;"'"&amp;"!A:A"),"总价",INDIRECT("'"&amp;A7&amp;"'"&amp;"!B:B"))</f>
        <v>#DIV/0!</v>
      </c>
      <c r="C7" s="3134" t="s">
        <v>2943</v>
      </c>
      <c r="D7" s="1881"/>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2943</v>
      </c>
      <c r="D8" s="1881"/>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2943</v>
      </c>
      <c r="D9" s="1881"/>
      <c r="E9" s="3139" t="e">
        <f t="shared" ca="1" si="1"/>
        <v>#REF!</v>
      </c>
      <c r="F9" s="3139" t="e">
        <f t="shared" ca="1" si="2"/>
        <v>#REF!</v>
      </c>
    </row>
    <row r="10" spans="1:6" ht="14.25">
      <c r="A10" s="260"/>
      <c r="B10" s="3138" t="e">
        <f t="shared" ca="1" si="0"/>
        <v>#REF!</v>
      </c>
      <c r="C10" s="3134" t="s">
        <v>2943</v>
      </c>
      <c r="D10" s="1881"/>
      <c r="E10" s="3139" t="e">
        <f t="shared" ca="1" si="1"/>
        <v>#REF!</v>
      </c>
      <c r="F10" s="3139" t="e">
        <f t="shared" ca="1" si="2"/>
        <v>#REF!</v>
      </c>
    </row>
    <row r="11" spans="1:6" ht="14.25">
      <c r="A11" s="260"/>
      <c r="B11" s="3138" t="e">
        <f t="shared" ca="1" si="0"/>
        <v>#REF!</v>
      </c>
      <c r="C11" s="3134" t="s">
        <v>2943</v>
      </c>
      <c r="D11" s="1881"/>
      <c r="E11" s="3139" t="e">
        <f t="shared" ca="1" si="1"/>
        <v>#REF!</v>
      </c>
      <c r="F11" s="3139" t="e">
        <f t="shared" ca="1" si="2"/>
        <v>#REF!</v>
      </c>
    </row>
    <row r="12" spans="1:6" ht="14.25">
      <c r="A12" s="260"/>
      <c r="B12" s="3138" t="e">
        <f t="shared" ca="1" si="0"/>
        <v>#REF!</v>
      </c>
      <c r="C12" s="3134" t="s">
        <v>2943</v>
      </c>
      <c r="D12" s="1881"/>
      <c r="E12" s="3139" t="e">
        <f t="shared" ca="1" si="1"/>
        <v>#REF!</v>
      </c>
      <c r="F12" s="3139" t="e">
        <f t="shared" ca="1" si="2"/>
        <v>#REF!</v>
      </c>
    </row>
    <row r="13" spans="1:6" ht="14.25">
      <c r="A13" s="260"/>
      <c r="B13" s="3138" t="e">
        <f t="shared" ca="1" si="0"/>
        <v>#REF!</v>
      </c>
      <c r="C13" s="3134" t="s">
        <v>2943</v>
      </c>
      <c r="D13" s="1881"/>
      <c r="E13" s="3139" t="e">
        <f t="shared" ca="1" si="1"/>
        <v>#REF!</v>
      </c>
      <c r="F13" s="3139" t="e">
        <f t="shared" ca="1" si="2"/>
        <v>#REF!</v>
      </c>
    </row>
    <row r="14" spans="1:6" ht="14.25">
      <c r="A14" s="3132"/>
      <c r="B14" s="3138" t="e">
        <f t="shared" ca="1" si="0"/>
        <v>#REF!</v>
      </c>
      <c r="C14" s="3134" t="s">
        <v>2943</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2374</v>
      </c>
      <c r="F1" s="2412">
        <f ca="1">J54</f>
        <v>0</v>
      </c>
      <c r="G1" s="774">
        <f>MATCH(C1,'数据-取费表'!A6:A16,0)+5</f>
        <v>9</v>
      </c>
      <c r="H1" s="1348"/>
      <c r="I1" s="2051"/>
      <c r="J1" s="2051"/>
      <c r="K1" s="2052"/>
      <c r="L1" s="2051"/>
      <c r="M1" s="2051"/>
      <c r="N1" s="2053"/>
      <c r="O1" s="2053"/>
      <c r="P1" s="2053"/>
      <c r="Q1" s="2053"/>
      <c r="R1" s="2053"/>
      <c r="S1" s="2053"/>
      <c r="T1" s="2053"/>
      <c r="U1" s="2053"/>
      <c r="V1" s="2053"/>
      <c r="W1" s="2053"/>
      <c r="X1" s="2053"/>
      <c r="Y1" s="2053"/>
    </row>
    <row r="2" spans="1:25" ht="18" customHeight="1">
      <c r="A2" s="1643" t="s">
        <v>630</v>
      </c>
      <c r="B2" s="775">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6" t="s">
        <v>696</v>
      </c>
      <c r="I3" s="2057"/>
      <c r="J3" s="2057"/>
      <c r="K3" s="2058"/>
      <c r="L3" s="2057"/>
      <c r="M3" s="2057"/>
    </row>
    <row r="4" spans="1:25" ht="18" customHeight="1">
      <c r="A4" s="1645" t="s">
        <v>697</v>
      </c>
      <c r="B4" s="1350">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698</v>
      </c>
      <c r="D5" s="2055"/>
      <c r="E5" s="2056"/>
      <c r="F5" s="2056"/>
      <c r="G5" s="1589"/>
      <c r="H5" s="776"/>
      <c r="I5" s="2057"/>
      <c r="J5" s="2057"/>
      <c r="K5" s="2058"/>
      <c r="L5" s="2057"/>
      <c r="M5" s="2057"/>
    </row>
    <row r="6" spans="1:25" ht="18" customHeight="1">
      <c r="A6" s="1828" t="s">
        <v>699</v>
      </c>
      <c r="B6" s="1820" t="s">
        <v>700</v>
      </c>
      <c r="C6" s="1820" t="s">
        <v>633</v>
      </c>
      <c r="D6" s="1820" t="s">
        <v>634</v>
      </c>
      <c r="E6" s="779" t="s">
        <v>635</v>
      </c>
      <c r="F6" s="780"/>
      <c r="G6" s="1591"/>
      <c r="H6" s="1828" t="s">
        <v>631</v>
      </c>
      <c r="I6" s="1820" t="s">
        <v>632</v>
      </c>
      <c r="J6" s="1820" t="s">
        <v>633</v>
      </c>
      <c r="K6" s="1820" t="s">
        <v>634</v>
      </c>
      <c r="L6" s="779" t="s">
        <v>635</v>
      </c>
      <c r="M6" s="780"/>
    </row>
    <row r="7" spans="1:25" ht="18" customHeight="1">
      <c r="A7" s="781">
        <v>1</v>
      </c>
      <c r="B7" s="782" t="s">
        <v>2459</v>
      </c>
      <c r="C7" s="53">
        <f ca="1">C8+C12+C14</f>
        <v>0</v>
      </c>
      <c r="D7" s="2520" t="s">
        <v>2462</v>
      </c>
      <c r="E7" s="2514"/>
      <c r="F7" s="2515"/>
      <c r="G7" s="1591"/>
      <c r="H7" s="781">
        <v>1</v>
      </c>
      <c r="I7" s="782" t="s">
        <v>2459</v>
      </c>
      <c r="J7" s="53">
        <f ca="1">J8+J12+J14</f>
        <v>0</v>
      </c>
      <c r="K7" s="2520" t="s">
        <v>2462</v>
      </c>
      <c r="L7" s="2514"/>
      <c r="M7" s="2515"/>
    </row>
    <row r="8" spans="1:25" ht="18" customHeight="1">
      <c r="A8" s="1830" t="s">
        <v>1825</v>
      </c>
      <c r="B8" s="3776" t="s">
        <v>2464</v>
      </c>
      <c r="C8" s="1825">
        <f ca="1">ROUND(F8*F10*F9*(1-F11)/10000,0)</f>
        <v>0</v>
      </c>
      <c r="D8" s="1822" t="s">
        <v>2536</v>
      </c>
      <c r="E8" s="61" t="s">
        <v>638</v>
      </c>
      <c r="F8" s="785">
        <f ca="1">INDIRECT("'数据-取费表'!u"&amp;$G$1)</f>
        <v>0</v>
      </c>
      <c r="G8" s="1591"/>
      <c r="H8" s="2528" t="s">
        <v>1825</v>
      </c>
      <c r="I8" s="3776" t="s">
        <v>2464</v>
      </c>
      <c r="J8" s="783">
        <f ca="1">ROUND(M8*M10*M9*(1-M11)/10000,0)</f>
        <v>0</v>
      </c>
      <c r="K8" s="341" t="s">
        <v>2536</v>
      </c>
      <c r="L8" s="784" t="s">
        <v>1739</v>
      </c>
      <c r="M8" s="785">
        <f ca="1">INDIRECT("'数据-取费表'!z"&amp;$G$1)</f>
        <v>0</v>
      </c>
    </row>
    <row r="9" spans="1:25" ht="18" customHeight="1">
      <c r="A9" s="2524"/>
      <c r="B9" s="3777"/>
      <c r="C9" s="1826"/>
      <c r="D9" s="1823"/>
      <c r="E9" s="61" t="s">
        <v>639</v>
      </c>
      <c r="F9" s="785">
        <f ca="1">IF(INDIRECT("'数据-取费表'!ah"&amp;$G$1)="",INDIRECT("'数据-取费表'!k"&amp;$G$1),INDIRECT("'数据-取费表'!ah"&amp;$G$1))</f>
        <v>0</v>
      </c>
      <c r="G9" s="1591"/>
      <c r="H9" s="2513"/>
      <c r="I9" s="3777"/>
      <c r="J9" s="788"/>
      <c r="K9" s="789"/>
      <c r="L9" s="784" t="s">
        <v>1740</v>
      </c>
      <c r="M9" s="785">
        <f ca="1">F9</f>
        <v>0</v>
      </c>
    </row>
    <row r="10" spans="1:25" ht="18" customHeight="1">
      <c r="A10" s="2517"/>
      <c r="B10" s="3778"/>
      <c r="C10" s="1826"/>
      <c r="D10" s="1823"/>
      <c r="E10" s="61" t="s">
        <v>640</v>
      </c>
      <c r="F10" s="785">
        <f ca="1">INDIRECT("'数据-取费表'!ai"&amp;$G$1)</f>
        <v>0</v>
      </c>
      <c r="G10" s="1591"/>
      <c r="H10" s="2513"/>
      <c r="I10" s="3778"/>
      <c r="J10" s="788"/>
      <c r="K10" s="789"/>
      <c r="L10" s="784" t="s">
        <v>1741</v>
      </c>
      <c r="M10" s="785">
        <f ca="1">INDIRECT("'数据-取费表'!ai"&amp;$G$1)</f>
        <v>0</v>
      </c>
    </row>
    <row r="11" spans="1:25" ht="18" customHeight="1">
      <c r="A11" s="786"/>
      <c r="B11" s="3779"/>
      <c r="C11" s="1826"/>
      <c r="D11" s="1823"/>
      <c r="E11" s="61" t="s">
        <v>641</v>
      </c>
      <c r="F11" s="794">
        <f ca="1">INDIRECT("'数据-取费表'!w"&amp;$G$1)</f>
        <v>0</v>
      </c>
      <c r="G11" s="1591"/>
      <c r="H11" s="2529"/>
      <c r="I11" s="3778"/>
      <c r="J11" s="788"/>
      <c r="K11" s="789"/>
      <c r="L11" s="795" t="s">
        <v>1742</v>
      </c>
      <c r="M11" s="796">
        <f ca="1">INDIRECT("'数据-取费表'!ab"&amp;$G$1)</f>
        <v>0</v>
      </c>
    </row>
    <row r="12" spans="1:25" ht="18" customHeight="1">
      <c r="A12" s="1830" t="s">
        <v>1826</v>
      </c>
      <c r="B12" s="2518" t="s">
        <v>2460</v>
      </c>
      <c r="C12" s="799">
        <f ca="1">ROUND(IF(F12="押一",F8*F10*F9/12*F13,IF(F12="押二",F8*F10*F9/12*2*F13,IF(F12="押三",F8*F10*F9/12*3*F13,C13*F13)))/10000,0)</f>
        <v>0</v>
      </c>
      <c r="D12" s="2525" t="s">
        <v>2467</v>
      </c>
      <c r="E12" s="2522" t="s">
        <v>2465</v>
      </c>
      <c r="F12" s="2645"/>
      <c r="G12" s="1591"/>
      <c r="H12" s="2585" t="s">
        <v>1826</v>
      </c>
      <c r="I12" s="2590" t="s">
        <v>2460</v>
      </c>
      <c r="J12" s="783">
        <f ca="1">ROUND(IF(M12="押一",M8*M10*M9/12*M13,IF(M12="押二",M8*M10*M9/12*2*M13,IF(M12="押三",M8*M10*M9/12*3*M13,J13*M13)))/10000,0)</f>
        <v>0</v>
      </c>
      <c r="K12" s="2525" t="s">
        <v>2467</v>
      </c>
      <c r="L12" s="2522" t="s">
        <v>2465</v>
      </c>
      <c r="M12" s="2645"/>
    </row>
    <row r="13" spans="1:25" ht="18" customHeight="1">
      <c r="A13" s="790"/>
      <c r="B13" s="2519" t="s">
        <v>2575</v>
      </c>
      <c r="C13" s="2523"/>
      <c r="D13" s="789"/>
      <c r="E13" s="2522" t="s">
        <v>2457</v>
      </c>
      <c r="F13" s="796">
        <f ca="1">'数据-取费表'!B39</f>
        <v>1.4999999999999999E-2</v>
      </c>
      <c r="G13" s="1591"/>
      <c r="H13" s="2586"/>
      <c r="I13" s="2519" t="s">
        <v>2575</v>
      </c>
      <c r="J13" s="2523"/>
      <c r="K13" s="2587"/>
      <c r="L13" s="2522" t="s">
        <v>2457</v>
      </c>
      <c r="M13" s="2516">
        <f ca="1">'数据-取费表'!B39</f>
        <v>1.4999999999999999E-2</v>
      </c>
    </row>
    <row r="14" spans="1:25" ht="18" customHeight="1" thickBot="1">
      <c r="A14" s="2561" t="s">
        <v>2469</v>
      </c>
      <c r="B14" s="2562" t="s">
        <v>2461</v>
      </c>
      <c r="C14" s="2563"/>
      <c r="D14" s="2564"/>
      <c r="E14" s="2565"/>
      <c r="F14" s="2566"/>
      <c r="G14" s="1591"/>
      <c r="H14" s="2575" t="s">
        <v>2469</v>
      </c>
      <c r="I14" s="2588" t="s">
        <v>2461</v>
      </c>
      <c r="J14" s="2589"/>
      <c r="K14" s="2564"/>
      <c r="L14" s="2565"/>
      <c r="M14" s="2578"/>
    </row>
    <row r="15" spans="1:25" ht="18" customHeight="1" thickTop="1">
      <c r="A15" s="1829" t="s">
        <v>1875</v>
      </c>
      <c r="B15" s="1827" t="s">
        <v>642</v>
      </c>
      <c r="C15" s="792">
        <f ca="1">ROUND(C31*F15,0)</f>
        <v>0</v>
      </c>
      <c r="D15" s="1834" t="s">
        <v>643</v>
      </c>
      <c r="E15" s="795" t="s">
        <v>644</v>
      </c>
      <c r="F15" s="800">
        <f ca="1">INDIRECT("'数据-取费表'!y"&amp;$G$1)</f>
        <v>0</v>
      </c>
      <c r="G15" s="1591"/>
      <c r="H15" s="1829" t="s">
        <v>1827</v>
      </c>
      <c r="I15" s="1827" t="s">
        <v>645</v>
      </c>
      <c r="J15" s="1819">
        <f ca="1">ROUND(J16*J17,0)</f>
        <v>0</v>
      </c>
      <c r="K15" s="1821" t="s">
        <v>643</v>
      </c>
      <c r="L15" s="801"/>
      <c r="M15" s="802"/>
    </row>
    <row r="16" spans="1:25" ht="18" customHeight="1">
      <c r="A16" s="803" t="s">
        <v>1876</v>
      </c>
      <c r="B16" s="784" t="s">
        <v>646</v>
      </c>
      <c r="C16" s="804">
        <f ca="1">INDIRECT("'数据-取费表'!m"&amp;$G$1)+INDIRECT("'数据-取费表'!t"&amp;$G$1)</f>
        <v>0</v>
      </c>
      <c r="D16" s="1979" t="s">
        <v>647</v>
      </c>
      <c r="E16" s="1980"/>
      <c r="F16" s="805"/>
      <c r="G16" s="1591"/>
      <c r="H16" s="803" t="s">
        <v>2070</v>
      </c>
      <c r="I16" s="2231" t="s">
        <v>2827</v>
      </c>
      <c r="J16" s="53">
        <f ca="1">C31</f>
        <v>0</v>
      </c>
      <c r="K16" s="26"/>
      <c r="L16" s="801"/>
      <c r="M16" s="802"/>
    </row>
    <row r="17" spans="1:25" s="2064" customFormat="1" ht="18" customHeight="1">
      <c r="A17" s="803" t="s">
        <v>1850</v>
      </c>
      <c r="B17" s="784" t="s">
        <v>648</v>
      </c>
      <c r="C17" s="53">
        <f ca="1">ROUND(C16*F17,0)</f>
        <v>0</v>
      </c>
      <c r="D17" s="806" t="s">
        <v>649</v>
      </c>
      <c r="E17" s="806" t="s">
        <v>650</v>
      </c>
      <c r="F17" s="807">
        <f>'数据-取费表'!B33</f>
        <v>0.03</v>
      </c>
      <c r="G17" s="1592"/>
      <c r="H17" s="803" t="s">
        <v>2071</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651</v>
      </c>
      <c r="C18" s="53">
        <f ca="1">ROUND(INDIRECT("'数据-取费表'!m"&amp;$G$1)*F18,0)</f>
        <v>0</v>
      </c>
      <c r="D18" s="784" t="s">
        <v>649</v>
      </c>
      <c r="E18" s="784" t="s">
        <v>650</v>
      </c>
      <c r="F18" s="809">
        <f ca="1">IF(INDIRECT("'数据-取费表'!c"&amp;$G$1)="住宅",'数据-取费表'!B34,0)</f>
        <v>0</v>
      </c>
      <c r="G18" s="1591"/>
      <c r="H18" s="797" t="s">
        <v>1828</v>
      </c>
      <c r="I18" s="798" t="s">
        <v>652</v>
      </c>
      <c r="J18" s="799">
        <f ca="1">ROUND(J19+J24+J25+J26,0)</f>
        <v>0</v>
      </c>
      <c r="K18" s="26" t="s">
        <v>653</v>
      </c>
      <c r="L18" s="1982"/>
      <c r="M18" s="56"/>
    </row>
    <row r="19" spans="1:25" s="2064" customFormat="1" ht="18" customHeight="1">
      <c r="A19" s="803" t="s">
        <v>1852</v>
      </c>
      <c r="B19" s="784" t="s">
        <v>654</v>
      </c>
      <c r="C19" s="53">
        <f ca="1">ROUND(F19*(INDIRECT("'数据-取费表'!k"&amp;$G$1)+INDIRECT("'数据-取费表'!S"&amp;$G$1))/10000,0)</f>
        <v>0</v>
      </c>
      <c r="D19" s="784" t="s">
        <v>655</v>
      </c>
      <c r="E19" s="784" t="s">
        <v>656</v>
      </c>
      <c r="F19" s="56">
        <f>'数据-取费表'!B35</f>
        <v>200</v>
      </c>
      <c r="G19" s="1592"/>
      <c r="H19" s="803" t="s">
        <v>2070</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660</v>
      </c>
      <c r="C20" s="53">
        <f ca="1">ROUND(C16*F20,0)</f>
        <v>0</v>
      </c>
      <c r="D20" s="784" t="s">
        <v>649</v>
      </c>
      <c r="E20" s="784" t="s">
        <v>650</v>
      </c>
      <c r="F20" s="809">
        <f>'数据-取费表'!B36</f>
        <v>1.4999999999999999E-2</v>
      </c>
      <c r="G20" s="1592"/>
      <c r="H20" s="803" t="s">
        <v>1832</v>
      </c>
      <c r="I20" s="784" t="s">
        <v>661</v>
      </c>
      <c r="J20" s="53">
        <f ca="1">ROUND(J7*M20/1.05,1)</f>
        <v>0</v>
      </c>
      <c r="K20" s="1977" t="s">
        <v>662</v>
      </c>
      <c r="L20" s="784" t="s">
        <v>650</v>
      </c>
      <c r="M20" s="809">
        <f>'数据-取费表'!B41</f>
        <v>5.5000000000000007E-2</v>
      </c>
      <c r="N20" s="2063"/>
      <c r="O20" s="2063"/>
      <c r="P20" s="2063"/>
      <c r="Q20" s="2063"/>
      <c r="R20" s="2063"/>
      <c r="S20" s="2063"/>
      <c r="T20" s="2063"/>
      <c r="U20" s="2063"/>
      <c r="V20" s="2063"/>
      <c r="W20" s="2063"/>
      <c r="X20" s="2063"/>
      <c r="Y20" s="2063"/>
    </row>
    <row r="21" spans="1:25" ht="18" customHeight="1">
      <c r="A21" s="803" t="s">
        <v>1877</v>
      </c>
      <c r="B21" s="784" t="s">
        <v>663</v>
      </c>
      <c r="C21" s="53">
        <f ca="1">SUM(C16:C20)</f>
        <v>0</v>
      </c>
      <c r="D21" s="261" t="s">
        <v>664</v>
      </c>
      <c r="E21" s="1982"/>
      <c r="F21" s="56"/>
      <c r="G21" s="1591"/>
      <c r="H21" s="1830" t="s">
        <v>1850</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1878</v>
      </c>
      <c r="B22" s="784" t="s">
        <v>667</v>
      </c>
      <c r="C22" s="53">
        <f ca="1">ROUND(C21*F22,0)</f>
        <v>0</v>
      </c>
      <c r="D22" s="812" t="s">
        <v>668</v>
      </c>
      <c r="E22" s="784" t="s">
        <v>650</v>
      </c>
      <c r="F22" s="809">
        <f>'数据-取费表'!B37</f>
        <v>0.02</v>
      </c>
      <c r="G22" s="1592"/>
      <c r="H22" s="1832" t="s">
        <v>1851</v>
      </c>
      <c r="I22" s="1822" t="s">
        <v>669</v>
      </c>
      <c r="J22" s="54">
        <f ca="1">ROUND(M22*M23/10000,0)</f>
        <v>0</v>
      </c>
      <c r="K22" s="814" t="s">
        <v>670</v>
      </c>
      <c r="L22" s="784" t="s">
        <v>671</v>
      </c>
      <c r="M22" s="640">
        <f>'数据-取费表'!B52</f>
        <v>4.5</v>
      </c>
      <c r="N22" s="2063"/>
      <c r="O22" s="2063"/>
      <c r="P22" s="2063"/>
      <c r="Q22" s="2063"/>
      <c r="R22" s="2063"/>
      <c r="S22" s="2063"/>
      <c r="T22" s="2063"/>
      <c r="U22" s="2063"/>
      <c r="V22" s="2063"/>
      <c r="W22" s="2063"/>
      <c r="X22" s="2063"/>
      <c r="Y22" s="2063"/>
    </row>
    <row r="23" spans="1:25" s="2064" customFormat="1" ht="18" customHeight="1">
      <c r="A23" s="803" t="s">
        <v>1879</v>
      </c>
      <c r="B23" s="784" t="s">
        <v>672</v>
      </c>
      <c r="C23" s="53" t="s">
        <v>1</v>
      </c>
      <c r="D23" s="812" t="s">
        <v>673</v>
      </c>
      <c r="E23" s="784" t="s">
        <v>674</v>
      </c>
      <c r="F23" s="809">
        <f>'数据-取费表'!B38</f>
        <v>0.02</v>
      </c>
      <c r="G23" s="1592"/>
      <c r="H23" s="1833"/>
      <c r="I23" s="1824"/>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676</v>
      </c>
      <c r="C24" s="53"/>
      <c r="D24" s="2596" t="str">
        <f>IF(F25&lt;=1,"单利计息。","复利计息。")&amp;"建造成本、管理费用、销售费用产生的利息。"</f>
        <v>复利计息。建造成本、管理费用、销售费用产生的利息。</v>
      </c>
      <c r="E24" s="1982"/>
      <c r="F24" s="56"/>
      <c r="G24" s="1591"/>
      <c r="H24" s="1831" t="s">
        <v>2071</v>
      </c>
      <c r="I24" s="784" t="s">
        <v>677</v>
      </c>
      <c r="J24" s="53">
        <f ca="1">ROUND(J16*M24,0)</f>
        <v>0</v>
      </c>
      <c r="K24" s="1977" t="s">
        <v>678</v>
      </c>
      <c r="L24" s="784" t="s">
        <v>650</v>
      </c>
      <c r="M24" s="817">
        <f ca="1">INDIRECT("'数据-取费表'!Ak"&amp;$G$1)</f>
        <v>0</v>
      </c>
    </row>
    <row r="25" spans="1:25" s="2064" customFormat="1" ht="18" customHeight="1">
      <c r="A25" s="803" t="s">
        <v>1876</v>
      </c>
      <c r="B25" s="784" t="s">
        <v>2437</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3</v>
      </c>
      <c r="G25" s="1592"/>
      <c r="H25" s="803" t="s">
        <v>1879</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682</v>
      </c>
      <c r="C26" s="53">
        <f ca="1">ROUND(IF('数据-取费表'!B22&lt;=1,F23*F26*F25/2,F23*(POWER((1+F26),F25/2)-1)),4)</f>
        <v>1.4E-3</v>
      </c>
      <c r="D26" s="2595" t="str">
        <f>IF(F25&lt;=1,"销售费用×利率×(建设周期÷2)","销售费用×((1+利率)^(建设周期÷2)-1)")</f>
        <v>销售费用×((1+利率)^(建设周期÷2)-1)</v>
      </c>
      <c r="E26" s="784" t="s">
        <v>683</v>
      </c>
      <c r="F26" s="819">
        <f ca="1">'数据-取费表'!B40</f>
        <v>4.7500000000000001E-2</v>
      </c>
      <c r="G26" s="1592"/>
      <c r="H26" s="803" t="s">
        <v>1880</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685</v>
      </c>
      <c r="C27" s="53"/>
      <c r="D27" s="261" t="s">
        <v>686</v>
      </c>
      <c r="E27" s="1982"/>
      <c r="F27" s="56"/>
      <c r="G27" s="1591"/>
      <c r="H27" s="797" t="s">
        <v>1829</v>
      </c>
      <c r="I27" s="3035" t="s">
        <v>2824</v>
      </c>
      <c r="J27" s="799">
        <f ca="1">J7-J18</f>
        <v>0</v>
      </c>
      <c r="K27" s="1979" t="s">
        <v>701</v>
      </c>
      <c r="L27" s="1981"/>
      <c r="M27" s="820"/>
    </row>
    <row r="28" spans="1:25" ht="18" customHeight="1">
      <c r="A28" s="803" t="s">
        <v>1876</v>
      </c>
      <c r="B28" s="784" t="s">
        <v>2438</v>
      </c>
      <c r="C28" s="53">
        <f ca="1">ROUND((C21+C22)*F28,0)</f>
        <v>0</v>
      </c>
      <c r="D28" s="812" t="s">
        <v>702</v>
      </c>
      <c r="E28" s="795" t="s">
        <v>703</v>
      </c>
      <c r="F28" s="794">
        <f ca="1">INDIRECT("'数据-取费表'!q"&amp;$G$1)</f>
        <v>0</v>
      </c>
      <c r="G28" s="1591"/>
      <c r="H28" s="781" t="s">
        <v>1838</v>
      </c>
      <c r="I28" s="782" t="s">
        <v>704</v>
      </c>
      <c r="J28" s="783">
        <f ca="1">IF(J7&lt;&gt;0,ROUND(J27*(1-((1+M30)/(1+M28))^M29)/(M28-M30),0),0)</f>
        <v>0</v>
      </c>
      <c r="K28" s="814" t="s">
        <v>705</v>
      </c>
      <c r="L28" s="784" t="s">
        <v>706</v>
      </c>
      <c r="M28" s="794">
        <f ca="1">INDIRECT("'数据-取费表'!I"&amp;$G$1)</f>
        <v>0</v>
      </c>
    </row>
    <row r="29" spans="1:25" ht="18" customHeight="1">
      <c r="A29" s="803" t="s">
        <v>1850</v>
      </c>
      <c r="B29" s="784" t="s">
        <v>687</v>
      </c>
      <c r="C29" s="53">
        <f ca="1">ROUND(F23*F28,4)</f>
        <v>0</v>
      </c>
      <c r="D29" s="812" t="s">
        <v>707</v>
      </c>
      <c r="E29" s="806"/>
      <c r="F29" s="807"/>
      <c r="G29" s="1591"/>
      <c r="H29" s="786"/>
      <c r="I29" s="787"/>
      <c r="J29" s="788"/>
      <c r="K29" s="821" t="s">
        <v>708</v>
      </c>
      <c r="L29" s="784" t="s">
        <v>709</v>
      </c>
      <c r="M29" s="822">
        <f ca="1">INDIRECT("'数据-取费表'!ag"&amp;$G$1)</f>
        <v>0</v>
      </c>
    </row>
    <row r="30" spans="1:25" s="2064" customFormat="1" ht="18" customHeight="1">
      <c r="A30" s="803" t="s">
        <v>1883</v>
      </c>
      <c r="B30" s="784" t="s">
        <v>688</v>
      </c>
      <c r="C30" s="53">
        <f>ROUND(F30/(1+'数据-取费表'!C42),4)</f>
        <v>5.2400000000000002E-2</v>
      </c>
      <c r="D30" s="812" t="s">
        <v>710</v>
      </c>
      <c r="E30" s="784" t="s">
        <v>650</v>
      </c>
      <c r="F30" s="809">
        <f>'数据-取费表'!B41</f>
        <v>5.5000000000000007E-2</v>
      </c>
      <c r="G30" s="1592"/>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2825</v>
      </c>
      <c r="C31" s="2568">
        <f ca="1">ROUND((C21+C22+C25+C28)/(1-F23-C26-C29-C30),0)</f>
        <v>0</v>
      </c>
      <c r="D31" s="2569"/>
      <c r="E31" s="2570"/>
      <c r="F31" s="2571"/>
      <c r="G31" s="1592"/>
      <c r="H31" s="823" t="s">
        <v>1873</v>
      </c>
      <c r="I31" s="3036" t="s">
        <v>2826</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2">
        <f ca="1">ROUND(C33+C38+C39+C40,0)</f>
        <v>0</v>
      </c>
      <c r="D32" s="1821" t="s">
        <v>653</v>
      </c>
      <c r="E32" s="2511"/>
      <c r="F32" s="2515"/>
      <c r="G32" s="2062"/>
      <c r="H32" s="2065"/>
      <c r="I32" s="2066"/>
      <c r="J32" s="2067"/>
      <c r="K32" s="2068"/>
      <c r="L32" s="2069"/>
      <c r="M32" s="2070"/>
    </row>
    <row r="33" spans="1:18" ht="18" customHeight="1">
      <c r="A33" s="803" t="s">
        <v>1877</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661</v>
      </c>
      <c r="C34" s="53">
        <f ca="1">ROUND(C7*F34/1.05,1)</f>
        <v>0</v>
      </c>
      <c r="D34" s="1977" t="s">
        <v>662</v>
      </c>
      <c r="E34" s="784" t="s">
        <v>650</v>
      </c>
      <c r="F34" s="809">
        <f>'数据-取费表'!B41</f>
        <v>5.5000000000000007E-2</v>
      </c>
      <c r="G34" s="2062"/>
      <c r="H34" s="2071"/>
      <c r="I34" s="2072"/>
      <c r="J34" s="2073"/>
      <c r="K34" s="2074"/>
      <c r="L34" s="2075"/>
      <c r="M34" s="2076"/>
    </row>
    <row r="35" spans="1:18" ht="18" customHeight="1">
      <c r="A35" s="803" t="s">
        <v>1850</v>
      </c>
      <c r="B35" s="784" t="s">
        <v>665</v>
      </c>
      <c r="C35" s="53">
        <f ca="1">IF(D35="按租金收入计税",ROUND(C7*F35,1),IF(D35="按房产原值计税",ROUND(C31*F35*0.7,1),INDIRECT("'数据-取费表'!Aj"&amp;$G$1)))</f>
        <v>0</v>
      </c>
      <c r="D35" s="811" t="s">
        <v>1681</v>
      </c>
      <c r="E35" s="784" t="s">
        <v>650</v>
      </c>
      <c r="F35" s="809">
        <f>IF(D35="按租金收入计税",'数据-取费表'!B51,'数据-取费表'!B50)</f>
        <v>1.2E-2</v>
      </c>
      <c r="G35" s="2062"/>
      <c r="H35" s="2077"/>
      <c r="I35" s="2077"/>
      <c r="J35" s="2077"/>
      <c r="K35" s="2078"/>
      <c r="L35" s="2077"/>
      <c r="M35" s="2077"/>
    </row>
    <row r="36" spans="1:18" ht="18" customHeight="1">
      <c r="A36" s="813" t="s">
        <v>1881</v>
      </c>
      <c r="B36" s="341" t="s">
        <v>669</v>
      </c>
      <c r="C36" s="54">
        <f ca="1">ROUND(F36*F37/10000,1)</f>
        <v>0</v>
      </c>
      <c r="D36" s="814" t="s">
        <v>670</v>
      </c>
      <c r="E36" s="784" t="s">
        <v>671</v>
      </c>
      <c r="F36" s="640">
        <f>'数据-取费表'!B52</f>
        <v>4.5</v>
      </c>
      <c r="G36" s="2062"/>
      <c r="H36" s="2065"/>
      <c r="I36" s="3775"/>
      <c r="J36" s="2079"/>
      <c r="K36" s="2080"/>
      <c r="L36" s="2079"/>
      <c r="M36" s="2079"/>
    </row>
    <row r="37" spans="1:18" ht="18" customHeight="1">
      <c r="A37" s="815"/>
      <c r="B37" s="793"/>
      <c r="C37" s="69"/>
      <c r="D37" s="816"/>
      <c r="E37" s="784" t="s">
        <v>675</v>
      </c>
      <c r="F37" s="785">
        <f ca="1">INDIRECT("'数据-取费表'!r"&amp;$G$1)</f>
        <v>0</v>
      </c>
      <c r="G37" s="2062"/>
      <c r="H37" s="2065"/>
      <c r="I37" s="3775"/>
      <c r="J37" s="2077"/>
      <c r="K37" s="2078"/>
      <c r="L37" s="2077"/>
      <c r="M37" s="2077"/>
    </row>
    <row r="38" spans="1:18" ht="18" customHeight="1">
      <c r="A38" s="803" t="s">
        <v>1878</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1879</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1880</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1"/>
      <c r="D41" s="1352"/>
      <c r="E41" s="1352"/>
      <c r="F41" s="1353"/>
      <c r="G41" s="2062"/>
      <c r="H41" s="2062"/>
      <c r="I41" s="2062"/>
      <c r="J41" s="2062"/>
      <c r="K41" s="2083"/>
      <c r="L41" s="2062"/>
      <c r="M41" s="2062"/>
    </row>
    <row r="42" spans="1:18" ht="18" customHeight="1">
      <c r="A42" s="803" t="s">
        <v>1877</v>
      </c>
      <c r="B42" s="835" t="s">
        <v>694</v>
      </c>
      <c r="C42" s="829">
        <f ca="1">C7-C32</f>
        <v>0</v>
      </c>
      <c r="D42" s="1979" t="s">
        <v>695</v>
      </c>
      <c r="E42" s="1981"/>
      <c r="F42" s="820"/>
      <c r="G42" s="2062"/>
      <c r="H42" s="2062"/>
      <c r="I42" s="2062"/>
      <c r="J42" s="2062"/>
      <c r="K42" s="2083"/>
      <c r="L42" s="2062"/>
      <c r="M42" s="2062"/>
    </row>
    <row r="43" spans="1:18" ht="18" customHeight="1">
      <c r="A43" s="803" t="s">
        <v>1878</v>
      </c>
      <c r="B43" s="835" t="s">
        <v>712</v>
      </c>
      <c r="C43" s="836">
        <f ca="1">ROUND(C15*F43,0)</f>
        <v>0</v>
      </c>
      <c r="D43" s="1354" t="s">
        <v>713</v>
      </c>
      <c r="E43" s="3152" t="s">
        <v>2961</v>
      </c>
      <c r="F43" s="3153">
        <f ca="1">INDIRECT("'数据-取费表'!j"&amp;$G$1)</f>
        <v>0</v>
      </c>
      <c r="G43" s="2062"/>
      <c r="H43" s="2062"/>
      <c r="I43" s="2062"/>
      <c r="J43" s="2062"/>
      <c r="K43" s="2083"/>
      <c r="L43" s="2062"/>
      <c r="M43" s="2062"/>
    </row>
    <row r="44" spans="1:18" ht="18" customHeight="1">
      <c r="A44" s="803" t="s">
        <v>1879</v>
      </c>
      <c r="B44" s="835" t="s">
        <v>714</v>
      </c>
      <c r="C44" s="1355">
        <f ca="1">C42-C43</f>
        <v>0</v>
      </c>
      <c r="D44" s="463" t="s">
        <v>715</v>
      </c>
      <c r="E44" s="464"/>
      <c r="F44" s="465"/>
      <c r="G44" s="2062"/>
      <c r="H44" s="2062"/>
      <c r="I44" s="2062"/>
      <c r="J44" s="2062"/>
      <c r="K44" s="2083"/>
      <c r="L44" s="2062"/>
      <c r="M44" s="2062"/>
    </row>
    <row r="45" spans="1:18" ht="18" customHeight="1">
      <c r="A45" s="803" t="s">
        <v>1880</v>
      </c>
      <c r="B45" s="1354" t="s">
        <v>716</v>
      </c>
      <c r="C45" s="3062">
        <f ca="1">ROUND(-PV(F45,F46,C44,0),0)</f>
        <v>0</v>
      </c>
      <c r="D45" s="1356" t="s">
        <v>717</v>
      </c>
      <c r="E45" s="806" t="s">
        <v>718</v>
      </c>
      <c r="F45" s="830">
        <f ca="1">INDIRECT("'数据-取费表'!h"&amp;$G$1)</f>
        <v>0</v>
      </c>
      <c r="G45" s="2062"/>
      <c r="H45" s="2062"/>
      <c r="I45" s="2062"/>
      <c r="J45" s="2062"/>
      <c r="K45" s="2083"/>
      <c r="L45" s="2062"/>
      <c r="M45" s="2062"/>
    </row>
    <row r="46" spans="1:18" ht="18" customHeight="1" thickBot="1">
      <c r="A46" s="831"/>
      <c r="B46" s="1357"/>
      <c r="C46" s="1358"/>
      <c r="D46" s="1359"/>
      <c r="E46" s="3154" t="s">
        <v>2964</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1"/>
      <c r="Q47" s="1603"/>
      <c r="R47" s="1591"/>
    </row>
    <row r="48" spans="1:18" s="2059" customFormat="1" ht="18" customHeight="1" thickBot="1">
      <c r="A48" s="2084"/>
      <c r="C48" s="2087"/>
      <c r="D48" s="2088"/>
      <c r="E48" s="2088"/>
      <c r="F48" s="2089"/>
      <c r="G48" s="2090"/>
      <c r="I48" s="2382" t="s">
        <v>2343</v>
      </c>
      <c r="J48" s="2387"/>
      <c r="K48" s="2388" t="s">
        <v>2349</v>
      </c>
      <c r="L48" s="2389">
        <f ca="1">INDIRECT("'数据-取费表'!d"&amp;$G$1)</f>
        <v>0</v>
      </c>
      <c r="M48" s="3149"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780"/>
      <c r="L54" s="3781"/>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26" t="s">
        <v>2355</v>
      </c>
      <c r="J56" s="3150" t="e">
        <f ca="1">ROUND(IF(J48="钢混",J58/J51,1-(1-2%)*(J51-J58)/J51),3)</f>
        <v>#VALUE!</v>
      </c>
      <c r="K56" s="2401" t="s">
        <v>2356</v>
      </c>
      <c r="L56" s="2402"/>
      <c r="O56" s="2428" t="s">
        <v>2411</v>
      </c>
      <c r="P56" s="1591"/>
      <c r="Q56" s="1603"/>
      <c r="R56" s="1591"/>
    </row>
    <row r="57" spans="1:18" s="2059" customFormat="1" ht="43.5" thickBot="1">
      <c r="A57" s="2096"/>
      <c r="B57" s="2097"/>
      <c r="C57" s="2097"/>
      <c r="I57" s="2403" t="s">
        <v>2357</v>
      </c>
      <c r="J57" s="3149" t="s">
        <v>1679</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1"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8" t="s">
        <v>2940</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9">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0">
        <v>0</v>
      </c>
      <c r="O65" s="2428" t="s">
        <v>2415</v>
      </c>
      <c r="P65" s="1591"/>
      <c r="Q65" s="1603"/>
      <c r="R65" s="1591"/>
    </row>
    <row r="66" spans="1:18" s="2059" customFormat="1" ht="15.75" thickBot="1">
      <c r="A66" s="2096"/>
      <c r="B66" s="2097"/>
      <c r="C66" s="2097"/>
      <c r="I66" s="2409" t="s">
        <v>2372</v>
      </c>
      <c r="J66" s="2410">
        <v>40</v>
      </c>
      <c r="K66" s="2410">
        <v>30</v>
      </c>
      <c r="L66" s="2410">
        <v>50</v>
      </c>
      <c r="M66" s="3129">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4" zoomScale="80" zoomScaleSheetLayoutView="100" zoomScalePageLayoutView="80" workbookViewId="0">
      <selection activeCell="B40" sqref="B40"/>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535" t="str">
        <f>项目基本情况!B1</f>
        <v>广东省惠州市博罗县龙溪镇宫庭村南水园（土名）441322021003GB00392W00000000、441322021003GB00393W00000000、441322021003GB01260W00000000号共计三宗住宅、商业、地下车库用地出让国有建设用地使用权抵押价格预评估</v>
      </c>
      <c r="C37" s="3535"/>
      <c r="D37" s="3535"/>
      <c r="E37" s="3535"/>
      <c r="F37" s="3535"/>
      <c r="G37" s="3535"/>
      <c r="H37" s="3535"/>
      <c r="I37" s="3535"/>
    </row>
    <row r="38" spans="1:9">
      <c r="A38" s="1655"/>
      <c r="B38" s="1655"/>
    </row>
    <row r="39" spans="1:9">
      <c r="A39" s="1653" t="s">
        <v>1902</v>
      </c>
      <c r="B39" s="1653" t="s">
        <v>2047</v>
      </c>
    </row>
    <row r="40" spans="1:9">
      <c r="A40" s="1653"/>
      <c r="B40" s="1653">
        <f>项目基本情况!B5</f>
        <v>0</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吴薇、刘梅</v>
      </c>
    </row>
    <row r="47" spans="1:9">
      <c r="A47" s="1653"/>
      <c r="B47" s="1653"/>
    </row>
    <row r="48" spans="1:9">
      <c r="A48" s="1653" t="s">
        <v>1902</v>
      </c>
      <c r="B48" s="1653" t="s">
        <v>2049</v>
      </c>
    </row>
    <row r="49" spans="2:2">
      <c r="B49" s="1653" t="str">
        <f>"康正预评字"&amp;项目基本情况!B2&amp;"号"</f>
        <v>康正预评字2018-1-0098-P01DYGJ2号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788" t="s">
        <v>2578</v>
      </c>
      <c r="C1" s="3788"/>
      <c r="D1" s="3788"/>
      <c r="E1" s="3788"/>
      <c r="F1" s="3788"/>
      <c r="G1" s="3787" t="s">
        <v>2579</v>
      </c>
      <c r="H1" s="3787"/>
      <c r="I1" s="3787"/>
      <c r="J1" s="3787"/>
      <c r="K1" s="3787"/>
      <c r="L1" s="3787"/>
      <c r="N1" s="3787" t="s">
        <v>2580</v>
      </c>
      <c r="O1" s="3787"/>
      <c r="P1" s="3787"/>
      <c r="Q1" s="3787"/>
      <c r="R1" s="2679"/>
      <c r="S1" s="3787" t="s">
        <v>2581</v>
      </c>
      <c r="T1" s="3787"/>
      <c r="U1" s="3787"/>
      <c r="V1" s="3787"/>
      <c r="X1" s="3786" t="s">
        <v>2641</v>
      </c>
      <c r="Y1" s="3787"/>
      <c r="Z1" s="3787"/>
      <c r="AA1" s="3787"/>
      <c r="AB1" s="3787"/>
      <c r="AD1" s="3786" t="s">
        <v>2645</v>
      </c>
      <c r="AE1" s="3787"/>
      <c r="AF1" s="3787"/>
      <c r="AG1" s="3787"/>
      <c r="AH1" s="3787"/>
    </row>
    <row r="2" spans="1:34" s="2781" customFormat="1" ht="14.25" thickBot="1">
      <c r="B2" s="2789" t="s">
        <v>2582</v>
      </c>
      <c r="C2" s="2789" t="s">
        <v>2643</v>
      </c>
      <c r="D2" s="2782" t="s">
        <v>1645</v>
      </c>
      <c r="E2" s="2782" t="s">
        <v>1952</v>
      </c>
      <c r="F2" s="2789" t="s">
        <v>2644</v>
      </c>
      <c r="G2" s="2785"/>
      <c r="H2" s="2784"/>
      <c r="I2" s="2789" t="s">
        <v>2955</v>
      </c>
      <c r="J2" s="2782" t="s">
        <v>2957</v>
      </c>
      <c r="K2" s="2782" t="s">
        <v>2958</v>
      </c>
      <c r="L2" s="2789" t="s">
        <v>2959</v>
      </c>
      <c r="N2" s="2789" t="s">
        <v>2582</v>
      </c>
      <c r="O2" s="2782" t="s">
        <v>2956</v>
      </c>
      <c r="P2" s="2782" t="s">
        <v>1952</v>
      </c>
      <c r="Q2" s="2789" t="s">
        <v>2644</v>
      </c>
      <c r="R2" s="2783"/>
      <c r="S2" s="2789" t="s">
        <v>2582</v>
      </c>
      <c r="T2" s="2782" t="s">
        <v>2956</v>
      </c>
      <c r="U2" s="2782" t="s">
        <v>1952</v>
      </c>
      <c r="V2" s="2789" t="s">
        <v>2644</v>
      </c>
      <c r="X2" s="2789" t="s">
        <v>2582</v>
      </c>
      <c r="Y2" s="2789" t="s">
        <v>2643</v>
      </c>
      <c r="Z2" s="2782" t="s">
        <v>1645</v>
      </c>
      <c r="AA2" s="2782" t="s">
        <v>1952</v>
      </c>
      <c r="AB2" s="2789" t="s">
        <v>2644</v>
      </c>
      <c r="AD2" s="2789" t="s">
        <v>2582</v>
      </c>
      <c r="AE2" s="2789" t="s">
        <v>2643</v>
      </c>
      <c r="AF2" s="2782" t="s">
        <v>1645</v>
      </c>
      <c r="AG2" s="2782" t="s">
        <v>1952</v>
      </c>
      <c r="AH2" s="2789" t="s">
        <v>2644</v>
      </c>
    </row>
    <row r="3" spans="1:34" s="3164" customFormat="1" ht="14.25">
      <c r="A3" s="3176" t="s">
        <v>2969</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4" customFormat="1" ht="14.25">
      <c r="B4" s="2775"/>
      <c r="C4" s="2775"/>
      <c r="D4" s="2776"/>
      <c r="E4" s="2776"/>
      <c r="F4" s="2775"/>
      <c r="G4" s="2780"/>
      <c r="H4" s="2777"/>
      <c r="I4" s="3157"/>
      <c r="J4" s="3157"/>
      <c r="K4" s="3157"/>
      <c r="L4" s="3157"/>
      <c r="N4" s="2780"/>
      <c r="O4" s="2778"/>
      <c r="P4" s="2778"/>
      <c r="Q4" s="2778"/>
      <c r="R4" s="2778"/>
      <c r="S4" s="2780"/>
      <c r="T4" s="2778"/>
      <c r="U4" s="2778"/>
      <c r="V4" s="2778"/>
      <c r="W4" s="3173"/>
      <c r="X4" s="2779"/>
      <c r="Y4" s="2779"/>
      <c r="Z4" s="2779"/>
      <c r="AA4" s="2779"/>
      <c r="AB4" s="2779"/>
      <c r="AD4" s="2699"/>
      <c r="AE4" s="2699"/>
      <c r="AF4" s="2699"/>
      <c r="AG4" s="2699"/>
      <c r="AH4" s="2699"/>
    </row>
    <row r="5" spans="1:34" s="3143" customFormat="1" ht="13.5" thickBot="1">
      <c r="A5" s="3141" t="s">
        <v>2968</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2">
        <v>1</v>
      </c>
      <c r="I5" s="3158">
        <v>0</v>
      </c>
      <c r="J5" s="3158">
        <v>0</v>
      </c>
      <c r="K5" s="3158">
        <v>0</v>
      </c>
      <c r="L5" s="3158">
        <v>0</v>
      </c>
      <c r="N5" s="2787">
        <f t="shared" ref="N5:N10" si="6">I5/100</f>
        <v>0</v>
      </c>
      <c r="O5" s="2787">
        <f t="shared" ref="O5" si="7">J5/100</f>
        <v>0</v>
      </c>
      <c r="P5" s="2787">
        <f t="shared" ref="P5" si="8">K5/100</f>
        <v>0</v>
      </c>
      <c r="Q5" s="2787">
        <f t="shared" ref="Q5" si="9">L5/100</f>
        <v>0</v>
      </c>
      <c r="R5" s="3144"/>
      <c r="S5" s="3145"/>
      <c r="T5" s="3144"/>
      <c r="U5" s="3144"/>
      <c r="V5" s="3144"/>
      <c r="W5" s="3174" t="s">
        <v>2970</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80" t="s">
        <v>2966</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1">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2971</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3"/>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2583</v>
      </c>
      <c r="B8" s="2694">
        <f t="shared" si="19"/>
        <v>419.31181600000002</v>
      </c>
      <c r="C8" s="2694">
        <f t="shared" si="19"/>
        <v>313.95436800000004</v>
      </c>
      <c r="D8" s="2694">
        <f t="shared" si="3"/>
        <v>313.95436800000004</v>
      </c>
      <c r="E8" s="2694">
        <f t="shared" si="20"/>
        <v>596.63028431999999</v>
      </c>
      <c r="F8" s="2694">
        <f t="shared" si="20"/>
        <v>274.74220703999998</v>
      </c>
      <c r="G8" s="3162"/>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2584</v>
      </c>
      <c r="B9" s="2694">
        <f t="shared" si="19"/>
        <v>405.524</v>
      </c>
      <c r="C9" s="2694">
        <f t="shared" si="19"/>
        <v>307.79840000000002</v>
      </c>
      <c r="D9" s="2694">
        <f t="shared" si="3"/>
        <v>307.79840000000002</v>
      </c>
      <c r="E9" s="2694">
        <f t="shared" si="20"/>
        <v>574.67759999999998</v>
      </c>
      <c r="F9" s="2694">
        <f t="shared" si="20"/>
        <v>270.20280000000002</v>
      </c>
      <c r="G9" s="3163"/>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971</v>
      </c>
      <c r="B10" s="2686">
        <v>392</v>
      </c>
      <c r="C10" s="2686">
        <v>302</v>
      </c>
      <c r="D10" s="2686">
        <f t="shared" si="3"/>
        <v>302</v>
      </c>
      <c r="E10" s="2686">
        <v>553</v>
      </c>
      <c r="F10" s="2687">
        <v>266</v>
      </c>
      <c r="G10" s="3785">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970</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3783"/>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960</v>
      </c>
      <c r="B12" s="2694">
        <f t="shared" si="28"/>
        <v>360.06949782209392</v>
      </c>
      <c r="C12" s="2694">
        <f t="shared" si="28"/>
        <v>289.84672674747821</v>
      </c>
      <c r="D12" s="2694">
        <f t="shared" si="29"/>
        <v>289.84672674747821</v>
      </c>
      <c r="E12" s="2694">
        <f t="shared" si="30"/>
        <v>501.06543001181495</v>
      </c>
      <c r="F12" s="2694">
        <f t="shared" si="30"/>
        <v>256.82882500744967</v>
      </c>
      <c r="G12" s="3783"/>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969</v>
      </c>
      <c r="B13" s="2694">
        <f t="shared" si="28"/>
        <v>346.720748986128</v>
      </c>
      <c r="C13" s="2694">
        <f t="shared" si="28"/>
        <v>284.30282172386285</v>
      </c>
      <c r="D13" s="2694">
        <f t="shared" si="29"/>
        <v>284.30282172386285</v>
      </c>
      <c r="E13" s="2694">
        <f t="shared" si="30"/>
        <v>479.58023546306947</v>
      </c>
      <c r="F13" s="2694">
        <f t="shared" si="30"/>
        <v>253.25788877571213</v>
      </c>
      <c r="G13" s="3784"/>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968</v>
      </c>
      <c r="B14" s="2686">
        <v>333</v>
      </c>
      <c r="C14" s="2686">
        <v>277</v>
      </c>
      <c r="D14" s="2686">
        <f t="shared" si="29"/>
        <v>277</v>
      </c>
      <c r="E14" s="2686">
        <v>459</v>
      </c>
      <c r="F14" s="2687">
        <v>249</v>
      </c>
      <c r="G14" s="3782">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967</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3783"/>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966</v>
      </c>
      <c r="B16" s="2694">
        <f t="shared" si="32"/>
        <v>322.34053690220776</v>
      </c>
      <c r="C16" s="2694">
        <f t="shared" si="32"/>
        <v>271.46160770422546</v>
      </c>
      <c r="D16" s="2694">
        <f t="shared" si="29"/>
        <v>271.46160770422546</v>
      </c>
      <c r="E16" s="2694">
        <f t="shared" si="33"/>
        <v>442.69434542172456</v>
      </c>
      <c r="F16" s="2694">
        <f t="shared" si="33"/>
        <v>241.34030753190925</v>
      </c>
      <c r="G16" s="3783"/>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965</v>
      </c>
      <c r="B17" s="2694">
        <f t="shared" si="32"/>
        <v>319.87748030386797</v>
      </c>
      <c r="C17" s="2694">
        <f t="shared" si="32"/>
        <v>269.60135833173649</v>
      </c>
      <c r="D17" s="2694">
        <f t="shared" si="29"/>
        <v>269.60135833173649</v>
      </c>
      <c r="E17" s="2694">
        <f t="shared" si="33"/>
        <v>439.18089823583784</v>
      </c>
      <c r="F17" s="2694">
        <f t="shared" si="33"/>
        <v>239.23503918706311</v>
      </c>
      <c r="G17" s="3784"/>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964</v>
      </c>
      <c r="B18" s="2708">
        <v>318</v>
      </c>
      <c r="C18" s="2708">
        <v>268</v>
      </c>
      <c r="D18" s="2708">
        <f t="shared" si="29"/>
        <v>268</v>
      </c>
      <c r="E18" s="2708">
        <v>437</v>
      </c>
      <c r="F18" s="2709">
        <v>237</v>
      </c>
      <c r="G18" s="3782">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963</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3783"/>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962</v>
      </c>
      <c r="B20" s="2694">
        <f t="shared" si="34"/>
        <v>314.72141172386546</v>
      </c>
      <c r="C20" s="2694">
        <f t="shared" si="34"/>
        <v>263.03901319069001</v>
      </c>
      <c r="D20" s="2694">
        <f t="shared" si="29"/>
        <v>263.03901319069001</v>
      </c>
      <c r="E20" s="2694">
        <f t="shared" si="35"/>
        <v>433.65745506782821</v>
      </c>
      <c r="F20" s="2694">
        <f t="shared" si="35"/>
        <v>233.23005080045735</v>
      </c>
      <c r="G20" s="3783"/>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961</v>
      </c>
      <c r="B21" s="2713">
        <f t="shared" si="34"/>
        <v>307.34512863658733</v>
      </c>
      <c r="C21" s="2713">
        <f t="shared" si="34"/>
        <v>257.80556031626975</v>
      </c>
      <c r="D21" s="2713">
        <f t="shared" si="29"/>
        <v>257.80556031626975</v>
      </c>
      <c r="E21" s="2713">
        <f t="shared" si="35"/>
        <v>422.70928459677179</v>
      </c>
      <c r="F21" s="2713">
        <f t="shared" si="35"/>
        <v>229.73803270336617</v>
      </c>
      <c r="G21" s="3784"/>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2642</v>
      </c>
      <c r="X21" s="2790">
        <v>1</v>
      </c>
      <c r="Y21" s="2790">
        <v>1</v>
      </c>
      <c r="Z21" s="2790">
        <v>1</v>
      </c>
      <c r="AA21" s="2790">
        <v>1</v>
      </c>
      <c r="AB21" s="2790">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80" t="s">
        <v>2585</v>
      </c>
      <c r="B22" s="2686">
        <v>299</v>
      </c>
      <c r="C22" s="2686">
        <v>252</v>
      </c>
      <c r="D22" s="2686">
        <f t="shared" si="29"/>
        <v>252</v>
      </c>
      <c r="E22" s="2686">
        <v>409</v>
      </c>
      <c r="F22" s="2687">
        <v>227</v>
      </c>
      <c r="G22" s="3789">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2586</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3790"/>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2587</v>
      </c>
      <c r="B24" s="2694">
        <f t="shared" si="38"/>
        <v>288.2649053828776</v>
      </c>
      <c r="C24" s="2694">
        <f t="shared" si="38"/>
        <v>243.64564425013293</v>
      </c>
      <c r="D24" s="2694">
        <f t="shared" si="29"/>
        <v>243.64564425013293</v>
      </c>
      <c r="E24" s="2694">
        <f t="shared" si="39"/>
        <v>393.31080825986544</v>
      </c>
      <c r="F24" s="2694">
        <f t="shared" si="39"/>
        <v>223.07903790551154</v>
      </c>
      <c r="G24" s="3790"/>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2588</v>
      </c>
      <c r="B25" s="2694">
        <f t="shared" si="38"/>
        <v>282.50186729015837</v>
      </c>
      <c r="C25" s="2694">
        <f t="shared" si="38"/>
        <v>238.09796174155468</v>
      </c>
      <c r="D25" s="2694">
        <f t="shared" si="29"/>
        <v>238.09796174155468</v>
      </c>
      <c r="E25" s="2694">
        <f t="shared" si="39"/>
        <v>385.33438646014054</v>
      </c>
      <c r="F25" s="2694">
        <f t="shared" si="39"/>
        <v>221.55034055567739</v>
      </c>
      <c r="G25" s="3791"/>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2589</v>
      </c>
      <c r="B26" s="2724">
        <v>278</v>
      </c>
      <c r="C26" s="2724">
        <v>234</v>
      </c>
      <c r="D26" s="2724">
        <f t="shared" si="29"/>
        <v>234</v>
      </c>
      <c r="E26" s="2724">
        <v>379</v>
      </c>
      <c r="F26" s="2725">
        <v>220</v>
      </c>
      <c r="G26" s="3782">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2590</v>
      </c>
      <c r="B27" s="2694">
        <f>B26/(1+N26)</f>
        <v>275.49301357645425</v>
      </c>
      <c r="C27" s="2694">
        <f>C26/(1+O26)</f>
        <v>232.41954707985698</v>
      </c>
      <c r="D27" s="2694">
        <f t="shared" si="29"/>
        <v>232.41954707985698</v>
      </c>
      <c r="E27" s="2694">
        <f t="shared" ref="E27:F29" si="40">E26/(1+P26)</f>
        <v>375.32184591008121</v>
      </c>
      <c r="F27" s="2694">
        <f t="shared" si="40"/>
        <v>218.03766105054513</v>
      </c>
      <c r="G27" s="3783"/>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2591</v>
      </c>
      <c r="B28" s="2694">
        <f>B27/(1+N27)</f>
        <v>275.24529281292263</v>
      </c>
      <c r="C28" s="2694">
        <f>C27/(1+O27)</f>
        <v>231.74747938962707</v>
      </c>
      <c r="D28" s="2694">
        <f t="shared" si="29"/>
        <v>231.74747938962707</v>
      </c>
      <c r="E28" s="2694">
        <f t="shared" si="40"/>
        <v>375.35938184826603</v>
      </c>
      <c r="F28" s="2694">
        <f t="shared" si="40"/>
        <v>216.78033510692495</v>
      </c>
      <c r="G28" s="3783"/>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2592</v>
      </c>
      <c r="B29" s="2694">
        <f>B28/(1+N28)</f>
        <v>275.19025476197027</v>
      </c>
      <c r="C29" s="2726">
        <v>232</v>
      </c>
      <c r="D29" s="2726">
        <f t="shared" si="29"/>
        <v>232</v>
      </c>
      <c r="E29" s="2694">
        <f t="shared" si="40"/>
        <v>375.65990977608692</v>
      </c>
      <c r="F29" s="2694">
        <f t="shared" si="40"/>
        <v>214.12518283971252</v>
      </c>
      <c r="G29" s="3784"/>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2593</v>
      </c>
      <c r="B30" s="2686">
        <v>275</v>
      </c>
      <c r="C30" s="2686">
        <v>232</v>
      </c>
      <c r="D30" s="2686">
        <f t="shared" si="29"/>
        <v>232</v>
      </c>
      <c r="E30" s="2686">
        <v>376</v>
      </c>
      <c r="F30" s="2687">
        <v>213</v>
      </c>
      <c r="G30" s="3782">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2594</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3783">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2595</v>
      </c>
      <c r="B32" s="2694">
        <f t="shared" si="41"/>
        <v>275.19335084830601</v>
      </c>
      <c r="C32" s="2694">
        <f t="shared" si="41"/>
        <v>230.18088050139744</v>
      </c>
      <c r="D32" s="2694">
        <f t="shared" si="29"/>
        <v>230.18088050139744</v>
      </c>
      <c r="E32" s="2694">
        <f t="shared" si="42"/>
        <v>377.58482925212331</v>
      </c>
      <c r="F32" s="2694">
        <f t="shared" si="42"/>
        <v>210.90687997847917</v>
      </c>
      <c r="G32" s="3783">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2596</v>
      </c>
      <c r="B33" s="2694">
        <f t="shared" si="41"/>
        <v>276.29854502841971</v>
      </c>
      <c r="C33" s="2694">
        <f t="shared" si="41"/>
        <v>229.79023709833027</v>
      </c>
      <c r="D33" s="2694">
        <f t="shared" si="29"/>
        <v>229.79023709833027</v>
      </c>
      <c r="E33" s="2694">
        <f t="shared" si="42"/>
        <v>379.78759731655936</v>
      </c>
      <c r="F33" s="2694">
        <f t="shared" si="42"/>
        <v>211.32953905659235</v>
      </c>
      <c r="G33" s="3784">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2597</v>
      </c>
      <c r="B34" s="2686">
        <v>269</v>
      </c>
      <c r="C34" s="2686">
        <v>221</v>
      </c>
      <c r="D34" s="2686">
        <f t="shared" si="29"/>
        <v>221</v>
      </c>
      <c r="E34" s="2686">
        <v>373</v>
      </c>
      <c r="F34" s="2687">
        <v>196</v>
      </c>
      <c r="G34" s="3782">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2598</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3783">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2599</v>
      </c>
      <c r="B36" s="2694">
        <f t="shared" si="43"/>
        <v>242.95398227588385</v>
      </c>
      <c r="C36" s="2694">
        <f t="shared" si="43"/>
        <v>199.59137053614126</v>
      </c>
      <c r="D36" s="2694">
        <f t="shared" si="29"/>
        <v>199.59137053614126</v>
      </c>
      <c r="E36" s="2694">
        <f t="shared" si="44"/>
        <v>335.92189522342125</v>
      </c>
      <c r="F36" s="2694">
        <f t="shared" si="44"/>
        <v>183.10139991109489</v>
      </c>
      <c r="G36" s="3783">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2600</v>
      </c>
      <c r="B37" s="2694">
        <f t="shared" si="43"/>
        <v>232.06990378821649</v>
      </c>
      <c r="C37" s="2694">
        <f t="shared" si="43"/>
        <v>192.74878854286936</v>
      </c>
      <c r="D37" s="2694">
        <f t="shared" si="29"/>
        <v>192.74878854286936</v>
      </c>
      <c r="E37" s="2694">
        <f t="shared" si="44"/>
        <v>319.71247284992984</v>
      </c>
      <c r="F37" s="2694">
        <f t="shared" si="44"/>
        <v>175.67053622862409</v>
      </c>
      <c r="G37" s="3784">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2601</v>
      </c>
      <c r="B38" s="2686">
        <v>220</v>
      </c>
      <c r="C38" s="2686">
        <v>187</v>
      </c>
      <c r="D38" s="2686">
        <f t="shared" si="29"/>
        <v>187</v>
      </c>
      <c r="E38" s="2686">
        <v>301</v>
      </c>
      <c r="F38" s="2687">
        <v>168</v>
      </c>
      <c r="G38" s="3782">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2602</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3783">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2603</v>
      </c>
      <c r="B40" s="2694">
        <f t="shared" si="45"/>
        <v>210.630522469011</v>
      </c>
      <c r="C40" s="2694">
        <f t="shared" si="45"/>
        <v>181.69567812247232</v>
      </c>
      <c r="D40" s="2694">
        <f t="shared" si="29"/>
        <v>181.69567812247232</v>
      </c>
      <c r="E40" s="2694">
        <f t="shared" si="46"/>
        <v>286.13517466736738</v>
      </c>
      <c r="F40" s="2694">
        <f t="shared" si="46"/>
        <v>165.47535084591149</v>
      </c>
      <c r="G40" s="3783">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2604</v>
      </c>
      <c r="B41" s="2694">
        <f t="shared" si="45"/>
        <v>208.83454537875372</v>
      </c>
      <c r="C41" s="2694">
        <f t="shared" si="45"/>
        <v>183.77230517090351</v>
      </c>
      <c r="D41" s="2694">
        <f t="shared" si="29"/>
        <v>183.77230517090351</v>
      </c>
      <c r="E41" s="2694">
        <f t="shared" si="46"/>
        <v>281.10342338870947</v>
      </c>
      <c r="F41" s="2694">
        <f t="shared" si="46"/>
        <v>168.97309388942256</v>
      </c>
      <c r="G41" s="3784">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2605</v>
      </c>
      <c r="B42" s="2724">
        <v>214</v>
      </c>
      <c r="C42" s="2724">
        <v>188</v>
      </c>
      <c r="D42" s="2724">
        <f t="shared" si="29"/>
        <v>188</v>
      </c>
      <c r="E42" s="2724">
        <v>289</v>
      </c>
      <c r="F42" s="2725">
        <v>166</v>
      </c>
      <c r="G42" s="3782">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2606</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3783">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2607</v>
      </c>
      <c r="B44" s="2694">
        <f t="shared" si="47"/>
        <v>206.31694671589116</v>
      </c>
      <c r="C44" s="2694">
        <f t="shared" si="47"/>
        <v>183.61041121036101</v>
      </c>
      <c r="D44" s="2694">
        <f t="shared" si="29"/>
        <v>183.61041121036101</v>
      </c>
      <c r="E44" s="2694">
        <f t="shared" si="48"/>
        <v>276.66850301795557</v>
      </c>
      <c r="F44" s="2694">
        <f t="shared" si="48"/>
        <v>165.1360938278614</v>
      </c>
      <c r="G44" s="3783">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2608</v>
      </c>
      <c r="B45" s="2727">
        <f t="shared" si="47"/>
        <v>196.62341248059772</v>
      </c>
      <c r="C45" s="2727">
        <f t="shared" si="47"/>
        <v>170.99125648199012</v>
      </c>
      <c r="D45" s="2727">
        <f t="shared" si="29"/>
        <v>170.99125648199012</v>
      </c>
      <c r="E45" s="2727">
        <f t="shared" si="48"/>
        <v>266.07857570490052</v>
      </c>
      <c r="F45" s="2727">
        <f t="shared" si="48"/>
        <v>154.53499328828505</v>
      </c>
      <c r="G45" s="3784">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2609</v>
      </c>
      <c r="B46" s="2686">
        <v>188</v>
      </c>
      <c r="C46" s="2686">
        <v>165</v>
      </c>
      <c r="D46" s="2686">
        <f t="shared" si="29"/>
        <v>165</v>
      </c>
      <c r="E46" s="2686">
        <v>254</v>
      </c>
      <c r="F46" s="2687">
        <v>148</v>
      </c>
      <c r="G46" s="3782">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2610</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3783">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2611</v>
      </c>
      <c r="B48" s="2694">
        <f t="shared" si="51"/>
        <v>168.82017748715555</v>
      </c>
      <c r="C48" s="2694">
        <f t="shared" si="51"/>
        <v>148.06267029972753</v>
      </c>
      <c r="D48" s="2694">
        <f t="shared" si="29"/>
        <v>148.06267029972753</v>
      </c>
      <c r="E48" s="2694">
        <f t="shared" si="52"/>
        <v>216.46288379323747</v>
      </c>
      <c r="F48" s="2694">
        <f t="shared" si="52"/>
        <v>134.23529411764704</v>
      </c>
      <c r="G48" s="3783">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2612</v>
      </c>
      <c r="B49" s="2694">
        <f t="shared" si="51"/>
        <v>163.84913591779542</v>
      </c>
      <c r="C49" s="2694">
        <f t="shared" si="51"/>
        <v>145.0283378746594</v>
      </c>
      <c r="D49" s="2694">
        <f t="shared" si="29"/>
        <v>145.0283378746594</v>
      </c>
      <c r="E49" s="2694">
        <f t="shared" si="52"/>
        <v>204.95180722891567</v>
      </c>
      <c r="F49" s="2694">
        <f t="shared" si="52"/>
        <v>125.95920303605313</v>
      </c>
      <c r="G49" s="3784">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2613</v>
      </c>
      <c r="B50" s="2708">
        <v>159</v>
      </c>
      <c r="C50" s="2708">
        <v>141</v>
      </c>
      <c r="D50" s="2708">
        <f t="shared" si="29"/>
        <v>141</v>
      </c>
      <c r="E50" s="2708">
        <v>195</v>
      </c>
      <c r="F50" s="2709">
        <v>122</v>
      </c>
      <c r="G50" s="3782">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2614</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3783">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2615</v>
      </c>
      <c r="B52" s="2694">
        <f t="shared" si="55"/>
        <v>146.57412060301507</v>
      </c>
      <c r="C52" s="2694">
        <f t="shared" si="55"/>
        <v>136.46831955922866</v>
      </c>
      <c r="D52" s="2694">
        <f t="shared" si="29"/>
        <v>136.46831955922866</v>
      </c>
      <c r="E52" s="2694">
        <f t="shared" si="56"/>
        <v>166.73864894795128</v>
      </c>
      <c r="F52" s="2694">
        <f t="shared" si="56"/>
        <v>115.05882352941177</v>
      </c>
      <c r="G52" s="3783">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2616</v>
      </c>
      <c r="B53" s="2694">
        <f t="shared" si="55"/>
        <v>144.04145728643215</v>
      </c>
      <c r="C53" s="2694">
        <f t="shared" si="55"/>
        <v>136.12396694214877</v>
      </c>
      <c r="D53" s="2694">
        <f t="shared" si="29"/>
        <v>136.12396694214877</v>
      </c>
      <c r="E53" s="2694">
        <f t="shared" si="56"/>
        <v>158.32225913621264</v>
      </c>
      <c r="F53" s="2694">
        <f t="shared" si="56"/>
        <v>114.04278074866311</v>
      </c>
      <c r="G53" s="3784">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2617</v>
      </c>
      <c r="B54" s="2708">
        <v>138</v>
      </c>
      <c r="C54" s="2708">
        <v>131</v>
      </c>
      <c r="D54" s="2708">
        <f t="shared" si="29"/>
        <v>131</v>
      </c>
      <c r="E54" s="2708">
        <v>155</v>
      </c>
      <c r="F54" s="2709">
        <v>114</v>
      </c>
      <c r="G54" s="3782">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2618</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3783">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2619</v>
      </c>
      <c r="B56" s="2694">
        <f t="shared" si="59"/>
        <v>124.29032258064517</v>
      </c>
      <c r="C56" s="2694">
        <f t="shared" si="59"/>
        <v>123.8968609865471</v>
      </c>
      <c r="D56" s="2694">
        <f t="shared" si="29"/>
        <v>123.8968609865471</v>
      </c>
      <c r="E56" s="2694">
        <f t="shared" si="60"/>
        <v>138.00507614213197</v>
      </c>
      <c r="F56" s="2694">
        <f t="shared" si="60"/>
        <v>107.96106557377048</v>
      </c>
      <c r="G56" s="3783">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2620</v>
      </c>
      <c r="B57" s="2694">
        <f t="shared" si="59"/>
        <v>122.57204301075269</v>
      </c>
      <c r="C57" s="2694">
        <f t="shared" si="59"/>
        <v>123.4932735426009</v>
      </c>
      <c r="D57" s="2694">
        <f t="shared" si="29"/>
        <v>123.4932735426009</v>
      </c>
      <c r="E57" s="2694">
        <f t="shared" si="60"/>
        <v>129.82233502538071</v>
      </c>
      <c r="F57" s="2694">
        <f t="shared" si="60"/>
        <v>107.39446721311475</v>
      </c>
      <c r="G57" s="3784">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2621</v>
      </c>
      <c r="B58" s="2724">
        <v>121</v>
      </c>
      <c r="C58" s="2724">
        <v>122</v>
      </c>
      <c r="D58" s="2724">
        <f t="shared" si="29"/>
        <v>122</v>
      </c>
      <c r="E58" s="2724">
        <v>124</v>
      </c>
      <c r="F58" s="2725">
        <v>107</v>
      </c>
      <c r="G58" s="3782">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2622</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3783">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2623</v>
      </c>
      <c r="B60" s="2694">
        <f t="shared" si="63"/>
        <v>116.99099099099099</v>
      </c>
      <c r="C60" s="2694">
        <f t="shared" si="63"/>
        <v>118.84848484848486</v>
      </c>
      <c r="D60" s="2694">
        <f t="shared" si="29"/>
        <v>118.84848484848486</v>
      </c>
      <c r="E60" s="2694">
        <f t="shared" si="64"/>
        <v>117.60960960960961</v>
      </c>
      <c r="F60" s="2694">
        <f t="shared" si="64"/>
        <v>104</v>
      </c>
      <c r="G60" s="3783">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2624</v>
      </c>
      <c r="B61" s="2727">
        <f t="shared" si="63"/>
        <v>112.48648648648648</v>
      </c>
      <c r="C61" s="2727">
        <f t="shared" si="63"/>
        <v>115.21212121212122</v>
      </c>
      <c r="D61" s="2727">
        <f t="shared" si="29"/>
        <v>115.21212121212122</v>
      </c>
      <c r="E61" s="2727">
        <f t="shared" si="64"/>
        <v>110.4024024024024</v>
      </c>
      <c r="F61" s="2727">
        <f t="shared" si="64"/>
        <v>104</v>
      </c>
      <c r="G61" s="3784">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2625</v>
      </c>
      <c r="B62" s="2745">
        <v>111</v>
      </c>
      <c r="C62" s="2745">
        <v>114</v>
      </c>
      <c r="D62" s="2745">
        <f t="shared" si="29"/>
        <v>114</v>
      </c>
      <c r="E62" s="2745">
        <v>108</v>
      </c>
      <c r="F62" s="2746">
        <v>104</v>
      </c>
      <c r="G62" s="3782">
        <v>2003</v>
      </c>
      <c r="H62" s="2735">
        <v>4</v>
      </c>
      <c r="I62" s="2747"/>
      <c r="J62" s="2747"/>
      <c r="K62" s="2747"/>
      <c r="L62" s="2747"/>
      <c r="N62" s="2748"/>
      <c r="O62" s="2747"/>
      <c r="P62" s="2747"/>
      <c r="Q62" s="2747"/>
      <c r="S62" s="2748"/>
      <c r="T62" s="2747"/>
      <c r="U62" s="2747"/>
      <c r="V62" s="2747"/>
      <c r="X62" s="2739"/>
      <c r="Y62" s="2739"/>
      <c r="Z62" s="2739"/>
    </row>
    <row r="63" spans="1:26">
      <c r="A63" s="2680" t="s">
        <v>2626</v>
      </c>
      <c r="B63" s="2749">
        <f t="shared" ref="B63:C65" si="65">B64+(B$62-B$66)/4</f>
        <v>109.75</v>
      </c>
      <c r="C63" s="2749">
        <f t="shared" si="65"/>
        <v>112.25</v>
      </c>
      <c r="D63" s="2749">
        <f t="shared" si="29"/>
        <v>112.25</v>
      </c>
      <c r="E63" s="2749">
        <f t="shared" ref="E63:F65" si="66">E64+(E$62-E$66)/4</f>
        <v>107.25</v>
      </c>
      <c r="F63" s="2749">
        <f t="shared" si="66"/>
        <v>103.5</v>
      </c>
      <c r="G63" s="3783">
        <v>2003</v>
      </c>
      <c r="H63" s="2705">
        <v>3</v>
      </c>
      <c r="I63" s="2747"/>
      <c r="J63" s="2747"/>
      <c r="K63" s="2747"/>
      <c r="L63" s="2747"/>
      <c r="X63" s="2739"/>
      <c r="Y63" s="2739"/>
      <c r="Z63" s="2739"/>
    </row>
    <row r="64" spans="1:26">
      <c r="A64" s="2680" t="s">
        <v>2627</v>
      </c>
      <c r="B64" s="2749">
        <f t="shared" si="65"/>
        <v>108.5</v>
      </c>
      <c r="C64" s="2749">
        <f t="shared" si="65"/>
        <v>110.5</v>
      </c>
      <c r="D64" s="2749">
        <f t="shared" si="29"/>
        <v>110.5</v>
      </c>
      <c r="E64" s="2749">
        <f t="shared" si="66"/>
        <v>106.5</v>
      </c>
      <c r="F64" s="2749">
        <f t="shared" si="66"/>
        <v>103</v>
      </c>
      <c r="G64" s="3783">
        <v>2003</v>
      </c>
      <c r="H64" s="2685">
        <v>2</v>
      </c>
      <c r="I64" s="2747"/>
      <c r="J64" s="2747"/>
      <c r="K64" s="2747"/>
      <c r="L64" s="2747"/>
      <c r="X64" s="2739"/>
      <c r="Y64" s="2739"/>
      <c r="Z64" s="2739"/>
    </row>
    <row r="65" spans="1:26" ht="13.5" thickBot="1">
      <c r="A65" s="2680" t="s">
        <v>2628</v>
      </c>
      <c r="B65" s="2749">
        <f t="shared" si="65"/>
        <v>107.25</v>
      </c>
      <c r="C65" s="2749">
        <f t="shared" si="65"/>
        <v>108.75</v>
      </c>
      <c r="D65" s="2749">
        <f t="shared" si="29"/>
        <v>108.75</v>
      </c>
      <c r="E65" s="2749">
        <f t="shared" si="66"/>
        <v>105.75</v>
      </c>
      <c r="F65" s="2749">
        <f t="shared" si="66"/>
        <v>102.5</v>
      </c>
      <c r="G65" s="3784">
        <v>2003</v>
      </c>
      <c r="H65" s="2750">
        <v>1</v>
      </c>
      <c r="I65" s="2747"/>
      <c r="J65" s="2747"/>
      <c r="K65" s="2747"/>
      <c r="L65" s="2747"/>
      <c r="S65" s="2689"/>
      <c r="T65" s="2690"/>
      <c r="U65" s="2690"/>
      <c r="X65" s="2739"/>
      <c r="Y65" s="2739"/>
      <c r="Z65" s="2739"/>
    </row>
    <row r="66" spans="1:26" ht="13.5" thickBot="1">
      <c r="A66" s="2680" t="s">
        <v>2629</v>
      </c>
      <c r="B66" s="2751">
        <v>106</v>
      </c>
      <c r="C66" s="2751">
        <v>107</v>
      </c>
      <c r="D66" s="2751">
        <f t="shared" si="29"/>
        <v>107</v>
      </c>
      <c r="E66" s="2751">
        <v>105</v>
      </c>
      <c r="F66" s="2752">
        <v>102</v>
      </c>
      <c r="G66" s="3782">
        <v>2002</v>
      </c>
      <c r="H66" s="2700">
        <v>4</v>
      </c>
      <c r="I66" s="2747"/>
      <c r="J66" s="2747"/>
      <c r="K66" s="2747"/>
      <c r="L66" s="2747"/>
      <c r="N66" s="2748"/>
      <c r="O66" s="2747"/>
      <c r="P66" s="2747"/>
      <c r="Q66" s="2747"/>
      <c r="S66" s="2748"/>
      <c r="T66" s="2747"/>
      <c r="U66" s="2747"/>
      <c r="V66" s="2747"/>
      <c r="X66" s="2739"/>
      <c r="Y66" s="2739"/>
      <c r="Z66" s="2739"/>
    </row>
    <row r="67" spans="1:26">
      <c r="A67" s="2680" t="s">
        <v>2630</v>
      </c>
      <c r="B67" s="2749">
        <f t="shared" ref="B67:C69" si="67">B68+(B$66-B$70)/4</f>
        <v>105</v>
      </c>
      <c r="C67" s="2749">
        <f t="shared" si="67"/>
        <v>106</v>
      </c>
      <c r="D67" s="2749">
        <f t="shared" si="29"/>
        <v>106</v>
      </c>
      <c r="E67" s="2749">
        <f t="shared" ref="E67:F69" si="68">E68+(E$66-E$70)/4</f>
        <v>104.5</v>
      </c>
      <c r="F67" s="2749">
        <f t="shared" si="68"/>
        <v>101.5</v>
      </c>
      <c r="G67" s="3783">
        <v>2002</v>
      </c>
      <c r="H67" s="2705">
        <v>3</v>
      </c>
      <c r="I67" s="2747"/>
      <c r="J67" s="2747"/>
      <c r="K67" s="2747"/>
      <c r="L67" s="2747"/>
      <c r="X67" s="2739"/>
      <c r="Y67" s="2739"/>
      <c r="Z67" s="2739"/>
    </row>
    <row r="68" spans="1:26">
      <c r="A68" s="2680" t="s">
        <v>2631</v>
      </c>
      <c r="B68" s="2749">
        <f t="shared" si="67"/>
        <v>104</v>
      </c>
      <c r="C68" s="2749">
        <f t="shared" si="67"/>
        <v>105</v>
      </c>
      <c r="D68" s="2749">
        <f t="shared" si="29"/>
        <v>105</v>
      </c>
      <c r="E68" s="2749">
        <f t="shared" si="68"/>
        <v>104</v>
      </c>
      <c r="F68" s="2749">
        <f t="shared" si="68"/>
        <v>101</v>
      </c>
      <c r="G68" s="3783">
        <v>2002</v>
      </c>
      <c r="H68" s="2685">
        <v>2</v>
      </c>
      <c r="I68" s="2747"/>
      <c r="J68" s="2747"/>
      <c r="K68" s="2747"/>
      <c r="L68" s="2747"/>
      <c r="X68" s="2739"/>
      <c r="Y68" s="2739"/>
      <c r="Z68" s="2739"/>
    </row>
    <row r="69" spans="1:26" s="2716" customFormat="1" ht="13.5" thickBot="1">
      <c r="A69" s="2712" t="s">
        <v>2632</v>
      </c>
      <c r="B69" s="2753">
        <f t="shared" si="67"/>
        <v>103</v>
      </c>
      <c r="C69" s="2753">
        <f t="shared" si="67"/>
        <v>104</v>
      </c>
      <c r="D69" s="2753">
        <f t="shared" si="29"/>
        <v>104</v>
      </c>
      <c r="E69" s="2753">
        <f t="shared" si="68"/>
        <v>103.5</v>
      </c>
      <c r="F69" s="2753">
        <f t="shared" si="68"/>
        <v>100.5</v>
      </c>
      <c r="G69" s="3784">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2633</v>
      </c>
      <c r="G72" s="2763"/>
      <c r="N72" s="2763"/>
      <c r="S72" s="2763"/>
    </row>
    <row r="73" spans="1:26" s="2762" customFormat="1">
      <c r="A73" s="2762" t="s">
        <v>2634</v>
      </c>
      <c r="G73" s="2763"/>
      <c r="N73" s="2763"/>
      <c r="S73" s="2763"/>
    </row>
    <row r="74" spans="1:26" s="2762" customFormat="1">
      <c r="A74" s="2762" t="s">
        <v>2635</v>
      </c>
      <c r="G74" s="2763"/>
      <c r="I74" s="2764"/>
      <c r="J74" s="2764"/>
      <c r="K74" s="2764"/>
      <c r="L74" s="2764"/>
      <c r="N74" s="2765"/>
      <c r="O74" s="2764"/>
      <c r="P74" s="2764"/>
      <c r="Q74" s="2764"/>
      <c r="S74" s="2765"/>
      <c r="T74" s="2764"/>
      <c r="U74" s="2764"/>
      <c r="V74" s="2764"/>
    </row>
    <row r="75" spans="1:26" s="2762" customFormat="1">
      <c r="A75" s="2762" t="s">
        <v>2636</v>
      </c>
      <c r="G75" s="2763"/>
      <c r="N75" s="2763"/>
      <c r="S75" s="2763"/>
    </row>
    <row r="82" spans="7:22" ht="13.5" thickBot="1"/>
    <row r="83" spans="7:22">
      <c r="G83" s="2688"/>
      <c r="S83" s="2766" t="s">
        <v>2637</v>
      </c>
      <c r="T83" s="2767" t="s">
        <v>2638</v>
      </c>
      <c r="U83" s="2767" t="s">
        <v>2639</v>
      </c>
      <c r="V83" s="2767" t="s">
        <v>2640</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8" sqref="C3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3364</v>
      </c>
      <c r="D1" s="3155" t="s">
        <v>3431</v>
      </c>
      <c r="E1" s="2411" t="s">
        <v>2374</v>
      </c>
      <c r="F1" s="2412">
        <f ca="1">J53</f>
        <v>30.909999999999997</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-662</v>
      </c>
      <c r="C2" s="2057"/>
      <c r="D2" s="2055"/>
      <c r="E2" s="2056"/>
      <c r="F2" s="2056"/>
      <c r="G2" s="1589"/>
      <c r="H2" s="2057"/>
      <c r="I2" s="2057"/>
      <c r="J2" s="2057"/>
      <c r="K2" s="2058"/>
      <c r="L2" s="2057"/>
      <c r="M2" s="2057"/>
    </row>
    <row r="3" spans="1:33" ht="18" customHeight="1" thickBot="1">
      <c r="A3" s="833" t="s">
        <v>1728</v>
      </c>
      <c r="B3" s="834">
        <f ca="1">IF(ISERROR(B2*10000/F43),0,ROUND(B2*10000/F43,0))</f>
        <v>-1264</v>
      </c>
      <c r="C3" s="2057"/>
      <c r="D3" s="2055"/>
      <c r="E3" s="2056"/>
      <c r="F3" s="2056"/>
      <c r="G3" s="1589"/>
      <c r="H3" s="776" t="s">
        <v>696</v>
      </c>
      <c r="I3" s="1361"/>
      <c r="J3" s="1361"/>
      <c r="K3" s="1590"/>
      <c r="L3" s="1361"/>
      <c r="M3" s="1361"/>
    </row>
    <row r="4" spans="1:33" ht="18" customHeight="1">
      <c r="A4" s="777" t="s">
        <v>1729</v>
      </c>
      <c r="B4" s="778" t="s">
        <v>1730</v>
      </c>
      <c r="C4" s="778" t="s">
        <v>1731</v>
      </c>
      <c r="D4" s="778" t="s">
        <v>634</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0</v>
      </c>
      <c r="D5" s="2520" t="s">
        <v>2462</v>
      </c>
      <c r="E5" s="2514"/>
      <c r="F5" s="2515"/>
      <c r="G5" s="1591"/>
      <c r="H5" s="781">
        <v>1</v>
      </c>
      <c r="I5" s="782" t="s">
        <v>2459</v>
      </c>
      <c r="J5" s="55">
        <f ca="1">J6+J10+J12</f>
        <v>0</v>
      </c>
      <c r="K5" s="2520" t="s">
        <v>2462</v>
      </c>
      <c r="L5" s="2514"/>
      <c r="M5" s="2515"/>
    </row>
    <row r="6" spans="1:33" ht="18" customHeight="1">
      <c r="A6" s="1830" t="s">
        <v>1825</v>
      </c>
      <c r="B6" s="3776" t="s">
        <v>2464</v>
      </c>
      <c r="C6" s="783">
        <f ca="1">ROUND(F6*F8*F7*(1-F9)/10000,0)</f>
        <v>0</v>
      </c>
      <c r="D6" s="2521" t="s">
        <v>2463</v>
      </c>
      <c r="E6" s="784" t="s">
        <v>1739</v>
      </c>
      <c r="F6" s="785">
        <f ca="1">INDIRECT("'数据-取费表'!u"&amp;$G$1)</f>
        <v>0</v>
      </c>
      <c r="G6" s="1591"/>
      <c r="H6" s="2528" t="s">
        <v>2470</v>
      </c>
      <c r="I6" s="3776" t="s">
        <v>2464</v>
      </c>
      <c r="J6" s="783">
        <f ca="1">ROUND(M6*M8*M7*(1-M9)/10000,0)</f>
        <v>0</v>
      </c>
      <c r="K6" s="341" t="s">
        <v>1738</v>
      </c>
      <c r="L6" s="784" t="s">
        <v>1739</v>
      </c>
      <c r="M6" s="785">
        <f ca="1">INDIRECT("'数据-取费表'!z"&amp;$G$1)</f>
        <v>0</v>
      </c>
    </row>
    <row r="7" spans="1:33" ht="18" customHeight="1">
      <c r="A7" s="2524"/>
      <c r="B7" s="3777"/>
      <c r="C7" s="788"/>
      <c r="D7" s="789"/>
      <c r="E7" s="784" t="s">
        <v>1740</v>
      </c>
      <c r="F7" s="785">
        <f ca="1">IF(INDIRECT("'数据-取费表'!ah"&amp;$G$1)="",INDIRECT("'数据-取费表'!k"&amp;$G$1),INDIRECT("'数据-取费表'!ah"&amp;$G$1))</f>
        <v>5237</v>
      </c>
      <c r="G7" s="1591"/>
      <c r="H7" s="2513"/>
      <c r="I7" s="3777"/>
      <c r="J7" s="788"/>
      <c r="K7" s="789"/>
      <c r="L7" s="784" t="s">
        <v>1740</v>
      </c>
      <c r="M7" s="785">
        <f ca="1">F7</f>
        <v>5237</v>
      </c>
    </row>
    <row r="8" spans="1:33" ht="18" customHeight="1">
      <c r="A8" s="2517"/>
      <c r="B8" s="3778"/>
      <c r="C8" s="788"/>
      <c r="D8" s="789"/>
      <c r="E8" s="784" t="s">
        <v>1741</v>
      </c>
      <c r="F8" s="785">
        <f ca="1">INDIRECT("'数据-取费表'!ai"&amp;$G$1)</f>
        <v>365</v>
      </c>
      <c r="G8" s="1591"/>
      <c r="H8" s="2513"/>
      <c r="I8" s="3778"/>
      <c r="J8" s="788"/>
      <c r="K8" s="789"/>
      <c r="L8" s="784" t="s">
        <v>1741</v>
      </c>
      <c r="M8" s="785">
        <f ca="1">INDIRECT("'数据-取费表'!ai"&amp;$G$1)</f>
        <v>365</v>
      </c>
    </row>
    <row r="9" spans="1:33" ht="18" customHeight="1">
      <c r="A9" s="786"/>
      <c r="B9" s="3779"/>
      <c r="C9" s="788"/>
      <c r="D9" s="789"/>
      <c r="E9" s="784" t="s">
        <v>1742</v>
      </c>
      <c r="F9" s="794">
        <f ca="1">INDIRECT("'数据-取费表'!w"&amp;$G$1)</f>
        <v>0</v>
      </c>
      <c r="G9" s="1591"/>
      <c r="H9" s="2529"/>
      <c r="I9" s="3778"/>
      <c r="J9" s="788"/>
      <c r="K9" s="789"/>
      <c r="L9" s="795" t="s">
        <v>1742</v>
      </c>
      <c r="M9" s="796">
        <f ca="1">INDIRECT("'数据-取费表'!ab"&amp;$G$1)</f>
        <v>0</v>
      </c>
    </row>
    <row r="10" spans="1:33" ht="18" customHeight="1">
      <c r="A10" s="1830" t="s">
        <v>2468</v>
      </c>
      <c r="B10" s="2518" t="s">
        <v>2460</v>
      </c>
      <c r="C10" s="799">
        <f ca="1">ROUND(IF(F10="押一",F6*F8*F7/12*F11,IF(F10="押二",F6*F8*F7/12*2*F11,IF(F10="押三",F6*F8*F7/12*3*F11,C11*F11)))/10000,0)</f>
        <v>0</v>
      </c>
      <c r="D10" s="2525" t="s">
        <v>2467</v>
      </c>
      <c r="E10" s="2522" t="s">
        <v>2465</v>
      </c>
      <c r="F10" s="2645" t="s">
        <v>3430</v>
      </c>
      <c r="G10" s="1591"/>
      <c r="H10" s="2585" t="s">
        <v>2471</v>
      </c>
      <c r="I10" s="2590" t="s">
        <v>2460</v>
      </c>
      <c r="J10" s="783">
        <f ca="1">ROUND(IF(M10="押一",M6*M8*M7/12*M11,IF(M10="押二",M6*M8*M7/12*2*M11,IF(M10="押三",M6*M8*M7/12*3*M11,J11*M11)))/10000,0)</f>
        <v>0</v>
      </c>
      <c r="K10" s="2525" t="s">
        <v>2467</v>
      </c>
      <c r="L10" s="2522" t="s">
        <v>2465</v>
      </c>
      <c r="M10" s="2645"/>
    </row>
    <row r="11" spans="1:33" ht="18" customHeight="1">
      <c r="A11" s="790"/>
      <c r="B11" s="2519" t="s">
        <v>2575</v>
      </c>
      <c r="C11" s="2523"/>
      <c r="D11" s="789"/>
      <c r="E11" s="2522" t="s">
        <v>2466</v>
      </c>
      <c r="F11" s="796">
        <f ca="1">'数据-取费表'!B39</f>
        <v>1.4999999999999999E-2</v>
      </c>
      <c r="G11" s="1591"/>
      <c r="H11" s="2586"/>
      <c r="I11" s="2519" t="s">
        <v>2575</v>
      </c>
      <c r="J11" s="2523"/>
      <c r="K11" s="2587"/>
      <c r="L11" s="2522" t="s">
        <v>2466</v>
      </c>
      <c r="M11" s="2516">
        <f ca="1">'数据-取费表'!B39</f>
        <v>1.4999999999999999E-2</v>
      </c>
    </row>
    <row r="12" spans="1:33" ht="18" customHeight="1" thickBot="1">
      <c r="A12" s="2561" t="s">
        <v>2469</v>
      </c>
      <c r="B12" s="2562" t="s">
        <v>2461</v>
      </c>
      <c r="C12" s="2563"/>
      <c r="D12" s="2564"/>
      <c r="E12" s="2565"/>
      <c r="F12" s="2566"/>
      <c r="G12" s="1591"/>
      <c r="H12" s="2575" t="s">
        <v>2472</v>
      </c>
      <c r="I12" s="2588" t="s">
        <v>2461</v>
      </c>
      <c r="J12" s="2589"/>
      <c r="K12" s="2564"/>
      <c r="L12" s="2565"/>
      <c r="M12" s="2578"/>
    </row>
    <row r="13" spans="1:33" ht="18" customHeight="1" thickTop="1">
      <c r="A13" s="1829">
        <v>2</v>
      </c>
      <c r="B13" s="1827" t="s">
        <v>1743</v>
      </c>
      <c r="C13" s="792">
        <f ca="1">ROUND(C29*F13,0)</f>
        <v>0</v>
      </c>
      <c r="D13" s="1834" t="s">
        <v>2298</v>
      </c>
      <c r="E13" s="1834" t="s">
        <v>1745</v>
      </c>
      <c r="F13" s="2560">
        <f ca="1">INDIRECT("'数据-取费表'!y"&amp;$G$1)</f>
        <v>0</v>
      </c>
      <c r="G13" s="1591"/>
      <c r="H13" s="1829">
        <v>2</v>
      </c>
      <c r="I13" s="1827" t="s">
        <v>1743</v>
      </c>
      <c r="J13" s="1819">
        <f ca="1">ROUND(J14*J15,0)</f>
        <v>0</v>
      </c>
      <c r="K13" s="1821" t="s">
        <v>1744</v>
      </c>
      <c r="L13" s="2576"/>
      <c r="M13" s="2577"/>
    </row>
    <row r="14" spans="1:33" ht="18" customHeight="1">
      <c r="A14" s="1647" t="s">
        <v>1885</v>
      </c>
      <c r="B14" s="784" t="s">
        <v>646</v>
      </c>
      <c r="C14" s="804">
        <f ca="1">INDIRECT("'数据-取费表'!m"&amp;$G$1)+INDIRECT("'数据-取费表'!t"&amp;$G$1)</f>
        <v>1205</v>
      </c>
      <c r="D14" s="1979" t="s">
        <v>1746</v>
      </c>
      <c r="E14" s="1980"/>
      <c r="F14" s="805"/>
      <c r="G14" s="1591"/>
      <c r="H14" s="1648" t="s">
        <v>1831</v>
      </c>
      <c r="I14" s="2231" t="s">
        <v>2828</v>
      </c>
      <c r="J14" s="53">
        <f ca="1">C29</f>
        <v>1918</v>
      </c>
      <c r="K14" s="26"/>
      <c r="L14" s="801"/>
      <c r="M14" s="802"/>
    </row>
    <row r="15" spans="1:33" s="2064" customFormat="1" ht="18" customHeight="1" thickBot="1">
      <c r="A15" s="1647" t="s">
        <v>1886</v>
      </c>
      <c r="B15" s="784" t="s">
        <v>648</v>
      </c>
      <c r="C15" s="53">
        <f ca="1">ROUND(C14*F15,0)</f>
        <v>36</v>
      </c>
      <c r="D15" s="806" t="s">
        <v>1747</v>
      </c>
      <c r="E15" s="806" t="s">
        <v>1748</v>
      </c>
      <c r="F15" s="807">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4" t="s">
        <v>651</v>
      </c>
      <c r="C16" s="53">
        <f ca="1">ROUND(INDIRECT("'数据-取费表'!m"&amp;$G$1)*F16,0)</f>
        <v>0</v>
      </c>
      <c r="D16" s="784" t="s">
        <v>1747</v>
      </c>
      <c r="E16" s="784" t="s">
        <v>1748</v>
      </c>
      <c r="F16" s="809">
        <f ca="1">IF(INDIRECT("'数据-取费表'!c"&amp;$G$1)="住宅",'数据-取费表'!B34,0)</f>
        <v>0</v>
      </c>
      <c r="G16" s="1591"/>
      <c r="H16" s="1829" t="s">
        <v>1749</v>
      </c>
      <c r="I16" s="1827" t="s">
        <v>1750</v>
      </c>
      <c r="J16" s="792">
        <f ca="1">ROUND(J17+J22+J23+J24,0)</f>
        <v>45</v>
      </c>
      <c r="K16" s="1821" t="s">
        <v>1751</v>
      </c>
      <c r="L16" s="2510"/>
      <c r="M16" s="2515"/>
    </row>
    <row r="17" spans="1:33" s="2064" customFormat="1" ht="18" customHeight="1">
      <c r="A17" s="1647" t="s">
        <v>1888</v>
      </c>
      <c r="B17" s="784" t="s">
        <v>654</v>
      </c>
      <c r="C17" s="53">
        <f ca="1">ROUND(F17*(F43+INDIRECT("'数据-取费表'!S"&amp;$G$1))/10000,0)</f>
        <v>105</v>
      </c>
      <c r="D17" s="784" t="s">
        <v>1752</v>
      </c>
      <c r="E17" s="784" t="s">
        <v>1753</v>
      </c>
      <c r="F17" s="56">
        <f>'数据-取费表'!B35</f>
        <v>200</v>
      </c>
      <c r="G17" s="1592"/>
      <c r="H17" s="1648" t="s">
        <v>1831</v>
      </c>
      <c r="I17" s="784" t="s">
        <v>657</v>
      </c>
      <c r="J17" s="53">
        <f ca="1">ROUND(IF(项目基本情况!B11="自然人",J5*M17,J18+J19+J20),0)</f>
        <v>16</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660</v>
      </c>
      <c r="C18" s="53">
        <f ca="1">ROUND(C14*F18,0)</f>
        <v>18</v>
      </c>
      <c r="D18" s="784" t="s">
        <v>1747</v>
      </c>
      <c r="E18" s="784" t="s">
        <v>1748</v>
      </c>
      <c r="F18" s="809">
        <f>'数据-取费表'!B36</f>
        <v>1.4999999999999999E-2</v>
      </c>
      <c r="G18" s="1592"/>
      <c r="H18" s="1647" t="s">
        <v>1885</v>
      </c>
      <c r="I18" s="784" t="s">
        <v>1756</v>
      </c>
      <c r="J18" s="53">
        <f ca="1">ROUND(J5*M18/1.05,1)</f>
        <v>0</v>
      </c>
      <c r="K18" s="2508" t="s">
        <v>1757</v>
      </c>
      <c r="L18" s="784" t="s">
        <v>1748</v>
      </c>
      <c r="M18" s="809">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4" t="s">
        <v>663</v>
      </c>
      <c r="C19" s="53">
        <f ca="1">SUM(C14:C18)</f>
        <v>1364</v>
      </c>
      <c r="D19" s="261" t="s">
        <v>1758</v>
      </c>
      <c r="E19" s="1982"/>
      <c r="F19" s="56"/>
      <c r="G19" s="1591"/>
      <c r="H19" s="1647" t="s">
        <v>1886</v>
      </c>
      <c r="I19" s="784" t="s">
        <v>1759</v>
      </c>
      <c r="J19" s="53">
        <f ca="1">IF(K19="按租金收入计税",ROUND(J5*M19,1),ROUND(C29*F33*0.7,1))</f>
        <v>16.100000000000001</v>
      </c>
      <c r="K19" s="811" t="s">
        <v>666</v>
      </c>
      <c r="L19" s="784" t="s">
        <v>1748</v>
      </c>
      <c r="M19" s="809">
        <f>IF(K19="按租金收入计税",'数据-取费表'!B51,'数据-取费表'!B50)</f>
        <v>1.2E-2</v>
      </c>
    </row>
    <row r="20" spans="1:33" s="2064" customFormat="1" ht="18" customHeight="1">
      <c r="A20" s="1648" t="s">
        <v>1890</v>
      </c>
      <c r="B20" s="784" t="s">
        <v>667</v>
      </c>
      <c r="C20" s="53">
        <f ca="1">ROUND(C19*F20,0)</f>
        <v>27</v>
      </c>
      <c r="D20" s="812" t="s">
        <v>1760</v>
      </c>
      <c r="E20" s="784" t="s">
        <v>1748</v>
      </c>
      <c r="F20" s="809">
        <f>'数据-取费表'!B37</f>
        <v>0.02</v>
      </c>
      <c r="G20" s="1592"/>
      <c r="H20" s="1650" t="s">
        <v>1881</v>
      </c>
      <c r="I20" s="341" t="s">
        <v>1761</v>
      </c>
      <c r="J20" s="54">
        <f ca="1">ROUND(M20*M21/10000,0)</f>
        <v>0</v>
      </c>
      <c r="K20" s="814" t="s">
        <v>1762</v>
      </c>
      <c r="L20" s="784" t="s">
        <v>1763</v>
      </c>
      <c r="M20" s="640">
        <f>'数据-取费表'!B52</f>
        <v>4.5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2299</v>
      </c>
      <c r="E21" s="784" t="s">
        <v>1766</v>
      </c>
      <c r="F21" s="809">
        <f>'数据-取费表'!B38</f>
        <v>0.02</v>
      </c>
      <c r="G21" s="1592"/>
      <c r="H21" s="2530"/>
      <c r="I21" s="793"/>
      <c r="J21" s="69"/>
      <c r="K21" s="816"/>
      <c r="L21" s="784" t="s">
        <v>1767</v>
      </c>
      <c r="M21" s="785">
        <f ca="1">INDIRECT("'数据-取费表'!r"&amp;$G$1)</f>
        <v>1093.26</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96" t="str">
        <f>IF(F23&lt;=1,"单利计息。","复利计息。")&amp;"建造成本、管理费用、销售费用产生的利息。"</f>
        <v>复利计息。建造成本、管理费用、销售费用产生的利息。</v>
      </c>
      <c r="E22" s="1982"/>
      <c r="F22" s="56"/>
      <c r="G22" s="1591"/>
      <c r="H22" s="1648" t="s">
        <v>1890</v>
      </c>
      <c r="I22" s="784" t="s">
        <v>1769</v>
      </c>
      <c r="J22" s="53">
        <f ca="1">ROUND(J14*M22,0)</f>
        <v>29</v>
      </c>
      <c r="K22" s="2508" t="s">
        <v>1770</v>
      </c>
      <c r="L22" s="784" t="s">
        <v>1748</v>
      </c>
      <c r="M22" s="817">
        <f ca="1">INDIRECT("'数据-取费表'!Ak"&amp;$G$1)</f>
        <v>1.4999999999999999E-2</v>
      </c>
    </row>
    <row r="23" spans="1:33" s="2064" customFormat="1" ht="18" customHeight="1">
      <c r="A23" s="1647" t="s">
        <v>1832</v>
      </c>
      <c r="B23" s="784" t="s">
        <v>2537</v>
      </c>
      <c r="C23" s="53">
        <f ca="1">ROUND(IF('数据-取费表'!B22&lt;=1,(C19+C20)*F24*F23/2,(C19+C20)*(POWER((1+F24),F23/2)-1)),0)</f>
        <v>100</v>
      </c>
      <c r="D23" s="2595" t="str">
        <f>IF(F23&lt;=1,"(建造成本+管理费用)×利率×(建设周期÷2)","(建造成本+管理费用)×((1+利率)^(建设周期÷2)-1)")</f>
        <v>(建造成本+管理费用)×((1+利率)^(建设周期÷2)-1)</v>
      </c>
      <c r="E23" s="784" t="s">
        <v>1771</v>
      </c>
      <c r="F23" s="640">
        <f>'数据-取费表'!B20</f>
        <v>3</v>
      </c>
      <c r="G23" s="1592"/>
      <c r="H23" s="1648" t="s">
        <v>1891</v>
      </c>
      <c r="I23" s="784" t="s">
        <v>680</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1.4E-3</v>
      </c>
      <c r="D24" s="2595" t="str">
        <f>IF(F23&lt;=1,"销售费用×利率×(建设周期÷2)","销售费用×((1+利率)^(建设周期÷2)-1)")</f>
        <v>销售费用×((1+利率)^(建设周期÷2)-1)</v>
      </c>
      <c r="E24" s="784" t="s">
        <v>1774</v>
      </c>
      <c r="F24" s="819">
        <f ca="1">'数据-取费表'!B40</f>
        <v>4.7500000000000001E-2</v>
      </c>
      <c r="G24" s="1592"/>
      <c r="H24" s="2575" t="s">
        <v>1892</v>
      </c>
      <c r="I24" s="2570" t="s">
        <v>667</v>
      </c>
      <c r="J24" s="2568">
        <f ca="1">ROUND(J5*M24,0)</f>
        <v>0</v>
      </c>
      <c r="K24" s="2569" t="s">
        <v>1775</v>
      </c>
      <c r="L24" s="2570" t="s">
        <v>1748</v>
      </c>
      <c r="M24" s="2566">
        <f ca="1">INDIRECT("'数据-取费表'!Am"&amp;$G$1)</f>
        <v>0.02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685</v>
      </c>
      <c r="C25" s="53"/>
      <c r="D25" s="261" t="s">
        <v>1776</v>
      </c>
      <c r="E25" s="1982"/>
      <c r="F25" s="56"/>
      <c r="G25" s="1591"/>
      <c r="H25" s="1829" t="s">
        <v>1777</v>
      </c>
      <c r="I25" s="3034" t="s">
        <v>2824</v>
      </c>
      <c r="J25" s="792">
        <f ca="1">J5-J16</f>
        <v>-45</v>
      </c>
      <c r="K25" s="2572" t="s">
        <v>1778</v>
      </c>
      <c r="L25" s="2573"/>
      <c r="M25" s="2574"/>
    </row>
    <row r="26" spans="1:33" ht="18" customHeight="1">
      <c r="A26" s="1647" t="s">
        <v>1832</v>
      </c>
      <c r="B26" s="784" t="s">
        <v>2438</v>
      </c>
      <c r="C26" s="53">
        <f ca="1">ROUND((C19+C20)*F26,0)</f>
        <v>278</v>
      </c>
      <c r="D26" s="812" t="s">
        <v>1779</v>
      </c>
      <c r="E26" s="795" t="s">
        <v>1780</v>
      </c>
      <c r="F26" s="794">
        <f ca="1">INDIRECT("'数据-取费表'!q"&amp;$G$1)</f>
        <v>0.2</v>
      </c>
      <c r="G26" s="1591"/>
      <c r="H26" s="2526" t="s">
        <v>1781</v>
      </c>
      <c r="I26" s="2232" t="s">
        <v>2829</v>
      </c>
      <c r="J26" s="783">
        <f ca="1">IF(J5&lt;&gt;0,ROUND(J25*(1-((1+M28)/(1+M26))^M27)/(M26-M28),0),0)</f>
        <v>0</v>
      </c>
      <c r="K26" s="814" t="s">
        <v>1782</v>
      </c>
      <c r="L26" s="784" t="s">
        <v>2419</v>
      </c>
      <c r="M26" s="794">
        <f ca="1">INDIRECT("'数据-取费表'!I"&amp;$G$1)</f>
        <v>5.5E-2</v>
      </c>
    </row>
    <row r="27" spans="1:33" ht="18" customHeight="1">
      <c r="A27" s="1647" t="s">
        <v>1833</v>
      </c>
      <c r="B27" s="784" t="s">
        <v>687</v>
      </c>
      <c r="C27" s="53">
        <f ca="1">ROUND(F21*F26,4)</f>
        <v>4.0000000000000001E-3</v>
      </c>
      <c r="D27" s="812" t="s">
        <v>1783</v>
      </c>
      <c r="E27" s="806"/>
      <c r="F27" s="807"/>
      <c r="G27" s="1591"/>
      <c r="H27" s="2527"/>
      <c r="I27" s="787"/>
      <c r="J27" s="788"/>
      <c r="K27" s="821" t="s">
        <v>1784</v>
      </c>
      <c r="L27" s="784" t="s">
        <v>1785</v>
      </c>
      <c r="M27" s="822">
        <f ca="1">INDIRECT("'数据-取费表'!ag"&amp;$G$1)</f>
        <v>0</v>
      </c>
    </row>
    <row r="28" spans="1:33" s="2064" customFormat="1" ht="18" customHeight="1">
      <c r="A28" s="1649" t="s">
        <v>1842</v>
      </c>
      <c r="B28" s="784" t="s">
        <v>688</v>
      </c>
      <c r="C28" s="53">
        <f>ROUND(F28/(1+'数据-取费表'!C42),4)</f>
        <v>5.2400000000000002E-2</v>
      </c>
      <c r="D28" s="812" t="s">
        <v>2300</v>
      </c>
      <c r="E28" s="784" t="s">
        <v>1786</v>
      </c>
      <c r="F28" s="809">
        <f>'数据-取费表'!B41</f>
        <v>5.5000000000000007E-2</v>
      </c>
      <c r="G28" s="1592"/>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1918</v>
      </c>
      <c r="D29" s="2569"/>
      <c r="E29" s="2570"/>
      <c r="F29" s="2571"/>
      <c r="G29" s="1592"/>
      <c r="H29" s="823" t="s">
        <v>1788</v>
      </c>
      <c r="I29" s="824" t="s">
        <v>1789</v>
      </c>
      <c r="J29" s="825">
        <f ca="1">ROUND(J26/(1+F40)^F41,0)</f>
        <v>0</v>
      </c>
      <c r="K29" s="826" t="s">
        <v>1790</v>
      </c>
      <c r="L29" s="827"/>
      <c r="M29" s="828">
        <f ca="1">INDIRECT("'数据-取费表'!k"&amp;$G$1)</f>
        <v>5237</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45</v>
      </c>
      <c r="D30" s="1821" t="s">
        <v>1792</v>
      </c>
      <c r="E30" s="2510"/>
      <c r="F30" s="2515"/>
      <c r="G30" s="2062"/>
      <c r="H30" s="2065"/>
      <c r="I30" s="2066"/>
      <c r="J30" s="2067"/>
      <c r="K30" s="2068"/>
      <c r="L30" s="2069"/>
      <c r="M30" s="2070"/>
    </row>
    <row r="31" spans="1:33" ht="18" customHeight="1">
      <c r="A31" s="1648" t="s">
        <v>1831</v>
      </c>
      <c r="B31" s="784" t="s">
        <v>657</v>
      </c>
      <c r="C31" s="53">
        <f ca="1">ROUND(IF(项目基本情况!B11="自然人",C5*F31,C32+C33+C34),1)</f>
        <v>16.600000000000001</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4" t="s">
        <v>1795</v>
      </c>
      <c r="C32" s="53">
        <f ca="1">ROUND(C5*F32/1.05,1)</f>
        <v>0</v>
      </c>
      <c r="D32" s="1977" t="s">
        <v>1796</v>
      </c>
      <c r="E32" s="784" t="s">
        <v>1797</v>
      </c>
      <c r="F32" s="809">
        <f>'数据-取费表'!B41</f>
        <v>5.5000000000000007E-2</v>
      </c>
      <c r="G32" s="2062"/>
      <c r="H32" s="2071"/>
      <c r="I32" s="2072"/>
      <c r="J32" s="2073"/>
      <c r="K32" s="2074"/>
      <c r="L32" s="2075"/>
      <c r="M32" s="2076"/>
    </row>
    <row r="33" spans="1:18" ht="18" customHeight="1">
      <c r="A33" s="1647" t="s">
        <v>1833</v>
      </c>
      <c r="B33" s="784" t="s">
        <v>1798</v>
      </c>
      <c r="C33" s="53">
        <f ca="1">IF(D33="按租金收入计税",ROUND(C5*F33,1),IF(D33="按房产原值计税",ROUND(C29*F33*0.7,1),INDIRECT("'数据-取费表'!Aj"&amp;$G$1)))</f>
        <v>16.100000000000001</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0" t="s">
        <v>1834</v>
      </c>
      <c r="B34" s="341" t="s">
        <v>1799</v>
      </c>
      <c r="C34" s="54">
        <f ca="1">ROUND(F34*F35/10000,1)</f>
        <v>0.5</v>
      </c>
      <c r="D34" s="814" t="s">
        <v>1800</v>
      </c>
      <c r="E34" s="784" t="s">
        <v>1801</v>
      </c>
      <c r="F34" s="640">
        <f>'数据-取费表'!B52</f>
        <v>4.5</v>
      </c>
      <c r="G34" s="2062"/>
      <c r="H34" s="2065"/>
      <c r="I34" s="835" t="s">
        <v>1814</v>
      </c>
      <c r="J34" s="836"/>
      <c r="K34" s="2080"/>
      <c r="L34" s="2079"/>
      <c r="M34" s="2079"/>
    </row>
    <row r="35" spans="1:18" ht="18" customHeight="1">
      <c r="A35" s="815"/>
      <c r="B35" s="793"/>
      <c r="C35" s="69"/>
      <c r="D35" s="816"/>
      <c r="E35" s="784" t="s">
        <v>1802</v>
      </c>
      <c r="F35" s="785">
        <f ca="1">INDIRECT("'数据-取费表'!r"&amp;$G$1)</f>
        <v>1093.26</v>
      </c>
      <c r="G35" s="2062"/>
      <c r="H35" s="2065"/>
      <c r="I35" s="837" t="s">
        <v>1815</v>
      </c>
      <c r="J35" s="838">
        <f ca="1">ROUND(C13*J36,0)</f>
        <v>0</v>
      </c>
      <c r="K35" s="2078"/>
      <c r="L35" s="2077"/>
      <c r="M35" s="2077"/>
    </row>
    <row r="36" spans="1:18" ht="18" customHeight="1">
      <c r="A36" s="1648" t="s">
        <v>1890</v>
      </c>
      <c r="B36" s="784" t="s">
        <v>1803</v>
      </c>
      <c r="C36" s="53">
        <f ca="1">ROUND(C29*F36,1)</f>
        <v>28.8</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680</v>
      </c>
      <c r="C37" s="53">
        <f ca="1">ROUND(C13*F37,1)</f>
        <v>0</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667</v>
      </c>
      <c r="C38" s="2568">
        <f ca="1">ROUND(C5*F38,1)</f>
        <v>0</v>
      </c>
      <c r="D38" s="2569" t="s">
        <v>1806</v>
      </c>
      <c r="E38" s="2570" t="s">
        <v>1797</v>
      </c>
      <c r="F38" s="2566">
        <f ca="1">INDIRECT("'数据-取费表'!Am"&amp;$G$1)</f>
        <v>0.02</v>
      </c>
      <c r="G38" s="2062"/>
      <c r="H38" s="2077"/>
      <c r="I38" s="843" t="s">
        <v>1818</v>
      </c>
      <c r="J38" s="844"/>
      <c r="K38" s="2083"/>
      <c r="L38" s="2077"/>
      <c r="M38" s="2077"/>
    </row>
    <row r="39" spans="1:18" ht="24.6" customHeight="1" thickTop="1">
      <c r="A39" s="1829" t="s">
        <v>1895</v>
      </c>
      <c r="B39" s="3034" t="s">
        <v>2824</v>
      </c>
      <c r="C39" s="792">
        <f ca="1">C5-C30</f>
        <v>-45</v>
      </c>
      <c r="D39" s="2572" t="s">
        <v>1807</v>
      </c>
      <c r="E39" s="2573"/>
      <c r="F39" s="2574"/>
      <c r="G39" s="2062"/>
      <c r="H39" s="2077"/>
      <c r="I39" s="837" t="s">
        <v>1819</v>
      </c>
      <c r="J39" s="845">
        <f ca="1">ROUND(J35/C39,3)</f>
        <v>0</v>
      </c>
      <c r="K39" s="2083"/>
      <c r="L39" s="2077"/>
      <c r="M39" s="2077"/>
    </row>
    <row r="40" spans="1:18" ht="18" customHeight="1">
      <c r="A40" s="781" t="s">
        <v>1896</v>
      </c>
      <c r="B40" s="2232" t="s">
        <v>2302</v>
      </c>
      <c r="C40" s="783">
        <f ca="1">ROUND(C39*(1-((1+F42)/(1+F40))^F41)/(F40-F42),0)</f>
        <v>-662</v>
      </c>
      <c r="D40" s="814" t="s">
        <v>1808</v>
      </c>
      <c r="E40" s="784" t="s">
        <v>2419</v>
      </c>
      <c r="F40" s="794">
        <f ca="1">INDIRECT("'数据-取费表'!I"&amp;$G$1)</f>
        <v>5.5E-2</v>
      </c>
      <c r="G40" s="2062"/>
      <c r="H40" s="2062"/>
      <c r="I40" s="837" t="s">
        <v>1820</v>
      </c>
      <c r="J40" s="845">
        <f ca="1">1-J39</f>
        <v>1</v>
      </c>
      <c r="K40" s="2083"/>
      <c r="L40" s="2062"/>
      <c r="M40" s="2062"/>
    </row>
    <row r="41" spans="1:18" ht="18" customHeight="1">
      <c r="A41" s="786"/>
      <c r="B41" s="787"/>
      <c r="C41" s="788"/>
      <c r="D41" s="821" t="s">
        <v>1809</v>
      </c>
      <c r="E41" s="784" t="s">
        <v>2963</v>
      </c>
      <c r="F41" s="822">
        <f ca="1">IF(INDIRECT("'数据-取费表'!af"&amp;$G$1)=0,INDIRECT("'数据-取费表'!ae"&amp;$G$1),INDIRECT("'数据-取费表'!af"&amp;$G$1))</f>
        <v>30.909999999999997</v>
      </c>
      <c r="G41" s="2062"/>
      <c r="H41" s="1988"/>
      <c r="I41" s="843" t="s">
        <v>1821</v>
      </c>
      <c r="J41" s="846"/>
      <c r="K41" s="2082"/>
      <c r="L41" s="1988"/>
      <c r="M41" s="1988"/>
    </row>
    <row r="42" spans="1:18" ht="18" customHeight="1">
      <c r="A42" s="790"/>
      <c r="B42" s="791"/>
      <c r="C42" s="792"/>
      <c r="D42" s="816"/>
      <c r="E42" s="784" t="s">
        <v>1810</v>
      </c>
      <c r="F42" s="794">
        <f ca="1">INDIRECT("'数据-取费表'!v"&amp;$G$1)</f>
        <v>0</v>
      </c>
      <c r="G42" s="2062"/>
      <c r="H42" s="1988"/>
      <c r="I42" s="847" t="s">
        <v>1822</v>
      </c>
      <c r="J42" s="845">
        <f ca="1">ROUND(C13/C40,3)</f>
        <v>0</v>
      </c>
      <c r="K42" s="2082"/>
      <c r="L42" s="1988"/>
      <c r="M42" s="1988"/>
    </row>
    <row r="43" spans="1:18" ht="18" customHeight="1" thickBot="1">
      <c r="A43" s="823" t="s">
        <v>1788</v>
      </c>
      <c r="B43" s="824" t="s">
        <v>1811</v>
      </c>
      <c r="C43" s="825">
        <f ca="1">ROUND(C40*10000/F43,0)</f>
        <v>-1264</v>
      </c>
      <c r="D43" s="826" t="s">
        <v>1812</v>
      </c>
      <c r="E43" s="827" t="s">
        <v>1813</v>
      </c>
      <c r="F43" s="828">
        <f ca="1">INDIRECT("'数据-取费表'!k"&amp;$G$1)</f>
        <v>5237</v>
      </c>
      <c r="G43" s="2062"/>
      <c r="H43" s="1988"/>
      <c r="I43" s="847" t="s">
        <v>1823</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0</v>
      </c>
      <c r="D46" s="2085"/>
      <c r="E46" s="2085"/>
      <c r="F46" s="2085"/>
      <c r="I46" s="2378" t="s">
        <v>2342</v>
      </c>
      <c r="J46" s="2379"/>
      <c r="K46" s="2380"/>
      <c r="L46" s="2381" t="str">
        <f ca="1">IF(M47="住宅",0,IF(L48&gt;J51,L60,J60))</f>
        <v>0</v>
      </c>
      <c r="O46" s="2418" t="s">
        <v>2410</v>
      </c>
      <c r="P46" s="1591"/>
      <c r="Q46" s="1603"/>
      <c r="R46" s="1591"/>
    </row>
    <row r="47" spans="1:18" s="2059" customFormat="1" ht="18" customHeight="1" thickBot="1">
      <c r="A47" s="2372">
        <v>1</v>
      </c>
      <c r="B47" s="2373" t="s">
        <v>636</v>
      </c>
      <c r="C47" s="2598">
        <f ca="1">C48+C52+C54</f>
        <v>0</v>
      </c>
      <c r="D47" s="2085"/>
      <c r="E47" s="2085"/>
      <c r="F47" s="2085"/>
      <c r="I47" s="2382" t="s">
        <v>2343</v>
      </c>
      <c r="J47" s="2387" t="s">
        <v>3433</v>
      </c>
      <c r="K47" s="2388" t="s">
        <v>2349</v>
      </c>
      <c r="L47" s="2389">
        <f ca="1">INDIRECT("'数据-取费表'!d"&amp;$G$1)</f>
        <v>40</v>
      </c>
      <c r="M47" s="1603" t="str">
        <f>IF(ISNUMBER(FIND("住宅",C1)),"住宅","非住宅")</f>
        <v>非住宅</v>
      </c>
      <c r="O47" s="2419" t="s">
        <v>2375</v>
      </c>
      <c r="P47" s="2420" t="s">
        <v>2376</v>
      </c>
      <c r="Q47" s="2421" t="s">
        <v>2377</v>
      </c>
      <c r="R47" s="2420" t="s">
        <v>2378</v>
      </c>
    </row>
    <row r="48" spans="1:18" s="2059" customFormat="1" ht="18" customHeight="1" thickBot="1">
      <c r="A48" s="2667" t="s">
        <v>2539</v>
      </c>
      <c r="B48" s="2668" t="s">
        <v>2540</v>
      </c>
      <c r="C48" s="2374">
        <f ca="1">ROUND(F48*F50*F49*(1-F51)/10000,0)</f>
        <v>0</v>
      </c>
      <c r="D48" s="2375" t="s">
        <v>637</v>
      </c>
      <c r="E48" s="2376" t="s">
        <v>2297</v>
      </c>
      <c r="F48" s="2377"/>
      <c r="G48" s="2090"/>
      <c r="I48" s="2383" t="s">
        <v>2344</v>
      </c>
      <c r="J48" s="2390" t="s">
        <v>2350</v>
      </c>
      <c r="K48" s="2391" t="s">
        <v>2351</v>
      </c>
      <c r="L48" s="2392">
        <f ca="1">INDIRECT("'数据-取费表'!f"&amp;$G$1)</f>
        <v>33.909999999999997</v>
      </c>
      <c r="O48" s="2422" t="s">
        <v>2379</v>
      </c>
      <c r="P48" s="2423" t="s">
        <v>2405</v>
      </c>
      <c r="Q48" s="2424">
        <f ca="1">C40+J29</f>
        <v>-662</v>
      </c>
      <c r="R48" s="2423" t="s">
        <v>2380</v>
      </c>
    </row>
    <row r="49" spans="1:18" s="2059" customFormat="1" ht="18" customHeight="1" thickBot="1">
      <c r="A49" s="786"/>
      <c r="B49" s="787"/>
      <c r="C49" s="788"/>
      <c r="D49" s="789"/>
      <c r="E49" s="784" t="s">
        <v>1740</v>
      </c>
      <c r="F49" s="785">
        <f ca="1">F7</f>
        <v>5237</v>
      </c>
      <c r="G49" s="2090"/>
      <c r="H49" s="2093"/>
      <c r="I49" s="2383" t="s">
        <v>2345</v>
      </c>
      <c r="J49" s="2393"/>
      <c r="K49" s="2394" t="s">
        <v>2352</v>
      </c>
      <c r="L49" s="2395"/>
      <c r="O49" s="2422" t="s">
        <v>2381</v>
      </c>
      <c r="P49" s="2423" t="s">
        <v>2406</v>
      </c>
      <c r="Q49" s="2424" t="str">
        <f ca="1">J60</f>
        <v>0</v>
      </c>
      <c r="R49" s="2423" t="s">
        <v>2382</v>
      </c>
    </row>
    <row r="50" spans="1:18" s="2059" customFormat="1" ht="18" customHeight="1" thickBot="1">
      <c r="A50" s="786"/>
      <c r="B50" s="787"/>
      <c r="C50" s="788"/>
      <c r="D50" s="789"/>
      <c r="E50" s="784" t="s">
        <v>1741</v>
      </c>
      <c r="F50" s="785">
        <f ca="1">F8</f>
        <v>365</v>
      </c>
      <c r="G50" s="2095"/>
      <c r="H50" s="2093"/>
      <c r="I50" s="2383" t="s">
        <v>2346</v>
      </c>
      <c r="J50" s="2396">
        <f>SUMPRODUCT((I63:I65=J47)*(J62:L62=J48)*(J63:L65))</f>
        <v>60</v>
      </c>
      <c r="K50" s="2394" t="s">
        <v>2353</v>
      </c>
      <c r="L50" s="2395"/>
      <c r="O50" s="2425" t="s">
        <v>2383</v>
      </c>
      <c r="P50" s="2423" t="s">
        <v>2407</v>
      </c>
      <c r="Q50" s="2424">
        <f ca="1">C29</f>
        <v>1918</v>
      </c>
      <c r="R50" s="2423" t="s">
        <v>2380</v>
      </c>
    </row>
    <row r="51" spans="1:18" s="2059" customFormat="1" ht="18" customHeight="1" thickBot="1">
      <c r="A51" s="786"/>
      <c r="B51" s="787"/>
      <c r="C51" s="788"/>
      <c r="D51" s="789"/>
      <c r="E51" s="784" t="s">
        <v>641</v>
      </c>
      <c r="F51" s="2371"/>
      <c r="H51" s="2093"/>
      <c r="I51" s="2384" t="s">
        <v>2347</v>
      </c>
      <c r="J51" s="2397">
        <f>IF(J49="",J50,J49+J50-YEAR('数据-取费表'!B2))</f>
        <v>60</v>
      </c>
      <c r="K51" s="2383" t="s">
        <v>2354</v>
      </c>
      <c r="L51" s="2398">
        <f ca="1">ROUND(-PV(INDIRECT("'数据-取费表'!h"&amp;$G$1),L48,(C39-C13*J36),0),0)</f>
        <v>-728</v>
      </c>
      <c r="O51" s="2425" t="s">
        <v>2384</v>
      </c>
      <c r="P51" s="2423" t="s">
        <v>2385</v>
      </c>
      <c r="Q51" s="2426" t="e">
        <f ca="1">J58</f>
        <v>#VALUE!</v>
      </c>
      <c r="R51" s="2427"/>
    </row>
    <row r="52" spans="1:18" s="2059" customFormat="1" ht="18" customHeight="1" thickBot="1">
      <c r="A52" s="781" t="s">
        <v>2538</v>
      </c>
      <c r="B52" s="2518" t="s">
        <v>2460</v>
      </c>
      <c r="C52" s="799">
        <f ca="1">ROUND(IF(F52="押一",F48*F50*F49/12*F11,IF(F52="押二",F48*F50*F49/12*2*F11,IF(F52="押三",F48*F50*F49/12*3*F11,C53*F11)))/10000,0)</f>
        <v>0</v>
      </c>
      <c r="D52" s="2525" t="s">
        <v>2467</v>
      </c>
      <c r="E52" s="2522" t="s">
        <v>2465</v>
      </c>
      <c r="F52" s="2645"/>
      <c r="I52" s="2385" t="s">
        <v>2421</v>
      </c>
      <c r="J52" s="2399"/>
      <c r="K52" s="2385" t="s">
        <v>2420</v>
      </c>
      <c r="L52" s="2399"/>
      <c r="O52" s="2425" t="s">
        <v>2386</v>
      </c>
      <c r="P52" s="2423" t="s">
        <v>2387</v>
      </c>
      <c r="Q52" s="2426">
        <f>J52</f>
        <v>0</v>
      </c>
      <c r="R52" s="2427"/>
    </row>
    <row r="53" spans="1:18" s="2059" customFormat="1" ht="39.75" customHeight="1" thickBot="1">
      <c r="A53" s="786"/>
      <c r="B53" s="2519" t="s">
        <v>2575</v>
      </c>
      <c r="C53" s="2523"/>
      <c r="D53" s="2525"/>
      <c r="E53" s="2522"/>
      <c r="F53" s="800"/>
      <c r="I53" s="2386" t="s">
        <v>2348</v>
      </c>
      <c r="J53" s="2400">
        <f ca="1">IF(M47="住宅",J51,IF(D1="——",MIN(J51,L48),IF(D1="土地（套用方法）",MIN(J51,L48-'数据-取费表'!B20))))</f>
        <v>30.909999999999997</v>
      </c>
      <c r="K53" s="3792" t="s">
        <v>2965</v>
      </c>
      <c r="L53" s="3793"/>
      <c r="O53" s="2425" t="s">
        <v>2388</v>
      </c>
      <c r="P53" s="2423" t="s">
        <v>2389</v>
      </c>
      <c r="Q53" s="2424">
        <f ca="1">J53</f>
        <v>30.909999999999997</v>
      </c>
      <c r="R53" s="2423" t="s">
        <v>2390</v>
      </c>
    </row>
    <row r="54" spans="1:18" s="2059" customFormat="1" ht="18" customHeight="1" thickBot="1">
      <c r="A54" s="2561" t="s">
        <v>2469</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-662</v>
      </c>
      <c r="R54" s="2427" t="s">
        <v>2392</v>
      </c>
    </row>
    <row r="55" spans="1:18" s="2059" customFormat="1" ht="18" customHeight="1" thickTop="1" thickBot="1">
      <c r="A55" s="797">
        <v>2</v>
      </c>
      <c r="B55" s="798" t="s">
        <v>645</v>
      </c>
      <c r="C55" s="799">
        <f ca="1">C13</f>
        <v>0</v>
      </c>
      <c r="D55" s="795"/>
      <c r="E55" s="795"/>
      <c r="F55" s="800"/>
      <c r="I55" s="3126" t="s">
        <v>2355</v>
      </c>
      <c r="J55" s="3125" t="e">
        <f ca="1">ROUND(IF(J47="钢混",J57/J50,1-(1-2%)*(J50-J57)/J50),3)</f>
        <v>#VALUE!</v>
      </c>
      <c r="K55" s="2401" t="s">
        <v>2356</v>
      </c>
      <c r="L55" s="2402"/>
      <c r="O55" s="2428" t="s">
        <v>2411</v>
      </c>
      <c r="P55" s="1591"/>
      <c r="Q55" s="1603"/>
      <c r="R55" s="1591"/>
    </row>
    <row r="56" spans="1:18" s="2059" customFormat="1" ht="42.75" customHeight="1" thickBot="1">
      <c r="A56" s="1649"/>
      <c r="B56" s="2231" t="s">
        <v>2303</v>
      </c>
      <c r="C56" s="53">
        <f ca="1">C29</f>
        <v>1918</v>
      </c>
      <c r="D56" s="2664"/>
      <c r="E56" s="784"/>
      <c r="F56" s="809"/>
      <c r="I56" s="2403" t="s">
        <v>2357</v>
      </c>
      <c r="J56" s="3149" t="s">
        <v>1679</v>
      </c>
      <c r="K56" s="2383" t="s">
        <v>2362</v>
      </c>
      <c r="L56" s="2392" t="str">
        <f ca="1">IF(L48&lt;J51,"——",L48-J51)</f>
        <v>——</v>
      </c>
      <c r="O56" s="2419" t="s">
        <v>2375</v>
      </c>
      <c r="P56" s="2420" t="s">
        <v>2376</v>
      </c>
      <c r="Q56" s="2421" t="s">
        <v>2377</v>
      </c>
      <c r="R56" s="2420" t="s">
        <v>2378</v>
      </c>
    </row>
    <row r="57" spans="1:18" s="2059" customFormat="1" ht="28.5" customHeight="1" thickBot="1">
      <c r="A57" s="797" t="s">
        <v>1749</v>
      </c>
      <c r="B57" s="798" t="s">
        <v>652</v>
      </c>
      <c r="C57" s="799">
        <f ca="1">ROUND(C58+C63+C64+C65,0)</f>
        <v>45</v>
      </c>
      <c r="D57" s="26" t="s">
        <v>1751</v>
      </c>
      <c r="E57" s="2665"/>
      <c r="F57" s="56"/>
      <c r="I57" s="2404" t="s">
        <v>2358</v>
      </c>
      <c r="J57" s="2406" t="str">
        <f ca="1">IF(OR(M47="住宅",J51&lt;L48,J56="是"),"——",J51-L48)</f>
        <v>——</v>
      </c>
      <c r="K57" s="2383" t="s">
        <v>2363</v>
      </c>
      <c r="L57" s="2392" t="str">
        <f ca="1">IF(L48&lt;J51,"——",IF(L55="比较法",L49,IF(L55="基准地价",L50,L51)))</f>
        <v>——</v>
      </c>
      <c r="O57" s="2422" t="s">
        <v>2379</v>
      </c>
      <c r="P57" s="2423" t="s">
        <v>2409</v>
      </c>
      <c r="Q57" s="2424">
        <f ca="1">C40+J29</f>
        <v>-662</v>
      </c>
      <c r="R57" s="2423" t="s">
        <v>2380</v>
      </c>
    </row>
    <row r="58" spans="1:18" s="2059" customFormat="1" ht="28.5" customHeight="1" thickBot="1">
      <c r="A58" s="1648" t="s">
        <v>1825</v>
      </c>
      <c r="B58" s="784" t="s">
        <v>657</v>
      </c>
      <c r="C58" s="53">
        <f ca="1">ROUND(IF(项目基本情况!B11="自然人",C47*F58,C59+C60+C61),1)</f>
        <v>16.600000000000001</v>
      </c>
      <c r="D58" s="2663" t="s">
        <v>658</v>
      </c>
      <c r="E58" s="2664" t="s">
        <v>691</v>
      </c>
      <c r="F58" s="810" t="str">
        <f ca="1">IF(项目基本情况!B11="企业","",IF(INDIRECT("'数据-取费表'!c"&amp;$G$1)="住宅",5%,IF(F48*F49*F50/12/(1+'数据-取费表'!C42)&gt;20000,12%,7%)))</f>
        <v/>
      </c>
      <c r="I58" s="2404" t="s">
        <v>2359</v>
      </c>
      <c r="J58" s="3127"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1832</v>
      </c>
      <c r="B59" s="784" t="s">
        <v>661</v>
      </c>
      <c r="C59" s="53">
        <f ca="1">ROUND(C47*F59/1.05,1)</f>
        <v>0</v>
      </c>
      <c r="D59" s="2664" t="s">
        <v>1757</v>
      </c>
      <c r="E59" s="784" t="s">
        <v>1748</v>
      </c>
      <c r="F59" s="809">
        <f t="shared" ref="F59:F65" si="0">F32</f>
        <v>5.5000000000000007E-2</v>
      </c>
      <c r="I59" s="2404" t="s">
        <v>2360</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1833</v>
      </c>
      <c r="B60" s="784" t="s">
        <v>1759</v>
      </c>
      <c r="C60" s="53">
        <f ca="1">IF(D60="按租金收入计税",ROUND(C47*F60,1),IF(D60="按房产原值计税",ROUND(C56*F60*0.7,1),INDIRECT("'数据-取费表'!Aj"&amp;$G$1)))</f>
        <v>16.100000000000001</v>
      </c>
      <c r="D60" s="2664" t="str">
        <f>D33</f>
        <v>按房产原值计税</v>
      </c>
      <c r="E60" s="784" t="s">
        <v>1748</v>
      </c>
      <c r="F60" s="809">
        <f t="shared" si="0"/>
        <v>1.2E-2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1834</v>
      </c>
      <c r="B61" s="341" t="s">
        <v>669</v>
      </c>
      <c r="C61" s="54">
        <f ca="1">ROUND(F61*F62/10000,1)</f>
        <v>0.5</v>
      </c>
      <c r="D61" s="814" t="s">
        <v>670</v>
      </c>
      <c r="E61" s="784" t="s">
        <v>671</v>
      </c>
      <c r="F61" s="640">
        <f t="shared" si="0"/>
        <v>4.5</v>
      </c>
      <c r="K61" s="2086"/>
      <c r="O61" s="2425" t="s">
        <v>2386</v>
      </c>
      <c r="P61" s="2423" t="s">
        <v>2394</v>
      </c>
      <c r="Q61" s="2424" t="e">
        <f ca="1">L58</f>
        <v>#DIV/0!</v>
      </c>
      <c r="R61" s="2427" t="s">
        <v>2395</v>
      </c>
    </row>
    <row r="62" spans="1:18" s="2059" customFormat="1" ht="15.75" thickBot="1">
      <c r="A62" s="815"/>
      <c r="B62" s="793"/>
      <c r="C62" s="69"/>
      <c r="D62" s="816"/>
      <c r="E62" s="784" t="s">
        <v>675</v>
      </c>
      <c r="F62" s="785">
        <f t="shared" ca="1" si="0"/>
        <v>1093.26</v>
      </c>
      <c r="I62" s="2409" t="s">
        <v>2367</v>
      </c>
      <c r="J62" s="2410" t="s">
        <v>2368</v>
      </c>
      <c r="K62" s="2410" t="s">
        <v>2369</v>
      </c>
      <c r="L62" s="2410" t="s">
        <v>2350</v>
      </c>
      <c r="M62" s="3128" t="s">
        <v>2940</v>
      </c>
      <c r="O62" s="2425" t="s">
        <v>2388</v>
      </c>
      <c r="P62" s="2423" t="str">
        <f>K59</f>
        <v>建设期及建筑物耐用年限下的土地年期修正系数Kn</v>
      </c>
      <c r="Q62" s="2424" t="e">
        <f ca="1">L59</f>
        <v>#DIV/0!</v>
      </c>
      <c r="R62" s="2427" t="s">
        <v>2397</v>
      </c>
    </row>
    <row r="63" spans="1:18" s="2059" customFormat="1" ht="15.75" thickBot="1">
      <c r="A63" s="1648" t="s">
        <v>1890</v>
      </c>
      <c r="B63" s="784" t="s">
        <v>677</v>
      </c>
      <c r="C63" s="53">
        <f ca="1">ROUND(C56*F63,1)</f>
        <v>28.8</v>
      </c>
      <c r="D63" s="2664" t="s">
        <v>1804</v>
      </c>
      <c r="E63" s="784" t="s">
        <v>1748</v>
      </c>
      <c r="F63" s="817">
        <f t="shared" ca="1" si="0"/>
        <v>1.4999999999999999E-2</v>
      </c>
      <c r="I63" s="2409" t="s">
        <v>2370</v>
      </c>
      <c r="J63" s="2410">
        <v>70</v>
      </c>
      <c r="K63" s="2410">
        <v>50</v>
      </c>
      <c r="L63" s="2410">
        <v>80</v>
      </c>
      <c r="M63" s="3129">
        <v>0.02</v>
      </c>
      <c r="O63" s="2422" t="s">
        <v>2391</v>
      </c>
      <c r="P63" s="2423" t="s">
        <v>2408</v>
      </c>
      <c r="Q63" s="2424">
        <f ca="1">Q57+Q58</f>
        <v>-662</v>
      </c>
      <c r="R63" s="2427" t="s">
        <v>2392</v>
      </c>
    </row>
    <row r="64" spans="1:18" s="2059" customFormat="1" ht="16.5" thickBot="1">
      <c r="A64" s="1648" t="s">
        <v>1891</v>
      </c>
      <c r="B64" s="784" t="s">
        <v>680</v>
      </c>
      <c r="C64" s="53">
        <f ca="1">ROUND(C55*F64,1)</f>
        <v>0</v>
      </c>
      <c r="D64" s="2664" t="s">
        <v>681</v>
      </c>
      <c r="E64" s="784" t="s">
        <v>1748</v>
      </c>
      <c r="F64" s="818">
        <f t="shared" ca="1" si="0"/>
        <v>1.5E-3</v>
      </c>
      <c r="I64" s="2409" t="s">
        <v>2371</v>
      </c>
      <c r="J64" s="2410">
        <v>50</v>
      </c>
      <c r="K64" s="2410">
        <v>35</v>
      </c>
      <c r="L64" s="2410">
        <v>60</v>
      </c>
      <c r="M64" s="3130">
        <v>0</v>
      </c>
      <c r="O64" s="2428" t="s">
        <v>2415</v>
      </c>
      <c r="P64" s="1591"/>
      <c r="Q64" s="1603"/>
      <c r="R64" s="1591"/>
    </row>
    <row r="65" spans="1:18" s="2059" customFormat="1" ht="15.75" thickBot="1">
      <c r="A65" s="1648" t="s">
        <v>1892</v>
      </c>
      <c r="B65" s="784" t="s">
        <v>667</v>
      </c>
      <c r="C65" s="53">
        <f ca="1">ROUND(C47*F65,1)</f>
        <v>0</v>
      </c>
      <c r="D65" s="2664" t="s">
        <v>684</v>
      </c>
      <c r="E65" s="784" t="s">
        <v>1748</v>
      </c>
      <c r="F65" s="794">
        <f t="shared" ca="1" si="0"/>
        <v>0.02</v>
      </c>
      <c r="I65" s="2409" t="s">
        <v>2372</v>
      </c>
      <c r="J65" s="2410">
        <v>40</v>
      </c>
      <c r="K65" s="2410">
        <v>30</v>
      </c>
      <c r="L65" s="2410">
        <v>50</v>
      </c>
      <c r="M65" s="3129">
        <v>0.02</v>
      </c>
      <c r="O65" s="2419" t="s">
        <v>2375</v>
      </c>
      <c r="P65" s="2420" t="s">
        <v>2376</v>
      </c>
      <c r="Q65" s="2421" t="s">
        <v>2377</v>
      </c>
      <c r="R65" s="2420" t="s">
        <v>2378</v>
      </c>
    </row>
    <row r="66" spans="1:18" s="2059" customFormat="1" ht="24.75" thickBot="1">
      <c r="A66" s="797" t="s">
        <v>1777</v>
      </c>
      <c r="B66" s="3035" t="s">
        <v>2824</v>
      </c>
      <c r="C66" s="799">
        <f ca="1">C47-C57</f>
        <v>-45</v>
      </c>
      <c r="D66" s="2663" t="s">
        <v>701</v>
      </c>
      <c r="E66" s="2662"/>
      <c r="F66" s="820"/>
      <c r="K66" s="2086"/>
      <c r="O66" s="2422" t="s">
        <v>2379</v>
      </c>
      <c r="P66" s="2423" t="s">
        <v>2409</v>
      </c>
      <c r="Q66" s="2424">
        <f ca="1">C40+J29</f>
        <v>-662</v>
      </c>
      <c r="R66" s="2423" t="s">
        <v>2380</v>
      </c>
    </row>
    <row r="67" spans="1:18" s="2059" customFormat="1" ht="20.25" thickBot="1">
      <c r="A67" s="781" t="s">
        <v>1781</v>
      </c>
      <c r="B67" s="2232" t="s">
        <v>2302</v>
      </c>
      <c r="C67" s="783">
        <f ca="1">ROUND(C66*(1-((1+F69)/(1+F67))^F68)/(F67-F69),0)</f>
        <v>-662</v>
      </c>
      <c r="D67" s="814" t="s">
        <v>705</v>
      </c>
      <c r="E67" s="784" t="s">
        <v>706</v>
      </c>
      <c r="F67" s="794">
        <f ca="1">F40</f>
        <v>5.5E-2</v>
      </c>
      <c r="K67" s="2086"/>
      <c r="O67" s="2422" t="s">
        <v>2381</v>
      </c>
      <c r="P67" s="2423" t="s">
        <v>2412</v>
      </c>
      <c r="Q67" s="2424">
        <f ca="1">L60</f>
        <v>0</v>
      </c>
      <c r="R67" s="2427" t="s">
        <v>2414</v>
      </c>
    </row>
    <row r="68" spans="1:18" ht="21.75" thickBot="1">
      <c r="A68" s="786"/>
      <c r="B68" s="787"/>
      <c r="C68" s="788"/>
      <c r="D68" s="821" t="s">
        <v>1809</v>
      </c>
      <c r="E68" s="784" t="s">
        <v>1785</v>
      </c>
      <c r="F68" s="822">
        <f ca="1">F41</f>
        <v>30.909999999999997</v>
      </c>
      <c r="O68" s="2425" t="s">
        <v>2383</v>
      </c>
      <c r="P68" s="2423" t="s">
        <v>2413</v>
      </c>
      <c r="Q68" s="2429">
        <f ca="1">L51</f>
        <v>-728</v>
      </c>
      <c r="R68" s="2430" t="s">
        <v>2416</v>
      </c>
    </row>
    <row r="69" spans="1:18" ht="20.25" thickBot="1">
      <c r="A69" s="790"/>
      <c r="B69" s="791"/>
      <c r="C69" s="792"/>
      <c r="D69" s="816"/>
      <c r="E69" s="784" t="s">
        <v>711</v>
      </c>
      <c r="F69" s="2371"/>
      <c r="O69" s="2425" t="s">
        <v>2384</v>
      </c>
      <c r="P69" s="2431" t="s">
        <v>2398</v>
      </c>
      <c r="Q69" s="2424">
        <f ca="1">ROUND(Q70-Q71*Q72,0)</f>
        <v>-45</v>
      </c>
      <c r="R69" s="2427"/>
    </row>
    <row r="70" spans="1:18" ht="15.75" thickBot="1">
      <c r="A70" s="823" t="s">
        <v>1788</v>
      </c>
      <c r="B70" s="824" t="s">
        <v>1811</v>
      </c>
      <c r="C70" s="825">
        <f ca="1">ROUND(C67*10000/F70,0)</f>
        <v>-1264</v>
      </c>
      <c r="D70" s="826" t="s">
        <v>1812</v>
      </c>
      <c r="E70" s="827" t="s">
        <v>1813</v>
      </c>
      <c r="F70" s="828">
        <f ca="1">F43</f>
        <v>5237</v>
      </c>
      <c r="O70" s="2425" t="s">
        <v>2399</v>
      </c>
      <c r="P70" s="2431" t="s">
        <v>2400</v>
      </c>
      <c r="Q70" s="2424">
        <f ca="1">C39</f>
        <v>-45</v>
      </c>
      <c r="R70" s="2423" t="s">
        <v>2380</v>
      </c>
    </row>
    <row r="71" spans="1:18" ht="15.75" thickBot="1">
      <c r="O71" s="2425" t="s">
        <v>2401</v>
      </c>
      <c r="P71" s="2431" t="s">
        <v>2402</v>
      </c>
      <c r="Q71" s="2424">
        <f ca="1">C13</f>
        <v>0</v>
      </c>
      <c r="R71" s="2423" t="s">
        <v>2380</v>
      </c>
    </row>
    <row r="72" spans="1:18" ht="15.75" thickBot="1">
      <c r="O72" s="2425" t="s">
        <v>2403</v>
      </c>
      <c r="P72" s="2431" t="s">
        <v>2404</v>
      </c>
      <c r="Q72" s="2426">
        <f ca="1">J36</f>
        <v>8.5000000000000006E-2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-662</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C49" sqref="C49"/>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2647" t="s">
        <v>720</v>
      </c>
      <c r="C1" s="2648" t="s">
        <v>721</v>
      </c>
      <c r="D1" s="2649" t="s">
        <v>923</v>
      </c>
      <c r="E1" s="2650"/>
      <c r="F1" s="2832" t="s">
        <v>3422</v>
      </c>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467</v>
      </c>
      <c r="B2" s="2646">
        <f>ROUND(B3*D3/10000,0)</f>
        <v>215697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9" t="s">
        <v>520</v>
      </c>
      <c r="B3" s="851">
        <f>C49</f>
        <v>8543</v>
      </c>
      <c r="C3" s="852" t="s">
        <v>723</v>
      </c>
      <c r="D3" s="851">
        <f>SUMIF('数据-汇总表'!$C19:$C33,D1,'数据-汇总表'!$E19:$E33)</f>
        <v>252484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522</v>
      </c>
      <c r="B4" s="513"/>
      <c r="C4" s="3709" t="s">
        <v>523</v>
      </c>
      <c r="D4" s="3710"/>
      <c r="E4" s="3743" t="s">
        <v>524</v>
      </c>
      <c r="F4" s="3744"/>
      <c r="G4" s="3709" t="s">
        <v>525</v>
      </c>
      <c r="H4" s="3710"/>
      <c r="I4" s="3709" t="s">
        <v>526</v>
      </c>
      <c r="J4" s="3710"/>
      <c r="K4" s="853" t="s">
        <v>527</v>
      </c>
      <c r="L4" s="2133"/>
      <c r="M4" s="2134"/>
      <c r="N4" s="2134"/>
      <c r="O4" s="2134"/>
      <c r="P4" s="3711" t="s">
        <v>528</v>
      </c>
      <c r="Q4" s="3712"/>
      <c r="R4" s="3717" t="s">
        <v>524</v>
      </c>
      <c r="S4" s="3718"/>
      <c r="T4" s="3717" t="s">
        <v>525</v>
      </c>
      <c r="U4" s="3718"/>
      <c r="V4" s="3704" t="s">
        <v>526</v>
      </c>
      <c r="W4" s="3704"/>
      <c r="X4" s="1566"/>
      <c r="Y4" s="3717" t="s">
        <v>528</v>
      </c>
      <c r="Z4" s="3718"/>
      <c r="AA4" s="3706" t="s">
        <v>524</v>
      </c>
      <c r="AB4" s="3706" t="s">
        <v>525</v>
      </c>
      <c r="AC4" s="3706" t="s">
        <v>526</v>
      </c>
    </row>
    <row r="5" spans="1:29" ht="15">
      <c r="A5" s="515"/>
      <c r="B5" s="516"/>
      <c r="C5" s="3725" t="s">
        <v>2925</v>
      </c>
      <c r="D5" s="3726"/>
      <c r="E5" s="3800" t="s">
        <v>3436</v>
      </c>
      <c r="F5" s="3746"/>
      <c r="G5" s="3798" t="s">
        <v>3438</v>
      </c>
      <c r="H5" s="3726"/>
      <c r="I5" s="3725" t="s">
        <v>2928</v>
      </c>
      <c r="J5" s="3726"/>
      <c r="K5" s="854"/>
      <c r="L5" s="2133"/>
      <c r="M5" s="2134"/>
      <c r="N5" s="2134"/>
      <c r="O5" s="2134"/>
      <c r="P5" s="3713"/>
      <c r="Q5" s="3714"/>
      <c r="R5" s="3719"/>
      <c r="S5" s="3720"/>
      <c r="T5" s="3719"/>
      <c r="U5" s="3720"/>
      <c r="V5" s="3704"/>
      <c r="W5" s="3704"/>
      <c r="X5" s="1566"/>
      <c r="Y5" s="3719"/>
      <c r="Z5" s="3720"/>
      <c r="AA5" s="3707"/>
      <c r="AB5" s="3707"/>
      <c r="AC5" s="3707"/>
    </row>
    <row r="6" spans="1:29" ht="33" customHeight="1" thickBot="1">
      <c r="A6" s="517"/>
      <c r="B6" s="518"/>
      <c r="C6" s="3723" t="s">
        <v>2929</v>
      </c>
      <c r="D6" s="3724"/>
      <c r="E6" s="3799" t="s">
        <v>3437</v>
      </c>
      <c r="F6" s="3742"/>
      <c r="G6" s="3797" t="s">
        <v>3440</v>
      </c>
      <c r="H6" s="3724"/>
      <c r="I6" s="3797" t="s">
        <v>3439</v>
      </c>
      <c r="J6" s="3724"/>
      <c r="K6" s="854" t="s">
        <v>529</v>
      </c>
      <c r="L6" s="2133"/>
      <c r="M6" s="2134"/>
      <c r="N6" s="2134"/>
      <c r="O6" s="2134"/>
      <c r="P6" s="3715"/>
      <c r="Q6" s="3716"/>
      <c r="R6" s="3719"/>
      <c r="S6" s="3720"/>
      <c r="T6" s="3721"/>
      <c r="U6" s="3722"/>
      <c r="V6" s="3704"/>
      <c r="W6" s="3704"/>
      <c r="X6" s="1566"/>
      <c r="Y6" s="3721"/>
      <c r="Z6" s="3722"/>
      <c r="AA6" s="3708"/>
      <c r="AB6" s="3708"/>
      <c r="AC6" s="3708"/>
    </row>
    <row r="7" spans="1:29" s="1218" customFormat="1" ht="15.75" thickBot="1">
      <c r="A7" s="2936"/>
      <c r="B7" s="2943" t="s">
        <v>530</v>
      </c>
      <c r="C7" s="519">
        <f>'数据-取费表'!B2</f>
        <v>43138</v>
      </c>
      <c r="D7" s="520">
        <v>100</v>
      </c>
      <c r="E7" s="521">
        <v>43132</v>
      </c>
      <c r="F7" s="522">
        <f>SUMIF(58:58,YEAR(E7)&amp;"-"&amp;MONTH(E7),59:59)</f>
        <v>100</v>
      </c>
      <c r="G7" s="521">
        <v>43101</v>
      </c>
      <c r="H7" s="520">
        <f>SUMIF(58:58,YEAR(G7)&amp;"-"&amp;MONTH(G7),59:59)</f>
        <v>100</v>
      </c>
      <c r="I7" s="521">
        <v>43132</v>
      </c>
      <c r="J7" s="520">
        <f>SUMIF(58:58,YEAR(I7)&amp;"-"&amp;MONTH(I7),59:59)</f>
        <v>100</v>
      </c>
      <c r="K7" s="855"/>
      <c r="L7" s="2135"/>
      <c r="M7" s="2136"/>
      <c r="N7" s="2136"/>
      <c r="O7" s="2136"/>
      <c r="P7" s="3734" t="s">
        <v>531</v>
      </c>
      <c r="Q7" s="3736"/>
      <c r="R7" s="1567" t="s">
        <v>13</v>
      </c>
      <c r="S7" s="1568">
        <f t="shared" ref="S7:S15" si="0">F7</f>
        <v>100</v>
      </c>
      <c r="T7" s="1567" t="s">
        <v>13</v>
      </c>
      <c r="U7" s="1568">
        <f t="shared" ref="U7:U15" si="1">H7</f>
        <v>100</v>
      </c>
      <c r="V7" s="1567" t="s">
        <v>13</v>
      </c>
      <c r="W7" s="1568">
        <f t="shared" ref="W7:W15" si="2">J7</f>
        <v>100</v>
      </c>
      <c r="X7" s="1569"/>
      <c r="Y7" s="3734" t="s">
        <v>531</v>
      </c>
      <c r="Z7" s="3735"/>
      <c r="AA7" s="1570">
        <f>D7/F7</f>
        <v>1</v>
      </c>
      <c r="AB7" s="1570">
        <f>D7/H7</f>
        <v>1</v>
      </c>
      <c r="AC7" s="1570">
        <f>D7/J7</f>
        <v>1</v>
      </c>
    </row>
    <row r="8" spans="1:29" s="1218" customFormat="1" ht="15.75" thickBot="1">
      <c r="A8" s="2937"/>
      <c r="B8" s="2944" t="s">
        <v>532</v>
      </c>
      <c r="C8" s="525" t="s">
        <v>577</v>
      </c>
      <c r="D8" s="520">
        <v>100</v>
      </c>
      <c r="E8" s="3505" t="s">
        <v>3416</v>
      </c>
      <c r="F8" s="522">
        <f>SUMIF(61:61,E8,62:62)-SUMIF(61:61,C8,62:62)+100</f>
        <v>100</v>
      </c>
      <c r="G8" s="3501" t="s">
        <v>3416</v>
      </c>
      <c r="H8" s="520">
        <f>SUMIF(61:61,G8,62:62)-SUMIF(61:61,C8,62:62)+100</f>
        <v>100</v>
      </c>
      <c r="I8" s="3505" t="s">
        <v>3416</v>
      </c>
      <c r="J8" s="520">
        <f>SUMIF(61:61,I8,62:62)-SUMIF(61:61,C8,62:62)+100</f>
        <v>100</v>
      </c>
      <c r="K8" s="855"/>
      <c r="L8" s="2135"/>
      <c r="M8" s="2136"/>
      <c r="N8" s="2136"/>
      <c r="O8" s="2136"/>
      <c r="P8" s="3734" t="s">
        <v>534</v>
      </c>
      <c r="Q8" s="3735"/>
      <c r="R8" s="1567" t="s">
        <v>13</v>
      </c>
      <c r="S8" s="1568">
        <f t="shared" si="0"/>
        <v>100</v>
      </c>
      <c r="T8" s="1567" t="s">
        <v>13</v>
      </c>
      <c r="U8" s="1568">
        <f t="shared" si="1"/>
        <v>100</v>
      </c>
      <c r="V8" s="1567" t="s">
        <v>13</v>
      </c>
      <c r="W8" s="1568">
        <f t="shared" si="2"/>
        <v>100</v>
      </c>
      <c r="X8" s="1569"/>
      <c r="Y8" s="3734" t="s">
        <v>534</v>
      </c>
      <c r="Z8" s="3735"/>
      <c r="AA8" s="1570">
        <f t="shared" ref="AA8:AA46" si="3">D8/F8</f>
        <v>1</v>
      </c>
      <c r="AB8" s="1570">
        <f t="shared" ref="AB8:AB46" si="4">D8/H8</f>
        <v>1</v>
      </c>
      <c r="AC8" s="1570">
        <f t="shared" ref="AC8:AC46" si="5">D8/J8</f>
        <v>1</v>
      </c>
    </row>
    <row r="9" spans="1:29" s="1218" customFormat="1" ht="15">
      <c r="A9" s="2938"/>
      <c r="B9" s="2945" t="s">
        <v>2758</v>
      </c>
      <c r="C9" s="3511" t="s">
        <v>3425</v>
      </c>
      <c r="D9" s="254">
        <v>100</v>
      </c>
      <c r="E9" s="3512" t="s">
        <v>3425</v>
      </c>
      <c r="F9" s="859">
        <f>SUMIF(63:63,E9,64:64)-SUMIF(63:63,C9,64:64)+100</f>
        <v>100</v>
      </c>
      <c r="G9" s="3513" t="s">
        <v>3425</v>
      </c>
      <c r="H9" s="254">
        <f>SUMIF(63:63,G9,64:64)-SUMIF(63:63,C9,64:64)+100</f>
        <v>100</v>
      </c>
      <c r="I9" s="3513" t="s">
        <v>3425</v>
      </c>
      <c r="J9" s="254">
        <f>SUMIF(63:63,I9,64:64)-SUMIF(63:63,C9,64:64)+100</f>
        <v>100</v>
      </c>
      <c r="K9" s="855"/>
      <c r="L9" s="2135"/>
      <c r="M9" s="2136"/>
      <c r="N9" s="2136"/>
      <c r="O9" s="2137"/>
      <c r="P9" s="3703" t="s">
        <v>536</v>
      </c>
      <c r="Q9" s="1149" t="str">
        <f t="shared" ref="Q9:Q15" si="6">B9</f>
        <v>用途</v>
      </c>
      <c r="R9" s="1567" t="s">
        <v>8</v>
      </c>
      <c r="S9" s="1568">
        <f t="shared" si="0"/>
        <v>100</v>
      </c>
      <c r="T9" s="1567" t="s">
        <v>8</v>
      </c>
      <c r="U9" s="1568">
        <f t="shared" si="1"/>
        <v>100</v>
      </c>
      <c r="V9" s="1567" t="s">
        <v>8</v>
      </c>
      <c r="W9" s="1568">
        <f t="shared" si="2"/>
        <v>100</v>
      </c>
      <c r="X9" s="1569"/>
      <c r="Y9" s="3649" t="s">
        <v>537</v>
      </c>
      <c r="Z9" s="1148" t="str">
        <f t="shared" ref="Z9:Z15" si="7">Q9</f>
        <v>用途</v>
      </c>
      <c r="AA9" s="1570">
        <f t="shared" si="3"/>
        <v>1</v>
      </c>
      <c r="AB9" s="1570">
        <f t="shared" si="4"/>
        <v>1</v>
      </c>
      <c r="AC9" s="1570">
        <f t="shared" si="5"/>
        <v>1</v>
      </c>
    </row>
    <row r="10" spans="1:29" s="1336" customFormat="1" ht="27">
      <c r="A10" s="2939"/>
      <c r="B10" s="2944" t="s">
        <v>2759</v>
      </c>
      <c r="C10" s="861" t="s">
        <v>3415</v>
      </c>
      <c r="D10" s="255">
        <v>100</v>
      </c>
      <c r="E10" s="862" t="s">
        <v>3415</v>
      </c>
      <c r="F10" s="863">
        <f>SUMIF(65:65,E10,66:66)-SUMIF(65:65,C10,66:66)+100</f>
        <v>100</v>
      </c>
      <c r="G10" s="861" t="s">
        <v>3415</v>
      </c>
      <c r="H10" s="255">
        <f>SUMIF(65:65,G10,66:66)-SUMIF(65:65,C10,66:66)+100</f>
        <v>100</v>
      </c>
      <c r="I10" s="861" t="s">
        <v>3415</v>
      </c>
      <c r="J10" s="255">
        <f>SUMIF(65:65,I10,66:66)-SUMIF(65:65,C10,66:66)+100</f>
        <v>100</v>
      </c>
      <c r="K10" s="864"/>
      <c r="L10" s="2138"/>
      <c r="M10" s="2178"/>
      <c r="N10" s="2178"/>
      <c r="O10" s="2139"/>
      <c r="P10" s="3703"/>
      <c r="Q10" s="1149" t="str">
        <f t="shared" si="6"/>
        <v>土地使用年限（年）</v>
      </c>
      <c r="R10" s="1567" t="s">
        <v>8</v>
      </c>
      <c r="S10" s="1568">
        <f t="shared" si="0"/>
        <v>100</v>
      </c>
      <c r="T10" s="1567" t="s">
        <v>8</v>
      </c>
      <c r="U10" s="1568">
        <f t="shared" si="1"/>
        <v>100</v>
      </c>
      <c r="V10" s="1567" t="s">
        <v>8</v>
      </c>
      <c r="W10" s="1568">
        <f t="shared" si="2"/>
        <v>100</v>
      </c>
      <c r="X10" s="1569"/>
      <c r="Y10" s="3649"/>
      <c r="Z10" s="1148" t="str">
        <f t="shared" si="7"/>
        <v>土地使用年限（年）</v>
      </c>
      <c r="AA10" s="1570">
        <f t="shared" si="3"/>
        <v>1</v>
      </c>
      <c r="AB10" s="1570">
        <f t="shared" si="4"/>
        <v>1</v>
      </c>
      <c r="AC10" s="1570">
        <f t="shared" si="5"/>
        <v>1</v>
      </c>
    </row>
    <row r="11" spans="1:29" ht="15">
      <c r="A11" s="2940"/>
      <c r="B11" s="2944" t="s">
        <v>2760</v>
      </c>
      <c r="C11" s="533">
        <v>3.5</v>
      </c>
      <c r="D11" s="255">
        <v>100</v>
      </c>
      <c r="E11" s="534">
        <v>1.4</v>
      </c>
      <c r="F11" s="863">
        <f>LOOKUP(E11,68:68,69:69)-LOOKUP(C11,68:68,69:69)+100</f>
        <v>102</v>
      </c>
      <c r="G11" s="533">
        <v>3.5</v>
      </c>
      <c r="H11" s="255">
        <f>LOOKUP(G11,68:68,69:69)-LOOKUP(C11,68:68,69:69)+100</f>
        <v>100</v>
      </c>
      <c r="I11" s="533">
        <v>3.82</v>
      </c>
      <c r="J11" s="255">
        <f>LOOKUP(I11,68:68,69:69)-LOOKUP(C11,68:68,69:69)+100</f>
        <v>100</v>
      </c>
      <c r="K11" s="864">
        <v>1</v>
      </c>
      <c r="L11" s="2140"/>
      <c r="M11" s="2134"/>
      <c r="N11" s="2134"/>
      <c r="O11" s="2141"/>
      <c r="P11" s="3703"/>
      <c r="Q11" s="1149" t="str">
        <f t="shared" si="6"/>
        <v>容积率</v>
      </c>
      <c r="R11" s="1567" t="s">
        <v>11</v>
      </c>
      <c r="S11" s="1568">
        <f t="shared" si="0"/>
        <v>102</v>
      </c>
      <c r="T11" s="1567" t="s">
        <v>11</v>
      </c>
      <c r="U11" s="1568">
        <f t="shared" si="1"/>
        <v>100</v>
      </c>
      <c r="V11" s="1567" t="s">
        <v>11</v>
      </c>
      <c r="W11" s="1568">
        <f t="shared" si="2"/>
        <v>100</v>
      </c>
      <c r="X11" s="1569"/>
      <c r="Y11" s="3649"/>
      <c r="Z11" s="1148" t="str">
        <f t="shared" si="7"/>
        <v>容积率</v>
      </c>
      <c r="AA11" s="1570">
        <f t="shared" si="3"/>
        <v>0.98039215686274506</v>
      </c>
      <c r="AB11" s="1570">
        <f t="shared" si="4"/>
        <v>1</v>
      </c>
      <c r="AC11" s="1570">
        <f t="shared" si="5"/>
        <v>1</v>
      </c>
    </row>
    <row r="12" spans="1:29" s="1218"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703"/>
      <c r="Q12" s="1149">
        <f t="shared" si="6"/>
        <v>111</v>
      </c>
      <c r="R12" s="1567" t="s">
        <v>11</v>
      </c>
      <c r="S12" s="1568">
        <f t="shared" si="0"/>
        <v>100</v>
      </c>
      <c r="T12" s="1567" t="s">
        <v>11</v>
      </c>
      <c r="U12" s="1568">
        <f t="shared" si="1"/>
        <v>100</v>
      </c>
      <c r="V12" s="1567" t="s">
        <v>11</v>
      </c>
      <c r="W12" s="1568">
        <f t="shared" si="2"/>
        <v>100</v>
      </c>
      <c r="X12" s="1569"/>
      <c r="Y12" s="3649"/>
      <c r="Z12" s="1148">
        <f t="shared" si="7"/>
        <v>111</v>
      </c>
      <c r="AA12" s="1570">
        <f>D12/F12</f>
        <v>1</v>
      </c>
      <c r="AB12" s="1570">
        <f>D12/H12</f>
        <v>1</v>
      </c>
      <c r="AC12" s="1570">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703"/>
      <c r="Q13" s="1149">
        <f t="shared" si="6"/>
        <v>111</v>
      </c>
      <c r="R13" s="1567" t="s">
        <v>11</v>
      </c>
      <c r="S13" s="1568">
        <f t="shared" si="0"/>
        <v>100</v>
      </c>
      <c r="T13" s="1567" t="s">
        <v>11</v>
      </c>
      <c r="U13" s="1568">
        <f t="shared" si="1"/>
        <v>100</v>
      </c>
      <c r="V13" s="1567" t="s">
        <v>11</v>
      </c>
      <c r="W13" s="1568">
        <f t="shared" si="2"/>
        <v>100</v>
      </c>
      <c r="X13" s="1569"/>
      <c r="Y13" s="3649"/>
      <c r="Z13" s="1148">
        <f t="shared" si="7"/>
        <v>111</v>
      </c>
      <c r="AA13" s="1570">
        <f t="shared" si="3"/>
        <v>1</v>
      </c>
      <c r="AB13" s="1570">
        <f t="shared" si="4"/>
        <v>1</v>
      </c>
      <c r="AC13" s="1570">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703"/>
      <c r="Q14" s="1149">
        <f t="shared" si="6"/>
        <v>111</v>
      </c>
      <c r="R14" s="1567" t="s">
        <v>11</v>
      </c>
      <c r="S14" s="1568">
        <f t="shared" si="0"/>
        <v>100</v>
      </c>
      <c r="T14" s="1567" t="s">
        <v>11</v>
      </c>
      <c r="U14" s="1568">
        <f t="shared" si="1"/>
        <v>100</v>
      </c>
      <c r="V14" s="1567" t="s">
        <v>11</v>
      </c>
      <c r="W14" s="1568">
        <f t="shared" si="2"/>
        <v>100</v>
      </c>
      <c r="X14" s="1569"/>
      <c r="Y14" s="3649"/>
      <c r="Z14" s="1148">
        <f t="shared" si="7"/>
        <v>111</v>
      </c>
      <c r="AA14" s="1570">
        <f t="shared" si="3"/>
        <v>1</v>
      </c>
      <c r="AB14" s="1570">
        <f t="shared" si="4"/>
        <v>1</v>
      </c>
      <c r="AC14" s="1570">
        <f t="shared" si="5"/>
        <v>1</v>
      </c>
    </row>
    <row r="15" spans="1:29" ht="99.75">
      <c r="A15" s="2934" t="s">
        <v>2756</v>
      </c>
      <c r="B15" s="166" t="s">
        <v>295</v>
      </c>
      <c r="C15" s="867" t="str">
        <f>估价对象房地状况!C3</f>
        <v>估价对象周边居住用地比例较小、居住小区规模和社区发展完善程度一般，综合评价居住社区成熟度一般</v>
      </c>
      <c r="D15" s="549">
        <v>100</v>
      </c>
      <c r="E15" s="550"/>
      <c r="F15" s="551">
        <f>SUMIF(76:76,E16,77:77)-SUMIF(76:76,C16,77:77)+100</f>
        <v>100</v>
      </c>
      <c r="G15" s="552"/>
      <c r="H15" s="549">
        <f>SUMIF(76:76,G16,77:77)-SUMIF(76:76,C16,77:77)+100</f>
        <v>100</v>
      </c>
      <c r="I15" s="550"/>
      <c r="J15" s="549">
        <f>SUMIF(76:76,I16,77:77)-SUMIF(76:76,C16,77:77)+100</f>
        <v>102</v>
      </c>
      <c r="K15" s="868">
        <v>2</v>
      </c>
      <c r="L15" s="2142"/>
      <c r="M15" s="2134"/>
      <c r="N15" s="2134"/>
      <c r="O15" s="2141"/>
      <c r="P15" s="3737" t="s">
        <v>541</v>
      </c>
      <c r="Q15" s="1571" t="str">
        <f t="shared" si="6"/>
        <v>居住社区成熟度</v>
      </c>
      <c r="R15" s="1572" t="s">
        <v>11</v>
      </c>
      <c r="S15" s="1573">
        <f t="shared" si="0"/>
        <v>100</v>
      </c>
      <c r="T15" s="1572" t="s">
        <v>11</v>
      </c>
      <c r="U15" s="1573">
        <f t="shared" si="1"/>
        <v>100</v>
      </c>
      <c r="V15" s="1572" t="s">
        <v>11</v>
      </c>
      <c r="W15" s="1573">
        <f t="shared" si="2"/>
        <v>102</v>
      </c>
      <c r="X15" s="1566"/>
      <c r="Y15" s="3737" t="s">
        <v>541</v>
      </c>
      <c r="Z15" s="1574" t="str">
        <f t="shared" si="7"/>
        <v>居住社区成熟度</v>
      </c>
      <c r="AA15" s="1575">
        <f t="shared" si="3"/>
        <v>1</v>
      </c>
      <c r="AB15" s="1575">
        <f t="shared" si="4"/>
        <v>1</v>
      </c>
      <c r="AC15" s="1575">
        <f t="shared" si="5"/>
        <v>0.98039215686274506</v>
      </c>
    </row>
    <row r="16" spans="1:29" ht="15">
      <c r="A16" s="532"/>
      <c r="B16" s="869"/>
      <c r="C16" s="576" t="s">
        <v>3399</v>
      </c>
      <c r="D16" s="555"/>
      <c r="E16" s="556" t="s">
        <v>3399</v>
      </c>
      <c r="F16" s="557"/>
      <c r="G16" s="3514" t="s">
        <v>3441</v>
      </c>
      <c r="H16" s="559"/>
      <c r="I16" s="3518" t="s">
        <v>3426</v>
      </c>
      <c r="J16" s="555"/>
      <c r="K16" s="870"/>
      <c r="L16" s="2142"/>
      <c r="M16" s="2134"/>
      <c r="N16" s="2134"/>
      <c r="O16" s="2141"/>
      <c r="P16" s="3738"/>
      <c r="Q16" s="1571"/>
      <c r="R16" s="1572"/>
      <c r="S16" s="1573"/>
      <c r="T16" s="1572"/>
      <c r="U16" s="1573"/>
      <c r="V16" s="1572"/>
      <c r="W16" s="1573"/>
      <c r="X16" s="1566"/>
      <c r="Y16" s="3738"/>
      <c r="Z16" s="1574"/>
      <c r="AA16" s="1575">
        <v>1</v>
      </c>
      <c r="AB16" s="1575">
        <v>1</v>
      </c>
      <c r="AC16" s="1575">
        <v>1</v>
      </c>
    </row>
    <row r="17" spans="1:29" ht="99.75">
      <c r="A17" s="532"/>
      <c r="B17" s="871" t="s">
        <v>296</v>
      </c>
      <c r="C17" s="872" t="str">
        <f>估价对象房地状况!C6</f>
        <v>估价对象周边路网密集度一般、公共交通通达情况一般、停车便捷程度一般，综合评价交通便捷度一般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102</v>
      </c>
      <c r="K17" s="868">
        <v>2</v>
      </c>
      <c r="L17" s="2142"/>
      <c r="M17" s="2134"/>
      <c r="N17" s="2134"/>
      <c r="O17" s="2141"/>
      <c r="P17" s="3738"/>
      <c r="Q17" s="1571" t="str">
        <f>B17</f>
        <v>交通便捷度</v>
      </c>
      <c r="R17" s="1572" t="s">
        <v>11</v>
      </c>
      <c r="S17" s="1573">
        <f>F17</f>
        <v>100</v>
      </c>
      <c r="T17" s="1572" t="s">
        <v>11</v>
      </c>
      <c r="U17" s="1573">
        <f>H17</f>
        <v>100</v>
      </c>
      <c r="V17" s="1572" t="s">
        <v>11</v>
      </c>
      <c r="W17" s="1573">
        <f>J17</f>
        <v>102</v>
      </c>
      <c r="X17" s="1566"/>
      <c r="Y17" s="3738"/>
      <c r="Z17" s="1574" t="str">
        <f>Q17</f>
        <v>交通便捷度</v>
      </c>
      <c r="AA17" s="1575">
        <f t="shared" si="3"/>
        <v>1</v>
      </c>
      <c r="AB17" s="1575">
        <f t="shared" si="4"/>
        <v>1</v>
      </c>
      <c r="AC17" s="1575">
        <f t="shared" si="5"/>
        <v>0.98039215686274506</v>
      </c>
    </row>
    <row r="18" spans="1:29" ht="15">
      <c r="A18" s="532"/>
      <c r="B18" s="595"/>
      <c r="C18" s="873" t="s">
        <v>3399</v>
      </c>
      <c r="D18" s="559"/>
      <c r="E18" s="568" t="s">
        <v>3399</v>
      </c>
      <c r="F18" s="563"/>
      <c r="G18" s="3515" t="s">
        <v>3441</v>
      </c>
      <c r="H18" s="555"/>
      <c r="I18" s="3519" t="s">
        <v>3426</v>
      </c>
      <c r="J18" s="555"/>
      <c r="K18" s="870"/>
      <c r="L18" s="2142"/>
      <c r="M18" s="2134"/>
      <c r="N18" s="2134"/>
      <c r="O18" s="2141"/>
      <c r="P18" s="3738"/>
      <c r="Q18" s="1571"/>
      <c r="R18" s="1572"/>
      <c r="S18" s="1573"/>
      <c r="T18" s="1572"/>
      <c r="U18" s="1573"/>
      <c r="V18" s="1572"/>
      <c r="W18" s="1573"/>
      <c r="X18" s="1566"/>
      <c r="Y18" s="3738"/>
      <c r="Z18" s="1574"/>
      <c r="AA18" s="1575">
        <v>1</v>
      </c>
      <c r="AB18" s="1575">
        <v>1</v>
      </c>
      <c r="AC18" s="1575">
        <v>1</v>
      </c>
    </row>
    <row r="19" spans="1:29" ht="71.25">
      <c r="A19" s="532"/>
      <c r="B19" s="2624" t="s">
        <v>2548</v>
      </c>
      <c r="C19" s="872" t="str">
        <f>估价对象房地状况!C7</f>
        <v>估价对象所在区域公共配套设施齐备情况一般，有雅庭小学、龙溪二中</v>
      </c>
      <c r="D19" s="565">
        <v>100</v>
      </c>
      <c r="E19" s="570"/>
      <c r="F19" s="571">
        <f>SUMIF(80:80,E20,81:81)-SUMIF(80:80,C20,81:81)+100</f>
        <v>100</v>
      </c>
      <c r="G19" s="572"/>
      <c r="H19" s="559">
        <f>SUMIF(80:80,G20,81:81)-SUMIF(80:80,C20,81:81)+100</f>
        <v>100</v>
      </c>
      <c r="I19" s="570"/>
      <c r="J19" s="559">
        <f>SUMIF(80:80,I20,81:81)-SUMIF(80:80,C20,81:81)+100</f>
        <v>102</v>
      </c>
      <c r="K19" s="868">
        <v>2</v>
      </c>
      <c r="L19" s="2142"/>
      <c r="M19" s="2134"/>
      <c r="N19" s="2134"/>
      <c r="O19" s="2141"/>
      <c r="P19" s="3738"/>
      <c r="Q19" s="1571" t="str">
        <f>B19</f>
        <v>公共配套设施</v>
      </c>
      <c r="R19" s="1572" t="s">
        <v>11</v>
      </c>
      <c r="S19" s="1573">
        <f>F19</f>
        <v>100</v>
      </c>
      <c r="T19" s="1572" t="s">
        <v>11</v>
      </c>
      <c r="U19" s="1573">
        <f>H19</f>
        <v>100</v>
      </c>
      <c r="V19" s="1572" t="s">
        <v>11</v>
      </c>
      <c r="W19" s="1573">
        <f>J19</f>
        <v>102</v>
      </c>
      <c r="X19" s="1566"/>
      <c r="Y19" s="3738"/>
      <c r="Z19" s="1574" t="str">
        <f>Q19</f>
        <v>公共配套设施</v>
      </c>
      <c r="AA19" s="1575">
        <f t="shared" si="3"/>
        <v>1</v>
      </c>
      <c r="AB19" s="1575">
        <f t="shared" si="4"/>
        <v>1</v>
      </c>
      <c r="AC19" s="1575">
        <f t="shared" si="5"/>
        <v>0.98039215686274506</v>
      </c>
    </row>
    <row r="20" spans="1:29" ht="15">
      <c r="A20" s="532"/>
      <c r="B20" s="595"/>
      <c r="C20" s="576" t="s">
        <v>3399</v>
      </c>
      <c r="D20" s="555"/>
      <c r="E20" s="556" t="s">
        <v>3399</v>
      </c>
      <c r="F20" s="557"/>
      <c r="G20" s="3514" t="s">
        <v>3441</v>
      </c>
      <c r="H20" s="555"/>
      <c r="I20" s="3518" t="s">
        <v>3426</v>
      </c>
      <c r="J20" s="555"/>
      <c r="K20" s="870"/>
      <c r="L20" s="2142"/>
      <c r="M20" s="2134"/>
      <c r="N20" s="2134"/>
      <c r="O20" s="2141"/>
      <c r="P20" s="3738"/>
      <c r="Q20" s="1571"/>
      <c r="R20" s="1572"/>
      <c r="S20" s="1573"/>
      <c r="T20" s="1572"/>
      <c r="U20" s="1573"/>
      <c r="V20" s="1572"/>
      <c r="W20" s="1573"/>
      <c r="X20" s="1566"/>
      <c r="Y20" s="3738"/>
      <c r="Z20" s="1574"/>
      <c r="AA20" s="1575">
        <v>1</v>
      </c>
      <c r="AB20" s="1575">
        <v>1</v>
      </c>
      <c r="AC20" s="1575">
        <v>1</v>
      </c>
    </row>
    <row r="21" spans="1:29" ht="42.75">
      <c r="A21" s="532"/>
      <c r="B21" s="2617" t="s">
        <v>2560</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738"/>
      <c r="Q21" s="2603" t="str">
        <f>B21</f>
        <v>基础设施水平</v>
      </c>
      <c r="R21" s="1572" t="s">
        <v>11</v>
      </c>
      <c r="S21" s="1573">
        <f>F21</f>
        <v>100</v>
      </c>
      <c r="T21" s="1572" t="s">
        <v>11</v>
      </c>
      <c r="U21" s="1573">
        <f>H21</f>
        <v>100</v>
      </c>
      <c r="V21" s="1572" t="s">
        <v>11</v>
      </c>
      <c r="W21" s="1573">
        <f>J21</f>
        <v>100</v>
      </c>
      <c r="X21" s="2605"/>
      <c r="Y21" s="3738"/>
      <c r="Z21" s="2604" t="str">
        <f>Q21</f>
        <v>基础设施水平</v>
      </c>
      <c r="AA21" s="1575">
        <f t="shared" ref="AA21" si="8">D21/F21</f>
        <v>1</v>
      </c>
      <c r="AB21" s="1575">
        <f t="shared" ref="AB21" si="9">D21/H21</f>
        <v>1</v>
      </c>
      <c r="AC21" s="1575">
        <f t="shared" ref="AC21" si="10">D21/J21</f>
        <v>1</v>
      </c>
    </row>
    <row r="22" spans="1:29" ht="15">
      <c r="A22" s="532"/>
      <c r="B22" s="920"/>
      <c r="C22" s="873" t="s">
        <v>3401</v>
      </c>
      <c r="D22" s="555"/>
      <c r="E22" s="576" t="s">
        <v>3401</v>
      </c>
      <c r="F22" s="557"/>
      <c r="G22" s="3516" t="s">
        <v>3420</v>
      </c>
      <c r="H22" s="555"/>
      <c r="I22" s="3516" t="s">
        <v>3420</v>
      </c>
      <c r="J22" s="555"/>
      <c r="K22" s="2623"/>
      <c r="L22" s="2142"/>
      <c r="M22" s="2134"/>
      <c r="N22" s="2134"/>
      <c r="O22" s="2141"/>
      <c r="P22" s="3738"/>
      <c r="Q22" s="2603"/>
      <c r="R22" s="1572"/>
      <c r="S22" s="1573"/>
      <c r="T22" s="1572"/>
      <c r="U22" s="1573"/>
      <c r="V22" s="1572"/>
      <c r="W22" s="1573"/>
      <c r="X22" s="2605"/>
      <c r="Y22" s="3738"/>
      <c r="Z22" s="2604"/>
      <c r="AA22" s="1575">
        <v>1</v>
      </c>
      <c r="AB22" s="1575">
        <v>1</v>
      </c>
      <c r="AC22" s="1575">
        <v>1</v>
      </c>
    </row>
    <row r="23" spans="1:29" ht="99.75">
      <c r="A23" s="532"/>
      <c r="B23" s="871" t="s">
        <v>297</v>
      </c>
      <c r="C23" s="872" t="str">
        <f>估价对象房地状况!C9</f>
        <v>区域自然环境：周边绿化条件较好，有水系；人文环境：缺乏图书馆、剧院等设施；综合评价环境状况较差</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738"/>
      <c r="Q23" s="1571" t="str">
        <f>B23</f>
        <v>自然及人文环境</v>
      </c>
      <c r="R23" s="1572" t="s">
        <v>11</v>
      </c>
      <c r="S23" s="1573">
        <f>F23</f>
        <v>100</v>
      </c>
      <c r="T23" s="1572" t="s">
        <v>11</v>
      </c>
      <c r="U23" s="1573">
        <f>H23</f>
        <v>100</v>
      </c>
      <c r="V23" s="1572" t="s">
        <v>11</v>
      </c>
      <c r="W23" s="1573">
        <f>J23</f>
        <v>100</v>
      </c>
      <c r="X23" s="1566"/>
      <c r="Y23" s="3738"/>
      <c r="Z23" s="1574" t="str">
        <f>Q23</f>
        <v>自然及人文环境</v>
      </c>
      <c r="AA23" s="1575">
        <f t="shared" si="3"/>
        <v>1</v>
      </c>
      <c r="AB23" s="1575">
        <f t="shared" si="4"/>
        <v>1</v>
      </c>
      <c r="AC23" s="1575">
        <f t="shared" si="5"/>
        <v>1</v>
      </c>
    </row>
    <row r="24" spans="1:29" ht="15">
      <c r="A24" s="532"/>
      <c r="B24" s="595"/>
      <c r="C24" s="576" t="s">
        <v>3400</v>
      </c>
      <c r="D24" s="555"/>
      <c r="E24" s="556" t="s">
        <v>3400</v>
      </c>
      <c r="F24" s="557"/>
      <c r="G24" s="3514" t="s">
        <v>3427</v>
      </c>
      <c r="H24" s="555"/>
      <c r="I24" s="3518" t="s">
        <v>3427</v>
      </c>
      <c r="J24" s="555"/>
      <c r="K24" s="870"/>
      <c r="L24" s="2142"/>
      <c r="M24" s="2134"/>
      <c r="N24" s="2134"/>
      <c r="O24" s="2141"/>
      <c r="P24" s="3738"/>
      <c r="Q24" s="1571"/>
      <c r="R24" s="1572"/>
      <c r="S24" s="1573"/>
      <c r="T24" s="1572"/>
      <c r="U24" s="1573"/>
      <c r="V24" s="1572"/>
      <c r="W24" s="1573"/>
      <c r="X24" s="1566"/>
      <c r="Y24" s="3738"/>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738"/>
      <c r="Q25" s="1571" t="str">
        <f t="shared" ref="Q25:Q46" si="11">B25</f>
        <v>楼层-1</v>
      </c>
      <c r="R25" s="1572" t="s">
        <v>11</v>
      </c>
      <c r="S25" s="1573">
        <f>F25</f>
        <v>100</v>
      </c>
      <c r="T25" s="1572" t="s">
        <v>11</v>
      </c>
      <c r="U25" s="1573">
        <f>H25</f>
        <v>100</v>
      </c>
      <c r="V25" s="1572" t="s">
        <v>11</v>
      </c>
      <c r="W25" s="1573">
        <f>J25</f>
        <v>100</v>
      </c>
      <c r="X25" s="1566"/>
      <c r="Y25" s="3738"/>
      <c r="Z25" s="1574" t="str">
        <f>Q25</f>
        <v>楼层-1</v>
      </c>
      <c r="AA25" s="1575">
        <f t="shared" si="3"/>
        <v>1</v>
      </c>
      <c r="AB25" s="1575">
        <f t="shared" si="4"/>
        <v>1</v>
      </c>
      <c r="AC25" s="1575">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738"/>
      <c r="Q26" s="1571" t="str">
        <f t="shared" si="11"/>
        <v>朝向</v>
      </c>
      <c r="R26" s="1572" t="s">
        <v>11</v>
      </c>
      <c r="S26" s="1573">
        <f>F26</f>
        <v>100</v>
      </c>
      <c r="T26" s="1572" t="s">
        <v>11</v>
      </c>
      <c r="U26" s="1573">
        <f>H26</f>
        <v>100</v>
      </c>
      <c r="V26" s="1572" t="s">
        <v>11</v>
      </c>
      <c r="W26" s="1573">
        <f>J26</f>
        <v>100</v>
      </c>
      <c r="X26" s="1566"/>
      <c r="Y26" s="3738"/>
      <c r="Z26" s="1574" t="str">
        <f>Q26</f>
        <v>朝向</v>
      </c>
      <c r="AA26" s="1575">
        <f t="shared" si="3"/>
        <v>1</v>
      </c>
      <c r="AB26" s="1575">
        <f t="shared" si="4"/>
        <v>1</v>
      </c>
      <c r="AC26" s="1575">
        <f t="shared" si="5"/>
        <v>1</v>
      </c>
    </row>
    <row r="27" spans="1:29" s="1218"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738"/>
      <c r="Q27" s="1149" t="str">
        <f t="shared" si="11"/>
        <v>道路级别</v>
      </c>
      <c r="R27" s="1567" t="s">
        <v>11</v>
      </c>
      <c r="S27" s="1568">
        <f>F27</f>
        <v>100</v>
      </c>
      <c r="T27" s="1567" t="s">
        <v>11</v>
      </c>
      <c r="U27" s="1568">
        <f>H27</f>
        <v>100</v>
      </c>
      <c r="V27" s="1567" t="s">
        <v>11</v>
      </c>
      <c r="W27" s="1568">
        <f>J27</f>
        <v>100</v>
      </c>
      <c r="X27" s="1569"/>
      <c r="Y27" s="3738"/>
      <c r="Z27" s="1148"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738"/>
      <c r="Q28" s="1571">
        <f t="shared" si="11"/>
        <v>111</v>
      </c>
      <c r="R28" s="1572" t="s">
        <v>11</v>
      </c>
      <c r="S28" s="1573">
        <f t="shared" ref="S28:S46" si="12">F28</f>
        <v>100</v>
      </c>
      <c r="T28" s="1572" t="s">
        <v>11</v>
      </c>
      <c r="U28" s="1573">
        <f t="shared" ref="U28:U46" si="13">H28</f>
        <v>100</v>
      </c>
      <c r="V28" s="1572" t="s">
        <v>11</v>
      </c>
      <c r="W28" s="1573">
        <f t="shared" ref="W28:W46" si="14">J28</f>
        <v>100</v>
      </c>
      <c r="X28" s="1566"/>
      <c r="Y28" s="3738"/>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738"/>
      <c r="Q29" s="1571">
        <f t="shared" si="11"/>
        <v>111</v>
      </c>
      <c r="R29" s="1572" t="s">
        <v>11</v>
      </c>
      <c r="S29" s="1573">
        <f t="shared" si="12"/>
        <v>100</v>
      </c>
      <c r="T29" s="1572" t="s">
        <v>11</v>
      </c>
      <c r="U29" s="1573">
        <f t="shared" si="13"/>
        <v>100</v>
      </c>
      <c r="V29" s="1572" t="s">
        <v>11</v>
      </c>
      <c r="W29" s="1573">
        <f t="shared" si="14"/>
        <v>100</v>
      </c>
      <c r="X29" s="1566"/>
      <c r="Y29" s="373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738"/>
      <c r="Q30" s="1571">
        <f t="shared" si="11"/>
        <v>111</v>
      </c>
      <c r="R30" s="1572" t="s">
        <v>11</v>
      </c>
      <c r="S30" s="1573">
        <f t="shared" si="12"/>
        <v>100</v>
      </c>
      <c r="T30" s="1572" t="s">
        <v>11</v>
      </c>
      <c r="U30" s="1573">
        <f t="shared" si="13"/>
        <v>100</v>
      </c>
      <c r="V30" s="1572" t="s">
        <v>11</v>
      </c>
      <c r="W30" s="1573">
        <f t="shared" si="14"/>
        <v>100</v>
      </c>
      <c r="X30" s="1566"/>
      <c r="Y30" s="3738"/>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738"/>
      <c r="Q31" s="1571">
        <f t="shared" si="11"/>
        <v>111</v>
      </c>
      <c r="R31" s="1572" t="s">
        <v>11</v>
      </c>
      <c r="S31" s="1573">
        <f t="shared" si="12"/>
        <v>100</v>
      </c>
      <c r="T31" s="1572" t="s">
        <v>11</v>
      </c>
      <c r="U31" s="1573">
        <f t="shared" si="13"/>
        <v>100</v>
      </c>
      <c r="V31" s="1572" t="s">
        <v>11</v>
      </c>
      <c r="W31" s="1573">
        <f t="shared" si="14"/>
        <v>100</v>
      </c>
      <c r="X31" s="1566"/>
      <c r="Y31" s="3738"/>
      <c r="Z31" s="1574">
        <f t="shared" si="15"/>
        <v>111</v>
      </c>
      <c r="AA31" s="1575">
        <f t="shared" si="3"/>
        <v>1</v>
      </c>
      <c r="AB31" s="1575">
        <f t="shared" si="4"/>
        <v>1</v>
      </c>
      <c r="AC31" s="1575">
        <f t="shared" si="5"/>
        <v>1</v>
      </c>
    </row>
    <row r="32" spans="1:29" ht="15">
      <c r="A32" s="2932" t="s">
        <v>2757</v>
      </c>
      <c r="B32" s="172" t="s">
        <v>726</v>
      </c>
      <c r="C32" s="878"/>
      <c r="D32" s="597">
        <v>100</v>
      </c>
      <c r="E32" s="3517"/>
      <c r="F32" s="575">
        <f>SUMIF(100:100,E32,101:101)-SUMIF(100:100,C32,101:101)+100</f>
        <v>100</v>
      </c>
      <c r="G32" s="3517" t="s">
        <v>3428</v>
      </c>
      <c r="H32" s="597">
        <f>SUMIF(100:100,G32,101:101)-SUMIF(100:100,C32,101:101)+100</f>
        <v>100</v>
      </c>
      <c r="I32" s="3517" t="s">
        <v>3429</v>
      </c>
      <c r="J32" s="540">
        <f>SUMIF(100:100,I32,101:101)-SUMIF(100:100,C32,101:101)+100</f>
        <v>100</v>
      </c>
      <c r="K32" s="864"/>
      <c r="L32" s="2142"/>
      <c r="M32" s="2134"/>
      <c r="N32" s="2134"/>
      <c r="O32" s="2141"/>
      <c r="P32" s="3739" t="s">
        <v>551</v>
      </c>
      <c r="Q32" s="1571" t="str">
        <f t="shared" si="11"/>
        <v>建筑类型</v>
      </c>
      <c r="R32" s="1572" t="s">
        <v>11</v>
      </c>
      <c r="S32" s="1573">
        <f t="shared" si="12"/>
        <v>100</v>
      </c>
      <c r="T32" s="1572" t="s">
        <v>11</v>
      </c>
      <c r="U32" s="1573">
        <f t="shared" si="13"/>
        <v>100</v>
      </c>
      <c r="V32" s="1572" t="s">
        <v>11</v>
      </c>
      <c r="W32" s="1573">
        <f t="shared" si="14"/>
        <v>100</v>
      </c>
      <c r="X32" s="1566"/>
      <c r="Y32" s="3740" t="s">
        <v>551</v>
      </c>
      <c r="Z32" s="1574" t="str">
        <f t="shared" si="15"/>
        <v>建筑类型</v>
      </c>
      <c r="AA32" s="1575">
        <f t="shared" si="3"/>
        <v>1</v>
      </c>
      <c r="AB32" s="1575">
        <f t="shared" si="4"/>
        <v>1</v>
      </c>
      <c r="AC32" s="1575">
        <f t="shared" si="5"/>
        <v>1</v>
      </c>
    </row>
    <row r="33" spans="1:29" s="1337" customFormat="1" ht="15">
      <c r="A33" s="603"/>
      <c r="B33" s="527" t="s">
        <v>727</v>
      </c>
      <c r="C33" s="879">
        <f>'数据-基础表'!B3</f>
        <v>358341</v>
      </c>
      <c r="D33" s="255">
        <v>100</v>
      </c>
      <c r="E33" s="534">
        <v>700000</v>
      </c>
      <c r="F33" s="863">
        <f>LOOKUP(E33,103:103,104:104)-LOOKUP(C33,103:103,104:104)+100</f>
        <v>101</v>
      </c>
      <c r="G33" s="533">
        <v>380000</v>
      </c>
      <c r="H33" s="255">
        <f>LOOKUP(G33,103:103,104:104)-LOOKUP(C33,103:103,104:104)+100</f>
        <v>100</v>
      </c>
      <c r="I33" s="534">
        <v>762080</v>
      </c>
      <c r="J33" s="255">
        <f>LOOKUP(I33,103:103,104:104)-LOOKUP(C33,103:103,104:104)+100</f>
        <v>101</v>
      </c>
      <c r="K33" s="865"/>
      <c r="L33" s="2140"/>
      <c r="M33" s="2171"/>
      <c r="N33" s="2171"/>
      <c r="O33" s="2143"/>
      <c r="P33" s="3740"/>
      <c r="Q33" s="1604" t="str">
        <f t="shared" si="11"/>
        <v>项目建筑规模</v>
      </c>
      <c r="R33" s="1576" t="s">
        <v>11</v>
      </c>
      <c r="S33" s="1577">
        <f t="shared" si="12"/>
        <v>101</v>
      </c>
      <c r="T33" s="1576" t="s">
        <v>11</v>
      </c>
      <c r="U33" s="1577">
        <f t="shared" si="13"/>
        <v>100</v>
      </c>
      <c r="V33" s="1576" t="s">
        <v>11</v>
      </c>
      <c r="W33" s="1577">
        <f t="shared" si="14"/>
        <v>101</v>
      </c>
      <c r="X33" s="1578"/>
      <c r="Y33" s="3740"/>
      <c r="Z33" s="1579" t="str">
        <f t="shared" si="15"/>
        <v>项目建筑规模</v>
      </c>
      <c r="AA33" s="1575">
        <f t="shared" si="3"/>
        <v>0.99009900990099009</v>
      </c>
      <c r="AB33" s="1575">
        <f t="shared" si="4"/>
        <v>1</v>
      </c>
      <c r="AC33" s="1575">
        <f t="shared" si="5"/>
        <v>0.99009900990099009</v>
      </c>
    </row>
    <row r="34" spans="1:29" ht="15">
      <c r="A34" s="594"/>
      <c r="B34" s="527" t="s">
        <v>728</v>
      </c>
      <c r="C34" s="3506" t="s">
        <v>3417</v>
      </c>
      <c r="D34" s="540">
        <v>100</v>
      </c>
      <c r="E34" s="3509" t="s">
        <v>3417</v>
      </c>
      <c r="F34" s="575">
        <f>SUMIF(105:105,E34,106:106)-SUMIF(105:105,C34,106:106)+100</f>
        <v>100</v>
      </c>
      <c r="G34" s="3506" t="s">
        <v>3417</v>
      </c>
      <c r="H34" s="540">
        <f>SUMIF(105:105,G34,106:106)-SUMIF(105:105,C34,106:106)+100</f>
        <v>100</v>
      </c>
      <c r="I34" s="3509" t="s">
        <v>3417</v>
      </c>
      <c r="J34" s="540">
        <f>SUMIF(105:105,I34,106:106)-SUMIF(105:105,C34,106:106)+100</f>
        <v>100</v>
      </c>
      <c r="K34" s="864"/>
      <c r="L34" s="2142"/>
      <c r="M34" s="2134"/>
      <c r="N34" s="2134"/>
      <c r="O34" s="2141"/>
      <c r="P34" s="3740"/>
      <c r="Q34" s="1571" t="str">
        <f t="shared" si="11"/>
        <v>建筑结构</v>
      </c>
      <c r="R34" s="1572" t="s">
        <v>11</v>
      </c>
      <c r="S34" s="1573">
        <f t="shared" si="12"/>
        <v>100</v>
      </c>
      <c r="T34" s="1572" t="s">
        <v>11</v>
      </c>
      <c r="U34" s="1573">
        <f t="shared" si="13"/>
        <v>100</v>
      </c>
      <c r="V34" s="1572" t="s">
        <v>11</v>
      </c>
      <c r="W34" s="1573">
        <f t="shared" si="14"/>
        <v>100</v>
      </c>
      <c r="X34" s="1566"/>
      <c r="Y34" s="3740"/>
      <c r="Z34" s="1574" t="str">
        <f t="shared" si="15"/>
        <v>建筑结构</v>
      </c>
      <c r="AA34" s="1575">
        <f t="shared" si="3"/>
        <v>1</v>
      </c>
      <c r="AB34" s="1575">
        <f t="shared" si="4"/>
        <v>1</v>
      </c>
      <c r="AC34" s="1575">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740"/>
      <c r="Q35" s="1571" t="str">
        <f t="shared" si="11"/>
        <v>建筑品质</v>
      </c>
      <c r="R35" s="1572" t="s">
        <v>11</v>
      </c>
      <c r="S35" s="1573">
        <f t="shared" si="12"/>
        <v>100</v>
      </c>
      <c r="T35" s="1572" t="s">
        <v>11</v>
      </c>
      <c r="U35" s="1573">
        <f t="shared" si="13"/>
        <v>100</v>
      </c>
      <c r="V35" s="1572" t="s">
        <v>11</v>
      </c>
      <c r="W35" s="1573">
        <f t="shared" si="14"/>
        <v>100</v>
      </c>
      <c r="X35" s="1566"/>
      <c r="Y35" s="3740"/>
      <c r="Z35" s="1574" t="str">
        <f t="shared" si="15"/>
        <v>建筑品质</v>
      </c>
      <c r="AA35" s="1575">
        <f t="shared" si="3"/>
        <v>1</v>
      </c>
      <c r="AB35" s="1575">
        <f t="shared" si="4"/>
        <v>1</v>
      </c>
      <c r="AC35" s="1575">
        <f t="shared" si="5"/>
        <v>1</v>
      </c>
    </row>
    <row r="36" spans="1:29" ht="15">
      <c r="A36" s="594"/>
      <c r="B36" s="527" t="s">
        <v>730</v>
      </c>
      <c r="C36" s="3507" t="s">
        <v>3418</v>
      </c>
      <c r="D36" s="540">
        <v>100</v>
      </c>
      <c r="E36" s="3508" t="s">
        <v>3418</v>
      </c>
      <c r="F36" s="575">
        <f>SUMIF(109:109,E36,110:110)-SUMIF(109:109,C36,110:110)+100</f>
        <v>100</v>
      </c>
      <c r="G36" s="3507" t="s">
        <v>3418</v>
      </c>
      <c r="H36" s="540">
        <f>SUMIF(109:109,G36,110:110)-SUMIF(109:109,C36,110:110)+100</f>
        <v>100</v>
      </c>
      <c r="I36" s="3508" t="s">
        <v>3418</v>
      </c>
      <c r="J36" s="540">
        <f>SUMIF(109:109,I36,110:110)-SUMIF(109:109,C36,110:110)+100</f>
        <v>100</v>
      </c>
      <c r="K36" s="864"/>
      <c r="L36" s="2142"/>
      <c r="M36" s="2134"/>
      <c r="N36" s="2134"/>
      <c r="O36" s="2141"/>
      <c r="P36" s="3740"/>
      <c r="Q36" s="1571" t="str">
        <f t="shared" si="11"/>
        <v>公共部分装修</v>
      </c>
      <c r="R36" s="1572" t="s">
        <v>11</v>
      </c>
      <c r="S36" s="1573">
        <f t="shared" si="12"/>
        <v>100</v>
      </c>
      <c r="T36" s="1572" t="s">
        <v>11</v>
      </c>
      <c r="U36" s="1573">
        <f t="shared" si="13"/>
        <v>100</v>
      </c>
      <c r="V36" s="1572" t="s">
        <v>11</v>
      </c>
      <c r="W36" s="1573">
        <f t="shared" si="14"/>
        <v>100</v>
      </c>
      <c r="X36" s="1566"/>
      <c r="Y36" s="3740"/>
      <c r="Z36" s="1574" t="str">
        <f t="shared" si="15"/>
        <v>公共部分装修</v>
      </c>
      <c r="AA36" s="1575">
        <f t="shared" si="3"/>
        <v>1</v>
      </c>
      <c r="AB36" s="1575">
        <f t="shared" si="4"/>
        <v>1</v>
      </c>
      <c r="AC36" s="1575">
        <f t="shared" si="5"/>
        <v>1</v>
      </c>
    </row>
    <row r="37" spans="1:29" s="1218" customFormat="1" ht="15">
      <c r="A37" s="600"/>
      <c r="B37" s="527" t="s">
        <v>731</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5"/>
      <c r="M37" s="2136"/>
      <c r="N37" s="2136"/>
      <c r="O37" s="2137"/>
      <c r="P37" s="3740"/>
      <c r="Q37" s="1149" t="str">
        <f t="shared" si="11"/>
        <v>成新度</v>
      </c>
      <c r="R37" s="1567" t="s">
        <v>11</v>
      </c>
      <c r="S37" s="1568">
        <f t="shared" si="12"/>
        <v>100</v>
      </c>
      <c r="T37" s="1567" t="s">
        <v>11</v>
      </c>
      <c r="U37" s="1568">
        <f t="shared" si="13"/>
        <v>100</v>
      </c>
      <c r="V37" s="1567" t="s">
        <v>11</v>
      </c>
      <c r="W37" s="1568">
        <f t="shared" si="14"/>
        <v>100</v>
      </c>
      <c r="X37" s="1569"/>
      <c r="Y37" s="3740"/>
      <c r="Z37" s="1148" t="str">
        <f t="shared" si="15"/>
        <v>成新度</v>
      </c>
      <c r="AA37" s="1570">
        <f t="shared" si="3"/>
        <v>1</v>
      </c>
      <c r="AB37" s="1570">
        <f t="shared" si="4"/>
        <v>1</v>
      </c>
      <c r="AC37" s="1570">
        <f t="shared" si="5"/>
        <v>1</v>
      </c>
    </row>
    <row r="38" spans="1:29" ht="15">
      <c r="A38" s="594"/>
      <c r="B38" s="527" t="s">
        <v>732</v>
      </c>
      <c r="C38" s="3507" t="s">
        <v>3419</v>
      </c>
      <c r="D38" s="540">
        <v>100</v>
      </c>
      <c r="E38" s="3508" t="s">
        <v>3419</v>
      </c>
      <c r="F38" s="575">
        <f>SUMIF(114:114,E38,115:115)-SUMIF(114:114,C38,115:115)+100</f>
        <v>100</v>
      </c>
      <c r="G38" s="3507" t="s">
        <v>3419</v>
      </c>
      <c r="H38" s="540">
        <f>SUMIF(114:114,G38,115:115)-SUMIF(114:114,C38,115:115)+100</f>
        <v>100</v>
      </c>
      <c r="I38" s="3508" t="s">
        <v>3419</v>
      </c>
      <c r="J38" s="540">
        <f>SUMIF(114:114,I38,115:115)-SUMIF(114:114,C38,115:115)+100</f>
        <v>100</v>
      </c>
      <c r="K38" s="864"/>
      <c r="L38" s="2142"/>
      <c r="M38" s="2134"/>
      <c r="N38" s="2134"/>
      <c r="O38" s="2141"/>
      <c r="P38" s="3740" t="s">
        <v>551</v>
      </c>
      <c r="Q38" s="1571" t="str">
        <f t="shared" si="11"/>
        <v>物业管理</v>
      </c>
      <c r="R38" s="1572" t="s">
        <v>11</v>
      </c>
      <c r="S38" s="1573">
        <f t="shared" si="12"/>
        <v>100</v>
      </c>
      <c r="T38" s="1572" t="s">
        <v>11</v>
      </c>
      <c r="U38" s="1573">
        <f t="shared" si="13"/>
        <v>100</v>
      </c>
      <c r="V38" s="1572" t="s">
        <v>11</v>
      </c>
      <c r="W38" s="1573">
        <f t="shared" si="14"/>
        <v>100</v>
      </c>
      <c r="X38" s="1566"/>
      <c r="Y38" s="3740" t="s">
        <v>551</v>
      </c>
      <c r="Z38" s="1574" t="str">
        <f t="shared" si="15"/>
        <v>物业管理</v>
      </c>
      <c r="AA38" s="1575">
        <f t="shared" si="3"/>
        <v>1</v>
      </c>
      <c r="AB38" s="1575">
        <f t="shared" si="4"/>
        <v>1</v>
      </c>
      <c r="AC38" s="1575">
        <f t="shared" si="5"/>
        <v>1</v>
      </c>
    </row>
    <row r="39" spans="1:29" ht="15">
      <c r="A39" s="594"/>
      <c r="B39" s="1895" t="s">
        <v>2566</v>
      </c>
      <c r="C39" s="3507" t="s">
        <v>3420</v>
      </c>
      <c r="D39" s="540">
        <v>100</v>
      </c>
      <c r="E39" s="3508" t="s">
        <v>3420</v>
      </c>
      <c r="F39" s="575">
        <f>SUMIF(116:116,E39,117:117)-SUMIF(116:116,C39,117:117)+100</f>
        <v>100</v>
      </c>
      <c r="G39" s="3507" t="s">
        <v>3420</v>
      </c>
      <c r="H39" s="540">
        <f>SUMIF(116:116,G39,117:117)-SUMIF(116:116,C39,117:117)+100</f>
        <v>100</v>
      </c>
      <c r="I39" s="3508" t="s">
        <v>3420</v>
      </c>
      <c r="J39" s="540">
        <f>SUMIF(116:116,I39,117:117)-SUMIF(116:116,C39,117:117)+100</f>
        <v>100</v>
      </c>
      <c r="K39" s="864"/>
      <c r="L39" s="2142"/>
      <c r="M39" s="2134"/>
      <c r="N39" s="2134"/>
      <c r="O39" s="2141"/>
      <c r="P39" s="3740"/>
      <c r="Q39" s="1571" t="str">
        <f t="shared" si="11"/>
        <v>市政基础设施</v>
      </c>
      <c r="R39" s="1572" t="s">
        <v>11</v>
      </c>
      <c r="S39" s="1573">
        <f t="shared" si="12"/>
        <v>100</v>
      </c>
      <c r="T39" s="1572" t="s">
        <v>11</v>
      </c>
      <c r="U39" s="1573">
        <f t="shared" si="13"/>
        <v>100</v>
      </c>
      <c r="V39" s="1572" t="s">
        <v>11</v>
      </c>
      <c r="W39" s="1573">
        <f t="shared" si="14"/>
        <v>100</v>
      </c>
      <c r="X39" s="1566"/>
      <c r="Y39" s="3740"/>
      <c r="Z39" s="1574" t="str">
        <f t="shared" si="15"/>
        <v>市政基础设施</v>
      </c>
      <c r="AA39" s="1575">
        <f t="shared" si="3"/>
        <v>1</v>
      </c>
      <c r="AB39" s="1575">
        <f t="shared" si="4"/>
        <v>1</v>
      </c>
      <c r="AC39" s="1575">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740"/>
      <c r="Q40" s="1571" t="str">
        <f t="shared" si="11"/>
        <v>房型</v>
      </c>
      <c r="R40" s="1572" t="s">
        <v>11</v>
      </c>
      <c r="S40" s="1573">
        <f t="shared" si="12"/>
        <v>100</v>
      </c>
      <c r="T40" s="1572" t="s">
        <v>11</v>
      </c>
      <c r="U40" s="1573">
        <f t="shared" si="13"/>
        <v>100</v>
      </c>
      <c r="V40" s="1572" t="s">
        <v>11</v>
      </c>
      <c r="W40" s="1573">
        <f t="shared" si="14"/>
        <v>100</v>
      </c>
      <c r="X40" s="1566"/>
      <c r="Y40" s="3740"/>
      <c r="Z40" s="1574" t="str">
        <f t="shared" si="15"/>
        <v>房型</v>
      </c>
      <c r="AA40" s="1575">
        <f t="shared" si="3"/>
        <v>1</v>
      </c>
      <c r="AB40" s="1575">
        <f t="shared" si="4"/>
        <v>1</v>
      </c>
      <c r="AC40" s="1575">
        <f t="shared" si="5"/>
        <v>1</v>
      </c>
    </row>
    <row r="41" spans="1:29" s="1337" customFormat="1" ht="28.5">
      <c r="A41" s="603"/>
      <c r="B41" s="527" t="s">
        <v>734</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740"/>
      <c r="Q41" s="1604" t="str">
        <f t="shared" si="11"/>
        <v>单套/主力户型建筑面积</v>
      </c>
      <c r="R41" s="1576" t="s">
        <v>11</v>
      </c>
      <c r="S41" s="1577">
        <f t="shared" si="12"/>
        <v>100</v>
      </c>
      <c r="T41" s="1576" t="s">
        <v>11</v>
      </c>
      <c r="U41" s="1577">
        <f t="shared" si="13"/>
        <v>100</v>
      </c>
      <c r="V41" s="1576" t="s">
        <v>11</v>
      </c>
      <c r="W41" s="1577">
        <f t="shared" si="14"/>
        <v>100</v>
      </c>
      <c r="X41" s="1578"/>
      <c r="Y41" s="3740"/>
      <c r="Z41" s="1579" t="str">
        <f t="shared" si="15"/>
        <v>单套/主力户型建筑面积</v>
      </c>
      <c r="AA41" s="1575">
        <f t="shared" si="3"/>
        <v>1</v>
      </c>
      <c r="AB41" s="1575">
        <f t="shared" si="4"/>
        <v>1</v>
      </c>
      <c r="AC41" s="1575">
        <f t="shared" si="5"/>
        <v>1</v>
      </c>
    </row>
    <row r="42" spans="1:29" ht="15">
      <c r="A42" s="594"/>
      <c r="B42" s="527" t="s">
        <v>735</v>
      </c>
      <c r="C42" s="3507" t="s">
        <v>3421</v>
      </c>
      <c r="D42" s="540">
        <v>100</v>
      </c>
      <c r="E42" s="3508" t="s">
        <v>3423</v>
      </c>
      <c r="F42" s="575">
        <f>SUMIF(122:122,E42,123:123)-SUMIF(122:122,C42,123:123)+100</f>
        <v>92.5</v>
      </c>
      <c r="G42" s="3507" t="s">
        <v>3423</v>
      </c>
      <c r="H42" s="540">
        <f>SUMIF(122:122,G42,123:123)-SUMIF(122:122,C42,123:123)+100</f>
        <v>92.5</v>
      </c>
      <c r="I42" s="3508" t="s">
        <v>3423</v>
      </c>
      <c r="J42" s="540">
        <f>SUMIF(122:122,I42,123:123)-SUMIF(122:122,C42,123:123)+100</f>
        <v>92.5</v>
      </c>
      <c r="K42" s="864">
        <v>2.5</v>
      </c>
      <c r="L42" s="2142"/>
      <c r="M42" s="2134"/>
      <c r="N42" s="2134"/>
      <c r="O42" s="2141"/>
      <c r="P42" s="3740"/>
      <c r="Q42" s="1571" t="str">
        <f t="shared" si="11"/>
        <v>内部装修</v>
      </c>
      <c r="R42" s="1572" t="s">
        <v>11</v>
      </c>
      <c r="S42" s="1573">
        <f t="shared" si="12"/>
        <v>92.5</v>
      </c>
      <c r="T42" s="1572" t="s">
        <v>11</v>
      </c>
      <c r="U42" s="1573">
        <f t="shared" si="13"/>
        <v>92.5</v>
      </c>
      <c r="V42" s="1572" t="s">
        <v>11</v>
      </c>
      <c r="W42" s="1573">
        <f t="shared" si="14"/>
        <v>92.5</v>
      </c>
      <c r="X42" s="1566"/>
      <c r="Y42" s="3740"/>
      <c r="Z42" s="1574" t="str">
        <f t="shared" si="15"/>
        <v>内部装修</v>
      </c>
      <c r="AA42" s="1575">
        <f t="shared" si="3"/>
        <v>1.0810810810810811</v>
      </c>
      <c r="AB42" s="1575">
        <f t="shared" si="4"/>
        <v>1.0810810810810811</v>
      </c>
      <c r="AC42" s="1575">
        <f t="shared" si="5"/>
        <v>1.0810810810810811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740"/>
      <c r="Q43" s="1571" t="str">
        <f t="shared" si="11"/>
        <v>内部装修维护情况</v>
      </c>
      <c r="R43" s="1572" t="s">
        <v>11</v>
      </c>
      <c r="S43" s="1573">
        <f t="shared" si="12"/>
        <v>100</v>
      </c>
      <c r="T43" s="1572" t="s">
        <v>11</v>
      </c>
      <c r="U43" s="1573">
        <f t="shared" si="13"/>
        <v>100</v>
      </c>
      <c r="V43" s="1572" t="s">
        <v>11</v>
      </c>
      <c r="W43" s="1573">
        <f t="shared" si="14"/>
        <v>100</v>
      </c>
      <c r="X43" s="1566"/>
      <c r="Y43" s="3740"/>
      <c r="Z43" s="1574" t="str">
        <f t="shared" si="15"/>
        <v>内部装修维护情况</v>
      </c>
      <c r="AA43" s="1575">
        <f t="shared" si="3"/>
        <v>1</v>
      </c>
      <c r="AB43" s="1575">
        <f t="shared" si="4"/>
        <v>1</v>
      </c>
      <c r="AC43" s="1575">
        <f t="shared" si="5"/>
        <v>1</v>
      </c>
    </row>
    <row r="44" spans="1:29" s="1218"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5"/>
      <c r="M44" s="2136"/>
      <c r="N44" s="2136"/>
      <c r="O44" s="2137"/>
      <c r="P44" s="3740"/>
      <c r="Q44" s="1149">
        <f t="shared" si="11"/>
        <v>111</v>
      </c>
      <c r="R44" s="1567" t="s">
        <v>11</v>
      </c>
      <c r="S44" s="1568">
        <f t="shared" si="12"/>
        <v>100</v>
      </c>
      <c r="T44" s="1567" t="s">
        <v>11</v>
      </c>
      <c r="U44" s="1568">
        <f t="shared" si="13"/>
        <v>100</v>
      </c>
      <c r="V44" s="1567" t="s">
        <v>11</v>
      </c>
      <c r="W44" s="1568">
        <f t="shared" si="14"/>
        <v>100</v>
      </c>
      <c r="X44" s="1569"/>
      <c r="Y44" s="3740"/>
      <c r="Z44" s="1148">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740"/>
      <c r="Q45" s="1571">
        <f t="shared" si="11"/>
        <v>111</v>
      </c>
      <c r="R45" s="1572" t="s">
        <v>11</v>
      </c>
      <c r="S45" s="1573">
        <f t="shared" si="12"/>
        <v>100</v>
      </c>
      <c r="T45" s="1572" t="s">
        <v>11</v>
      </c>
      <c r="U45" s="1573">
        <f t="shared" si="13"/>
        <v>100</v>
      </c>
      <c r="V45" s="1572" t="s">
        <v>11</v>
      </c>
      <c r="W45" s="1573">
        <f t="shared" si="14"/>
        <v>100</v>
      </c>
      <c r="X45" s="1566"/>
      <c r="Y45" s="3740"/>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796"/>
      <c r="Q46" s="1571">
        <f t="shared" si="11"/>
        <v>111</v>
      </c>
      <c r="R46" s="1572" t="s">
        <v>10</v>
      </c>
      <c r="S46" s="1573">
        <f t="shared" si="12"/>
        <v>100</v>
      </c>
      <c r="T46" s="1572" t="s">
        <v>10</v>
      </c>
      <c r="U46" s="1573">
        <f t="shared" si="13"/>
        <v>100</v>
      </c>
      <c r="V46" s="1572" t="s">
        <v>10</v>
      </c>
      <c r="W46" s="1573">
        <f t="shared" si="14"/>
        <v>100</v>
      </c>
      <c r="X46" s="1566"/>
      <c r="Y46" s="3796"/>
      <c r="Z46" s="1574">
        <f t="shared" si="15"/>
        <v>111</v>
      </c>
      <c r="AA46" s="1575">
        <f t="shared" si="3"/>
        <v>1</v>
      </c>
      <c r="AB46" s="1575">
        <f t="shared" si="4"/>
        <v>1</v>
      </c>
      <c r="AC46" s="1575">
        <f t="shared" si="5"/>
        <v>1</v>
      </c>
    </row>
    <row r="47" spans="1:29" ht="15">
      <c r="A47" s="607" t="s">
        <v>737</v>
      </c>
      <c r="B47" s="886"/>
      <c r="C47" s="2651" t="s">
        <v>9</v>
      </c>
      <c r="D47" s="2652"/>
      <c r="E47" s="2653">
        <v>7600</v>
      </c>
      <c r="F47" s="2654"/>
      <c r="G47" s="2655">
        <v>8400</v>
      </c>
      <c r="H47" s="2656"/>
      <c r="I47" s="2653">
        <v>8500</v>
      </c>
      <c r="J47" s="2656"/>
      <c r="K47" s="1605"/>
      <c r="L47" s="2144"/>
      <c r="M47" s="2145"/>
      <c r="N47" s="2134"/>
      <c r="O47" s="2145"/>
      <c r="P47" s="3703" t="str">
        <f>A47</f>
        <v>成交单价（元/平方米）</v>
      </c>
      <c r="Q47" s="3703"/>
      <c r="R47" s="3795">
        <f>E47</f>
        <v>7600</v>
      </c>
      <c r="S47" s="3795"/>
      <c r="T47" s="3795">
        <f>G47</f>
        <v>8400</v>
      </c>
      <c r="U47" s="3795"/>
      <c r="V47" s="3795">
        <f>I47</f>
        <v>8500</v>
      </c>
      <c r="W47" s="3795"/>
      <c r="X47" s="1558"/>
      <c r="Y47" s="1580"/>
      <c r="Z47" s="1558"/>
      <c r="AA47" s="1558"/>
      <c r="AB47" s="1558"/>
      <c r="AC47" s="1558"/>
    </row>
    <row r="48" spans="1:29" ht="15.75" thickBot="1">
      <c r="A48" s="615" t="s">
        <v>2762</v>
      </c>
      <c r="B48" s="887"/>
      <c r="C48" s="2657">
        <f>R49</f>
        <v>8543</v>
      </c>
      <c r="D48" s="2658"/>
      <c r="E48" s="2659">
        <f>R48</f>
        <v>7975</v>
      </c>
      <c r="F48" s="2659"/>
      <c r="G48" s="2657">
        <f>T48</f>
        <v>9081</v>
      </c>
      <c r="H48" s="2658"/>
      <c r="I48" s="2659">
        <f>V48</f>
        <v>8573</v>
      </c>
      <c r="J48" s="2658"/>
      <c r="K48" s="1606"/>
      <c r="L48" s="2144"/>
      <c r="M48" s="2145"/>
      <c r="N48" s="2145"/>
      <c r="O48" s="2145"/>
      <c r="P48" s="3703" t="str">
        <f>A48</f>
        <v>比较价格（元/平方米）</v>
      </c>
      <c r="Q48" s="3703"/>
      <c r="R48" s="3795">
        <f>IF(F1="售价",ROUND(PRODUCT(R47,AA7:AA46),0),ROUND(PRODUCT(R47,AA7:AA46),1))</f>
        <v>7975</v>
      </c>
      <c r="S48" s="3795"/>
      <c r="T48" s="3795">
        <f>IF(F1="售价",ROUND(PRODUCT(T47,AB7:AB46),0),ROUND(PRODUCT(T47,AB7:AB46),1))</f>
        <v>9081</v>
      </c>
      <c r="U48" s="3795"/>
      <c r="V48" s="3795">
        <f>IF(F1="售价",ROUND(PRODUCT(V47,AC7:AC46),0),ROUND(PRODUCT(V47,AC7:AC46),1))</f>
        <v>8573</v>
      </c>
      <c r="W48" s="3795"/>
      <c r="X48" s="1558"/>
      <c r="Y48" s="1558"/>
      <c r="Z48" s="1558"/>
      <c r="AA48" s="1558"/>
      <c r="AB48" s="1558"/>
      <c r="AC48" s="1558"/>
    </row>
    <row r="49" spans="1:29" ht="15.75" thickBot="1">
      <c r="A49" s="621" t="s">
        <v>2931</v>
      </c>
      <c r="B49" s="622"/>
      <c r="C49" s="2660">
        <f>R49</f>
        <v>8543</v>
      </c>
      <c r="D49" s="2660"/>
      <c r="E49" s="2660"/>
      <c r="F49" s="2660"/>
      <c r="G49" s="2660"/>
      <c r="H49" s="2660"/>
      <c r="I49" s="2660"/>
      <c r="J49" s="2660"/>
      <c r="K49" s="1607"/>
      <c r="L49" s="2144"/>
      <c r="M49" s="2145"/>
      <c r="N49" s="2145"/>
      <c r="O49" s="2145"/>
      <c r="P49" s="3700" t="str">
        <f>A49</f>
        <v>估价对象XX用房的比较价格（楼面单价，元/平方米）</v>
      </c>
      <c r="Q49" s="3701"/>
      <c r="R49" s="3794">
        <f>IF(F1="售价",ROUND(AVERAGE(R48:V48),0),ROUND(AVERAGE(R48:V48),1))</f>
        <v>8543</v>
      </c>
      <c r="S49" s="3794"/>
      <c r="T49" s="3794"/>
      <c r="U49" s="3794"/>
      <c r="V49" s="3794"/>
      <c r="W49" s="379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4.9342105263157965E-2</v>
      </c>
      <c r="F52" s="627" t="str">
        <f>IF(OR(E52&gt;=0.3,E52&lt;=-0.3),"超过30%","")</f>
        <v/>
      </c>
      <c r="G52" s="626">
        <f>IF(G47&lt;G48,G48/G47-1,G47/G48-1)</f>
        <v>8.1071428571428461E-2</v>
      </c>
      <c r="H52" s="627" t="str">
        <f>IF(OR(G52&gt;=0.3,G52&lt;=-0.3),"超过30%","")</f>
        <v/>
      </c>
      <c r="I52" s="626">
        <f>IF(I47&lt;I48,I48/I47-1,I47/I48-1)</f>
        <v>8.5882352941175633E-3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0.1386833855799372</v>
      </c>
      <c r="F53" s="627" t="str">
        <f>IF(OR(E53&gt;=0.2,E53&lt;=-0.2),"超过20%","")</f>
        <v/>
      </c>
      <c r="G53" s="626">
        <f>IF(G48&lt;I48,I48/G48-1,G48/I48-1)</f>
        <v>5.925580310276457E-2</v>
      </c>
      <c r="H53" s="627" t="str">
        <f>IF(OR(G53&gt;=0.2,G53&lt;=-0.2),"超过20%","")</f>
        <v/>
      </c>
      <c r="I53" s="626">
        <f>IF(I48&lt;E48,E48/I48-1,I48/E48-1)</f>
        <v>7.4984326018808778E-2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4" t="s">
        <v>560</v>
      </c>
      <c r="D54" s="628"/>
      <c r="E54" s="626">
        <f>IF(E47&lt;G47,G47/E47-1,E47/G47-1)</f>
        <v>0.10526315789473695</v>
      </c>
      <c r="F54" s="627" t="str">
        <f>IF(OR(E54&gt;=0.3,E54&lt;=-0.3),"超过30%","")</f>
        <v/>
      </c>
      <c r="G54" s="626">
        <f>IF(G47&lt;I47,I47/G47-1,G47/I47-1)</f>
        <v>1.1904761904761862E-2</v>
      </c>
      <c r="H54" s="627" t="str">
        <f>IF(OR(G54&gt;=0.3,G54&lt;=-0.3),"超过30%","")</f>
        <v/>
      </c>
      <c r="I54" s="626">
        <f>IF(I47&lt;E47,E47/I47-1,I47/E47-1)</f>
        <v>0.11842105263157898</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5" t="s">
        <v>530</v>
      </c>
      <c r="B58" s="646"/>
      <c r="C58" s="2829" t="str">
        <f>YEAR(C7)&amp;"-"&amp;MONTH(C7)</f>
        <v>2018-2</v>
      </c>
      <c r="D58" s="2829">
        <f>EDATE(C58,-1)</f>
        <v>43101</v>
      </c>
      <c r="E58" s="2829">
        <f t="shared" ref="E58:O58" si="16">EDATE(D58,-1)</f>
        <v>43070</v>
      </c>
      <c r="F58" s="2829">
        <f t="shared" si="16"/>
        <v>43040</v>
      </c>
      <c r="G58" s="2829">
        <f t="shared" si="16"/>
        <v>43009</v>
      </c>
      <c r="H58" s="2829">
        <f t="shared" si="16"/>
        <v>42979</v>
      </c>
      <c r="I58" s="2829">
        <f t="shared" si="16"/>
        <v>42948</v>
      </c>
      <c r="J58" s="2829">
        <f t="shared" si="16"/>
        <v>42917</v>
      </c>
      <c r="K58" s="2829">
        <f t="shared" si="16"/>
        <v>42887</v>
      </c>
      <c r="L58" s="2829">
        <f t="shared" si="16"/>
        <v>42856</v>
      </c>
      <c r="M58" s="2829">
        <f t="shared" si="16"/>
        <v>42826</v>
      </c>
      <c r="N58" s="2829">
        <f t="shared" si="16"/>
        <v>42795</v>
      </c>
      <c r="O58" s="2829">
        <f t="shared" si="16"/>
        <v>42767</v>
      </c>
      <c r="P58" s="2160"/>
      <c r="Q58" s="2161"/>
      <c r="R58" s="2161"/>
      <c r="S58" s="2161"/>
      <c r="T58" s="2161"/>
      <c r="U58" s="2161"/>
      <c r="V58" s="2161"/>
      <c r="W58" s="2161"/>
      <c r="X58" s="2161"/>
      <c r="Y58" s="2161"/>
      <c r="Z58" s="2161"/>
      <c r="AA58" s="2161"/>
      <c r="AB58" s="2161"/>
      <c r="AC58" s="2161"/>
    </row>
    <row r="59" spans="1:29" s="1218" customFormat="1" ht="15">
      <c r="A59" s="647"/>
      <c r="B59" s="648"/>
      <c r="C59" s="649">
        <v>100</v>
      </c>
      <c r="D59" s="650">
        <v>100</v>
      </c>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8"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8"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2560</v>
      </c>
      <c r="C82" s="2622" t="s">
        <v>2561</v>
      </c>
      <c r="D82" s="2622" t="s">
        <v>2562</v>
      </c>
      <c r="E82" s="2622" t="s">
        <v>2563</v>
      </c>
      <c r="F82" s="2622" t="s">
        <v>2564</v>
      </c>
      <c r="G82" s="2622" t="s">
        <v>2565</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3"/>
      <c r="I83" s="933"/>
      <c r="J83" s="933"/>
      <c r="K83" s="933"/>
      <c r="L83" s="933"/>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9"/>
      <c r="B88" s="673" t="s">
        <v>747</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0(含)-100000</v>
      </c>
      <c r="D102" s="708" t="str">
        <f t="shared" ref="D102:L102" si="23">D103&amp;"(含)"&amp;"-"&amp;E103</f>
        <v>100000(含)-500000</v>
      </c>
      <c r="E102" s="708" t="str">
        <f t="shared" si="23"/>
        <v>500000(含)-1000000</v>
      </c>
      <c r="F102" s="708" t="str">
        <f t="shared" si="23"/>
        <v>1000000(含)-200000</v>
      </c>
      <c r="G102" s="708" t="str">
        <f t="shared" si="23"/>
        <v>200000(含)-3000000</v>
      </c>
      <c r="H102" s="708" t="str">
        <f t="shared" si="23"/>
        <v>3000000(含)-4000000</v>
      </c>
      <c r="I102" s="708" t="str">
        <f t="shared" si="23"/>
        <v>4000000(含)-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8"/>
      <c r="B103" s="729"/>
      <c r="C103" s="730">
        <v>0</v>
      </c>
      <c r="D103" s="730">
        <v>100000</v>
      </c>
      <c r="E103" s="730">
        <v>500000</v>
      </c>
      <c r="F103" s="730">
        <v>1000000</v>
      </c>
      <c r="G103" s="730">
        <v>200000</v>
      </c>
      <c r="H103" s="730">
        <v>3000000</v>
      </c>
      <c r="I103" s="730">
        <v>4000000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7"/>
      <c r="B104" s="678"/>
      <c r="C104" s="692">
        <v>100</v>
      </c>
      <c r="D104" s="671">
        <v>101</v>
      </c>
      <c r="E104" s="692">
        <v>102</v>
      </c>
      <c r="F104" s="671">
        <v>103</v>
      </c>
      <c r="G104" s="692">
        <v>104</v>
      </c>
      <c r="H104" s="671">
        <v>105</v>
      </c>
      <c r="I104" s="692">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8"/>
      <c r="B120" s="673" t="s">
        <v>734</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510" t="s">
        <v>3421</v>
      </c>
      <c r="D122" s="3510" t="s">
        <v>3418</v>
      </c>
      <c r="E122" s="3510" t="s">
        <v>3424</v>
      </c>
      <c r="F122" s="3504" t="s">
        <v>3423</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97.5</v>
      </c>
      <c r="E123" s="679">
        <f t="shared" si="29"/>
        <v>95</v>
      </c>
      <c r="F123" s="679">
        <f t="shared" si="29"/>
        <v>92.5</v>
      </c>
      <c r="G123" s="679">
        <f t="shared" si="29"/>
        <v>90</v>
      </c>
      <c r="H123" s="679">
        <f t="shared" si="29"/>
        <v>87.5</v>
      </c>
      <c r="I123" s="679">
        <f t="shared" si="29"/>
        <v>85</v>
      </c>
      <c r="J123" s="679">
        <f t="shared" si="29"/>
        <v>82.5</v>
      </c>
      <c r="K123" s="679">
        <f t="shared" si="29"/>
        <v>80</v>
      </c>
      <c r="L123" s="679">
        <f t="shared" si="29"/>
        <v>77.5</v>
      </c>
      <c r="M123" s="679">
        <f t="shared" si="29"/>
        <v>75</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80" zoomScaleNormal="80" workbookViewId="0">
      <selection activeCell="K37" sqref="K3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503" t="s">
        <v>758</v>
      </c>
      <c r="C1" s="504" t="s">
        <v>721</v>
      </c>
      <c r="D1" s="2370" t="s">
        <v>3364</v>
      </c>
      <c r="E1" s="506"/>
      <c r="F1" s="2832" t="s">
        <v>3422</v>
      </c>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850">
        <f>ROUND(B3*D3/10000,0)</f>
        <v>5821</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520</v>
      </c>
      <c r="B3" s="510">
        <f>C49</f>
        <v>11116</v>
      </c>
      <c r="C3" s="852" t="s">
        <v>723</v>
      </c>
      <c r="D3" s="851">
        <f>SUMIF('数据-汇总表'!$C19:$C33,D1,'数据-汇总表'!$E19:$E33)</f>
        <v>5237</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522</v>
      </c>
      <c r="B4" s="513"/>
      <c r="C4" s="3709" t="s">
        <v>523</v>
      </c>
      <c r="D4" s="3710"/>
      <c r="E4" s="3743" t="s">
        <v>524</v>
      </c>
      <c r="F4" s="3744"/>
      <c r="G4" s="3709" t="s">
        <v>525</v>
      </c>
      <c r="H4" s="3710"/>
      <c r="I4" s="3709" t="s">
        <v>526</v>
      </c>
      <c r="J4" s="3710"/>
      <c r="K4" s="514" t="s">
        <v>527</v>
      </c>
      <c r="L4" s="2133"/>
      <c r="M4" s="2134"/>
      <c r="N4" s="2134"/>
      <c r="O4" s="2134"/>
      <c r="P4" s="3711" t="s">
        <v>528</v>
      </c>
      <c r="Q4" s="3712"/>
      <c r="R4" s="3717" t="s">
        <v>524</v>
      </c>
      <c r="S4" s="3718"/>
      <c r="T4" s="3717" t="s">
        <v>525</v>
      </c>
      <c r="U4" s="3718"/>
      <c r="V4" s="3704" t="s">
        <v>526</v>
      </c>
      <c r="W4" s="3704"/>
      <c r="X4" s="1566"/>
      <c r="Y4" s="3717" t="s">
        <v>528</v>
      </c>
      <c r="Z4" s="3718"/>
      <c r="AA4" s="3706" t="s">
        <v>524</v>
      </c>
      <c r="AB4" s="3704" t="s">
        <v>525</v>
      </c>
      <c r="AC4" s="3706" t="s">
        <v>526</v>
      </c>
    </row>
    <row r="5" spans="1:29" ht="15">
      <c r="A5" s="515"/>
      <c r="B5" s="516"/>
      <c r="C5" s="3725" t="s">
        <v>2925</v>
      </c>
      <c r="D5" s="3726"/>
      <c r="E5" s="3800" t="s">
        <v>3438</v>
      </c>
      <c r="F5" s="3746"/>
      <c r="G5" s="3798" t="s">
        <v>3463</v>
      </c>
      <c r="H5" s="3726"/>
      <c r="I5" s="3798" t="s">
        <v>3436</v>
      </c>
      <c r="J5" s="3726"/>
      <c r="K5" s="514"/>
      <c r="L5" s="2133"/>
      <c r="M5" s="2134"/>
      <c r="N5" s="2134"/>
      <c r="O5" s="2134"/>
      <c r="P5" s="3713"/>
      <c r="Q5" s="3714"/>
      <c r="R5" s="3719"/>
      <c r="S5" s="3720"/>
      <c r="T5" s="3719"/>
      <c r="U5" s="3720"/>
      <c r="V5" s="3704"/>
      <c r="W5" s="3704"/>
      <c r="X5" s="1566"/>
      <c r="Y5" s="3719"/>
      <c r="Z5" s="3720"/>
      <c r="AA5" s="3707"/>
      <c r="AB5" s="3704"/>
      <c r="AC5" s="3707"/>
    </row>
    <row r="6" spans="1:29" ht="15.75" thickBot="1">
      <c r="A6" s="517"/>
      <c r="B6" s="518"/>
      <c r="C6" s="3723" t="s">
        <v>2929</v>
      </c>
      <c r="D6" s="3724"/>
      <c r="E6" s="3741" t="s">
        <v>2929</v>
      </c>
      <c r="F6" s="3742"/>
      <c r="G6" s="3723" t="s">
        <v>2929</v>
      </c>
      <c r="H6" s="3724"/>
      <c r="I6" s="3723" t="s">
        <v>2929</v>
      </c>
      <c r="J6" s="3724"/>
      <c r="K6" s="514" t="s">
        <v>529</v>
      </c>
      <c r="L6" s="2133"/>
      <c r="M6" s="2134"/>
      <c r="N6" s="2134"/>
      <c r="O6" s="2134"/>
      <c r="P6" s="3715"/>
      <c r="Q6" s="3716"/>
      <c r="R6" s="3719"/>
      <c r="S6" s="3720"/>
      <c r="T6" s="3721"/>
      <c r="U6" s="3722"/>
      <c r="V6" s="3704"/>
      <c r="W6" s="3704"/>
      <c r="X6" s="1566"/>
      <c r="Y6" s="3721"/>
      <c r="Z6" s="3722"/>
      <c r="AA6" s="3708"/>
      <c r="AB6" s="3704"/>
      <c r="AC6" s="3708"/>
    </row>
    <row r="7" spans="1:29" s="1218" customFormat="1" ht="15.75" thickBot="1">
      <c r="A7" s="2936"/>
      <c r="B7" s="2943" t="s">
        <v>530</v>
      </c>
      <c r="C7" s="519">
        <f>'数据-取费表'!B2</f>
        <v>43138</v>
      </c>
      <c r="D7" s="520">
        <v>100</v>
      </c>
      <c r="E7" s="521">
        <v>43132</v>
      </c>
      <c r="F7" s="522">
        <f>SUMIF(58:58,YEAR(E7)&amp;"-"&amp;MONTH(E7),59:59)</f>
        <v>100</v>
      </c>
      <c r="G7" s="521">
        <v>43132</v>
      </c>
      <c r="H7" s="520">
        <f>SUMIF(58:58,YEAR(G7)&amp;"-"&amp;MONTH(G7),59:59)</f>
        <v>100</v>
      </c>
      <c r="I7" s="521">
        <v>43132</v>
      </c>
      <c r="J7" s="520">
        <f>SUMIF(58:58,YEAR(I7)&amp;"-"&amp;MONTH(I7),59:59)</f>
        <v>100</v>
      </c>
      <c r="K7" s="524"/>
      <c r="L7" s="2135"/>
      <c r="M7" s="2136"/>
      <c r="N7" s="2136"/>
      <c r="O7" s="2136"/>
      <c r="P7" s="3734" t="s">
        <v>531</v>
      </c>
      <c r="Q7" s="3736"/>
      <c r="R7" s="1567" t="s">
        <v>8</v>
      </c>
      <c r="S7" s="1568">
        <f t="shared" ref="S7:S15" si="0">F7</f>
        <v>100</v>
      </c>
      <c r="T7" s="1567" t="s">
        <v>8</v>
      </c>
      <c r="U7" s="1568">
        <f t="shared" ref="U7:U15" si="1">H7</f>
        <v>100</v>
      </c>
      <c r="V7" s="1567" t="s">
        <v>8</v>
      </c>
      <c r="W7" s="1568">
        <f t="shared" ref="W7:W15" si="2">J7</f>
        <v>100</v>
      </c>
      <c r="X7" s="1569"/>
      <c r="Y7" s="3734" t="s">
        <v>531</v>
      </c>
      <c r="Z7" s="3735"/>
      <c r="AA7" s="1570">
        <f>D7/F7</f>
        <v>1</v>
      </c>
      <c r="AB7" s="1570">
        <f>D7/H7</f>
        <v>1</v>
      </c>
      <c r="AC7" s="1570">
        <f>D7/J7</f>
        <v>1</v>
      </c>
    </row>
    <row r="8" spans="1:29" s="1218" customFormat="1" ht="15.75" thickBot="1">
      <c r="A8" s="2937"/>
      <c r="B8" s="2944" t="s">
        <v>532</v>
      </c>
      <c r="C8" s="525" t="s">
        <v>577</v>
      </c>
      <c r="D8" s="520">
        <v>100</v>
      </c>
      <c r="E8" s="3501" t="s">
        <v>3461</v>
      </c>
      <c r="F8" s="522">
        <f>SUMIF(61:61,E8,62:62)-SUMIF(61:61,C8,62:62)+100</f>
        <v>100</v>
      </c>
      <c r="G8" s="3501" t="s">
        <v>3461</v>
      </c>
      <c r="H8" s="520">
        <f>SUMIF(61:61,G8,62:62)-SUMIF(61:61,C8,62:62)+100</f>
        <v>100</v>
      </c>
      <c r="I8" s="3501" t="s">
        <v>3470</v>
      </c>
      <c r="J8" s="520">
        <f>SUMIF(61:61,I8,62:62)-SUMIF(61:61,C8,62:62)+100</f>
        <v>100</v>
      </c>
      <c r="K8" s="524"/>
      <c r="L8" s="2135"/>
      <c r="M8" s="2136"/>
      <c r="N8" s="2136"/>
      <c r="O8" s="2136"/>
      <c r="P8" s="3734" t="s">
        <v>534</v>
      </c>
      <c r="Q8" s="3735"/>
      <c r="R8" s="1567" t="s">
        <v>8</v>
      </c>
      <c r="S8" s="1568">
        <f t="shared" si="0"/>
        <v>100</v>
      </c>
      <c r="T8" s="1567" t="s">
        <v>8</v>
      </c>
      <c r="U8" s="1568">
        <f t="shared" si="1"/>
        <v>100</v>
      </c>
      <c r="V8" s="1567" t="s">
        <v>8</v>
      </c>
      <c r="W8" s="1568">
        <f t="shared" si="2"/>
        <v>100</v>
      </c>
      <c r="X8" s="1569"/>
      <c r="Y8" s="3734" t="s">
        <v>534</v>
      </c>
      <c r="Z8" s="3735"/>
      <c r="AA8" s="1570">
        <f t="shared" ref="AA8:AA46" si="3">D8/F8</f>
        <v>1</v>
      </c>
      <c r="AB8" s="1570">
        <f t="shared" ref="AB8:AB46" si="4">D8/H8</f>
        <v>1</v>
      </c>
      <c r="AC8" s="1570">
        <f t="shared" ref="AC8:AC46" si="5">D8/J8</f>
        <v>1</v>
      </c>
    </row>
    <row r="9" spans="1:29" s="1218" customFormat="1" ht="15">
      <c r="A9" s="2938"/>
      <c r="B9" s="2945" t="s">
        <v>2758</v>
      </c>
      <c r="C9" s="3511" t="s">
        <v>3443</v>
      </c>
      <c r="D9" s="254">
        <v>100</v>
      </c>
      <c r="E9" s="3513" t="s">
        <v>3443</v>
      </c>
      <c r="F9" s="254">
        <f>SUMIF(63:63,E9,64:64)-SUMIF(63:63,C9,64:64)+100</f>
        <v>100</v>
      </c>
      <c r="G9" s="3512" t="s">
        <v>3443</v>
      </c>
      <c r="H9" s="254">
        <f>SUMIF(63:63,G9,64:64)-SUMIF(63:63,C9,64:64)+100</f>
        <v>100</v>
      </c>
      <c r="I9" s="3512" t="s">
        <v>3471</v>
      </c>
      <c r="J9" s="254">
        <f>SUMIF(63:63,I9,64:64)-SUMIF(63:63,C9,64:64)+100</f>
        <v>100</v>
      </c>
      <c r="K9" s="524"/>
      <c r="L9" s="2135"/>
      <c r="M9" s="2136"/>
      <c r="N9" s="2136"/>
      <c r="O9" s="2137"/>
      <c r="P9" s="3703" t="s">
        <v>536</v>
      </c>
      <c r="Q9" s="1149" t="str">
        <f t="shared" ref="Q9:Q15" si="6">B9</f>
        <v>用途</v>
      </c>
      <c r="R9" s="1567" t="s">
        <v>8</v>
      </c>
      <c r="S9" s="1568">
        <f t="shared" si="0"/>
        <v>100</v>
      </c>
      <c r="T9" s="1567" t="s">
        <v>8</v>
      </c>
      <c r="U9" s="1568">
        <f t="shared" si="1"/>
        <v>100</v>
      </c>
      <c r="V9" s="1567" t="s">
        <v>8</v>
      </c>
      <c r="W9" s="1568">
        <f t="shared" si="2"/>
        <v>100</v>
      </c>
      <c r="X9" s="1569"/>
      <c r="Y9" s="3649" t="s">
        <v>537</v>
      </c>
      <c r="Z9" s="1148" t="str">
        <f t="shared" ref="Z9:Z15" si="7">Q9</f>
        <v>用途</v>
      </c>
      <c r="AA9" s="1570">
        <f t="shared" si="3"/>
        <v>1</v>
      </c>
      <c r="AB9" s="1570">
        <f t="shared" si="4"/>
        <v>1</v>
      </c>
      <c r="AC9" s="1570">
        <f t="shared" si="5"/>
        <v>1</v>
      </c>
    </row>
    <row r="10" spans="1:29" s="1336" customFormat="1" ht="27">
      <c r="A10" s="2939"/>
      <c r="B10" s="2944" t="s">
        <v>2759</v>
      </c>
      <c r="C10" s="861" t="s">
        <v>3442</v>
      </c>
      <c r="D10" s="255">
        <v>100</v>
      </c>
      <c r="E10" s="861" t="s">
        <v>3442</v>
      </c>
      <c r="F10" s="255">
        <f>SUMIF(65:65,E10,66:66)-SUMIF(65:65,C10,66:66)+100</f>
        <v>100</v>
      </c>
      <c r="G10" s="862" t="s">
        <v>3465</v>
      </c>
      <c r="H10" s="255">
        <f>SUMIF(65:65,G10,66:66)-SUMIF(65:65,C10,66:66)+100</f>
        <v>98</v>
      </c>
      <c r="I10" s="861" t="s">
        <v>3442</v>
      </c>
      <c r="J10" s="255">
        <f>SUMIF(65:65,I10,66:66)-SUMIF(65:65,C10,66:66)+100</f>
        <v>100</v>
      </c>
      <c r="K10" s="584">
        <v>2</v>
      </c>
      <c r="L10" s="2138"/>
      <c r="M10" s="2178"/>
      <c r="N10" s="2178"/>
      <c r="O10" s="2139"/>
      <c r="P10" s="3703"/>
      <c r="Q10" s="1149" t="str">
        <f t="shared" si="6"/>
        <v>土地使用年限（年）</v>
      </c>
      <c r="R10" s="1567" t="s">
        <v>8</v>
      </c>
      <c r="S10" s="1568">
        <f t="shared" si="0"/>
        <v>100</v>
      </c>
      <c r="T10" s="1567" t="s">
        <v>8</v>
      </c>
      <c r="U10" s="1568">
        <f t="shared" si="1"/>
        <v>98</v>
      </c>
      <c r="V10" s="1567" t="s">
        <v>8</v>
      </c>
      <c r="W10" s="1568">
        <f t="shared" si="2"/>
        <v>100</v>
      </c>
      <c r="X10" s="1569"/>
      <c r="Y10" s="3649"/>
      <c r="Z10" s="1148" t="str">
        <f t="shared" si="7"/>
        <v>土地使用年限（年）</v>
      </c>
      <c r="AA10" s="1570">
        <f t="shared" si="3"/>
        <v>1</v>
      </c>
      <c r="AB10" s="1570">
        <f t="shared" si="4"/>
        <v>1.0204081632653061</v>
      </c>
      <c r="AC10" s="1570">
        <f t="shared" si="5"/>
        <v>1</v>
      </c>
    </row>
    <row r="11" spans="1:29" ht="15">
      <c r="A11" s="2940"/>
      <c r="B11" s="2944" t="s">
        <v>2760</v>
      </c>
      <c r="C11" s="533">
        <v>3.5</v>
      </c>
      <c r="D11" s="255">
        <v>100</v>
      </c>
      <c r="E11" s="533">
        <v>3.5</v>
      </c>
      <c r="F11" s="255">
        <f>LOOKUP(E11,68:68,69:69)-LOOKUP(C11,68:68,69:69)+100</f>
        <v>100</v>
      </c>
      <c r="G11" s="534"/>
      <c r="H11" s="255">
        <f>LOOKUP(G11,68:68,69:69)-LOOKUP(C11,68:68,69:69)+100</f>
        <v>100</v>
      </c>
      <c r="I11" s="533">
        <v>1.4</v>
      </c>
      <c r="J11" s="255">
        <f>LOOKUP(I11,68:68,69:69)-LOOKUP(C11,68:68,69:69)+100</f>
        <v>100</v>
      </c>
      <c r="K11" s="584">
        <v>0</v>
      </c>
      <c r="L11" s="2140"/>
      <c r="M11" s="2134"/>
      <c r="N11" s="2134"/>
      <c r="O11" s="2141"/>
      <c r="P11" s="3703"/>
      <c r="Q11" s="1149" t="str">
        <f t="shared" si="6"/>
        <v>容积率</v>
      </c>
      <c r="R11" s="1567" t="s">
        <v>8</v>
      </c>
      <c r="S11" s="1568">
        <f t="shared" si="0"/>
        <v>100</v>
      </c>
      <c r="T11" s="1567" t="s">
        <v>8</v>
      </c>
      <c r="U11" s="1568">
        <f t="shared" si="1"/>
        <v>100</v>
      </c>
      <c r="V11" s="1567" t="s">
        <v>8</v>
      </c>
      <c r="W11" s="1568">
        <f t="shared" si="2"/>
        <v>100</v>
      </c>
      <c r="X11" s="1569"/>
      <c r="Y11" s="3649"/>
      <c r="Z11" s="1148" t="str">
        <f t="shared" si="7"/>
        <v>容积率</v>
      </c>
      <c r="AA11" s="1570">
        <f t="shared" si="3"/>
        <v>1</v>
      </c>
      <c r="AB11" s="1570">
        <f t="shared" si="4"/>
        <v>1</v>
      </c>
      <c r="AC11" s="1570">
        <f t="shared" si="5"/>
        <v>1</v>
      </c>
    </row>
    <row r="12" spans="1:29" s="1218" customFormat="1" ht="15">
      <c r="A12" s="2941"/>
      <c r="B12" s="2947">
        <v>111</v>
      </c>
      <c r="C12" s="528"/>
      <c r="D12" s="538">
        <v>100</v>
      </c>
      <c r="E12" s="539"/>
      <c r="F12" s="255">
        <f>SUMIF(70:70,E12,71:71)-SUMIF(70:70,C12,71:71)+100</f>
        <v>100</v>
      </c>
      <c r="G12" s="910"/>
      <c r="H12" s="255">
        <f>SUMIF(70:70,G12,71:71)-SUMIF(70:70,C12,71:71)+100</f>
        <v>100</v>
      </c>
      <c r="I12" s="539"/>
      <c r="J12" s="255">
        <f>SUMIF(70:70,I12,71:71)-SUMIF(70:70,C12,71:71)+100</f>
        <v>100</v>
      </c>
      <c r="K12" s="581"/>
      <c r="L12" s="2135"/>
      <c r="M12" s="2136"/>
      <c r="N12" s="2136"/>
      <c r="O12" s="2137"/>
      <c r="P12" s="3703"/>
      <c r="Q12" s="1149">
        <f t="shared" si="6"/>
        <v>111</v>
      </c>
      <c r="R12" s="1567" t="s">
        <v>8</v>
      </c>
      <c r="S12" s="1568">
        <f t="shared" si="0"/>
        <v>100</v>
      </c>
      <c r="T12" s="1567" t="s">
        <v>8</v>
      </c>
      <c r="U12" s="1568">
        <f t="shared" si="1"/>
        <v>100</v>
      </c>
      <c r="V12" s="1567" t="s">
        <v>8</v>
      </c>
      <c r="W12" s="1568">
        <f t="shared" si="2"/>
        <v>100</v>
      </c>
      <c r="X12" s="1569"/>
      <c r="Y12" s="3649"/>
      <c r="Z12" s="1148">
        <f t="shared" si="7"/>
        <v>111</v>
      </c>
      <c r="AA12" s="1570">
        <f>D12/F12</f>
        <v>1</v>
      </c>
      <c r="AB12" s="1570">
        <f>D12/H12</f>
        <v>1</v>
      </c>
      <c r="AC12" s="1570">
        <f>D12/J12</f>
        <v>1</v>
      </c>
    </row>
    <row r="13" spans="1:29" ht="15">
      <c r="A13" s="2941"/>
      <c r="B13" s="2947">
        <v>111</v>
      </c>
      <c r="C13" s="539"/>
      <c r="D13" s="540">
        <v>100</v>
      </c>
      <c r="E13" s="539"/>
      <c r="F13" s="255">
        <f>SUMIF(72:72,E13,73:73)-SUMIF(72:72,C13,73:73)+100</f>
        <v>100</v>
      </c>
      <c r="G13" s="910"/>
      <c r="H13" s="540">
        <f>SUMIF(72:72,G13,73:73)-SUMIF(72:72,C13,73:73)+100</f>
        <v>100</v>
      </c>
      <c r="I13" s="539"/>
      <c r="J13" s="540">
        <f>SUMIF(72:72,I13,73:73)-SUMIF(72:72,C13,73:73)+100</f>
        <v>100</v>
      </c>
      <c r="K13" s="581"/>
      <c r="L13" s="2142"/>
      <c r="M13" s="2134"/>
      <c r="N13" s="2134"/>
      <c r="O13" s="2141"/>
      <c r="P13" s="3703"/>
      <c r="Q13" s="1149">
        <f t="shared" si="6"/>
        <v>111</v>
      </c>
      <c r="R13" s="1567" t="s">
        <v>8</v>
      </c>
      <c r="S13" s="1568">
        <f t="shared" si="0"/>
        <v>100</v>
      </c>
      <c r="T13" s="1567" t="s">
        <v>8</v>
      </c>
      <c r="U13" s="1568">
        <f t="shared" si="1"/>
        <v>100</v>
      </c>
      <c r="V13" s="1567" t="s">
        <v>8</v>
      </c>
      <c r="W13" s="1568">
        <f t="shared" si="2"/>
        <v>100</v>
      </c>
      <c r="X13" s="1569"/>
      <c r="Y13" s="3649"/>
      <c r="Z13" s="1148">
        <f t="shared" si="7"/>
        <v>111</v>
      </c>
      <c r="AA13" s="1570">
        <f t="shared" si="3"/>
        <v>1</v>
      </c>
      <c r="AB13" s="1570">
        <f t="shared" si="4"/>
        <v>1</v>
      </c>
      <c r="AC13" s="1570">
        <f t="shared" si="5"/>
        <v>1</v>
      </c>
    </row>
    <row r="14" spans="1:29" ht="15.75" thickBot="1">
      <c r="A14" s="2942"/>
      <c r="B14" s="2948">
        <v>111</v>
      </c>
      <c r="C14" s="545"/>
      <c r="D14" s="546">
        <v>100</v>
      </c>
      <c r="E14" s="545"/>
      <c r="F14" s="546">
        <f>SUMIF(74:74,E14,75:75)-SUMIF(74:74,C14,75:75)+100</f>
        <v>100</v>
      </c>
      <c r="G14" s="910"/>
      <c r="H14" s="546">
        <f>SUMIF(74:74,G14,75:75)-SUMIF(74:74,C14,75:75)+100</f>
        <v>100</v>
      </c>
      <c r="I14" s="539"/>
      <c r="J14" s="546">
        <f>SUMIF(74:74,I14,75:75)-SUMIF(74:74,C14,75:75)+100</f>
        <v>100</v>
      </c>
      <c r="K14" s="581"/>
      <c r="L14" s="2142"/>
      <c r="M14" s="2134"/>
      <c r="N14" s="2134"/>
      <c r="O14" s="2141"/>
      <c r="P14" s="3703"/>
      <c r="Q14" s="1149">
        <f t="shared" si="6"/>
        <v>111</v>
      </c>
      <c r="R14" s="1567" t="s">
        <v>8</v>
      </c>
      <c r="S14" s="1568">
        <f t="shared" si="0"/>
        <v>100</v>
      </c>
      <c r="T14" s="1567" t="s">
        <v>8</v>
      </c>
      <c r="U14" s="1568">
        <f t="shared" si="1"/>
        <v>100</v>
      </c>
      <c r="V14" s="1567" t="s">
        <v>8</v>
      </c>
      <c r="W14" s="1568">
        <f t="shared" si="2"/>
        <v>100</v>
      </c>
      <c r="X14" s="1569"/>
      <c r="Y14" s="3649"/>
      <c r="Z14" s="1148">
        <f t="shared" si="7"/>
        <v>111</v>
      </c>
      <c r="AA14" s="1570">
        <f t="shared" si="3"/>
        <v>1</v>
      </c>
      <c r="AB14" s="1570">
        <f t="shared" si="4"/>
        <v>1</v>
      </c>
      <c r="AC14" s="1570">
        <f t="shared" si="5"/>
        <v>1</v>
      </c>
    </row>
    <row r="15" spans="1:29" ht="71.25">
      <c r="A15" s="2934" t="s">
        <v>2756</v>
      </c>
      <c r="B15" s="166" t="s">
        <v>542</v>
      </c>
      <c r="C15" s="867" t="str">
        <f>估价对象房地状况!C4</f>
        <v>估价对象位于南水园，周边商业氛围一般，人流量一般，商业繁华度一般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737" t="s">
        <v>541</v>
      </c>
      <c r="Q15" s="1571" t="str">
        <f t="shared" si="6"/>
        <v>商业繁华度</v>
      </c>
      <c r="R15" s="1572" t="s">
        <v>8</v>
      </c>
      <c r="S15" s="1573">
        <f t="shared" si="0"/>
        <v>100</v>
      </c>
      <c r="T15" s="1572" t="s">
        <v>8</v>
      </c>
      <c r="U15" s="1573">
        <f t="shared" si="1"/>
        <v>100</v>
      </c>
      <c r="V15" s="1572" t="s">
        <v>8</v>
      </c>
      <c r="W15" s="1573">
        <f t="shared" si="2"/>
        <v>100</v>
      </c>
      <c r="X15" s="1566"/>
      <c r="Y15" s="3737" t="s">
        <v>541</v>
      </c>
      <c r="Z15" s="1574" t="str">
        <f t="shared" si="7"/>
        <v>商业繁华度</v>
      </c>
      <c r="AA15" s="1575">
        <f t="shared" si="3"/>
        <v>1</v>
      </c>
      <c r="AB15" s="1575">
        <f t="shared" si="4"/>
        <v>1</v>
      </c>
      <c r="AC15" s="1575">
        <f t="shared" si="5"/>
        <v>1</v>
      </c>
    </row>
    <row r="16" spans="1:29" ht="15">
      <c r="A16" s="532"/>
      <c r="B16" s="869"/>
      <c r="C16" s="576" t="s">
        <v>3399</v>
      </c>
      <c r="D16" s="555"/>
      <c r="E16" s="576" t="s">
        <v>3399</v>
      </c>
      <c r="F16" s="557"/>
      <c r="G16" s="3516" t="s">
        <v>3446</v>
      </c>
      <c r="H16" s="559"/>
      <c r="I16" s="576" t="s">
        <v>3399</v>
      </c>
      <c r="J16" s="555"/>
      <c r="K16" s="898"/>
      <c r="L16" s="2142"/>
      <c r="M16" s="2134"/>
      <c r="N16" s="2134"/>
      <c r="O16" s="2141"/>
      <c r="P16" s="3738"/>
      <c r="Q16" s="1571"/>
      <c r="R16" s="1572"/>
      <c r="S16" s="1573"/>
      <c r="T16" s="1572"/>
      <c r="U16" s="1573"/>
      <c r="V16" s="1572"/>
      <c r="W16" s="1573"/>
      <c r="X16" s="1566"/>
      <c r="Y16" s="3738"/>
      <c r="Z16" s="1574"/>
      <c r="AA16" s="1575">
        <v>1</v>
      </c>
      <c r="AB16" s="1575">
        <v>1</v>
      </c>
      <c r="AC16" s="1575">
        <v>1</v>
      </c>
    </row>
    <row r="17" spans="1:29" ht="99.75">
      <c r="A17" s="532"/>
      <c r="B17" s="871" t="s">
        <v>296</v>
      </c>
      <c r="C17" s="872" t="str">
        <f>估价对象房地状况!C6</f>
        <v>估价对象周边路网密集度一般、公共交通通达情况一般、停车便捷程度一般，综合评价交通便捷度一般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738"/>
      <c r="Q17" s="1571" t="str">
        <f>B17</f>
        <v>交通便捷度</v>
      </c>
      <c r="R17" s="1572" t="s">
        <v>8</v>
      </c>
      <c r="S17" s="1573">
        <f>F17</f>
        <v>100</v>
      </c>
      <c r="T17" s="1572" t="s">
        <v>8</v>
      </c>
      <c r="U17" s="1573">
        <f>H17</f>
        <v>100</v>
      </c>
      <c r="V17" s="1572" t="s">
        <v>8</v>
      </c>
      <c r="W17" s="1573">
        <f>J17</f>
        <v>100</v>
      </c>
      <c r="X17" s="1566"/>
      <c r="Y17" s="3738"/>
      <c r="Z17" s="1574" t="str">
        <f>Q17</f>
        <v>交通便捷度</v>
      </c>
      <c r="AA17" s="1575">
        <f t="shared" si="3"/>
        <v>1</v>
      </c>
      <c r="AB17" s="1575">
        <f t="shared" si="4"/>
        <v>1</v>
      </c>
      <c r="AC17" s="1575">
        <f t="shared" si="5"/>
        <v>1</v>
      </c>
    </row>
    <row r="18" spans="1:29" ht="15">
      <c r="A18" s="532"/>
      <c r="B18" s="595"/>
      <c r="C18" s="873" t="s">
        <v>3399</v>
      </c>
      <c r="D18" s="559"/>
      <c r="E18" s="568" t="s">
        <v>3399</v>
      </c>
      <c r="F18" s="563"/>
      <c r="G18" s="3515" t="s">
        <v>3446</v>
      </c>
      <c r="H18" s="555"/>
      <c r="I18" s="568" t="s">
        <v>3399</v>
      </c>
      <c r="J18" s="555"/>
      <c r="K18" s="898"/>
      <c r="L18" s="2142"/>
      <c r="M18" s="2134"/>
      <c r="N18" s="2134"/>
      <c r="O18" s="2141"/>
      <c r="P18" s="3738"/>
      <c r="Q18" s="1571"/>
      <c r="R18" s="1572"/>
      <c r="S18" s="1573"/>
      <c r="T18" s="1572"/>
      <c r="U18" s="1573"/>
      <c r="V18" s="1572"/>
      <c r="W18" s="1573"/>
      <c r="X18" s="1566"/>
      <c r="Y18" s="3738"/>
      <c r="Z18" s="1574"/>
      <c r="AA18" s="1575">
        <v>1</v>
      </c>
      <c r="AB18" s="1575">
        <v>1</v>
      </c>
      <c r="AC18" s="1575">
        <v>1</v>
      </c>
    </row>
    <row r="19" spans="1:29" ht="71.25">
      <c r="A19" s="532"/>
      <c r="B19" s="2624" t="s">
        <v>2548</v>
      </c>
      <c r="C19" s="872" t="str">
        <f>估价对象房地状况!C7</f>
        <v>估价对象所在区域公共配套设施齐备情况一般，有雅庭小学、龙溪二中</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738"/>
      <c r="Q19" s="1571" t="str">
        <f>B19</f>
        <v>公共配套设施</v>
      </c>
      <c r="R19" s="1572" t="s">
        <v>8</v>
      </c>
      <c r="S19" s="1573">
        <f>F19</f>
        <v>100</v>
      </c>
      <c r="T19" s="1572" t="s">
        <v>8</v>
      </c>
      <c r="U19" s="1573">
        <f>H19</f>
        <v>100</v>
      </c>
      <c r="V19" s="1572" t="s">
        <v>8</v>
      </c>
      <c r="W19" s="1573">
        <f>J19</f>
        <v>100</v>
      </c>
      <c r="X19" s="1566"/>
      <c r="Y19" s="3738"/>
      <c r="Z19" s="1574" t="str">
        <f>Q19</f>
        <v>公共配套设施</v>
      </c>
      <c r="AA19" s="1575">
        <f t="shared" si="3"/>
        <v>1</v>
      </c>
      <c r="AB19" s="1575">
        <f t="shared" si="4"/>
        <v>1</v>
      </c>
      <c r="AC19" s="1575">
        <f t="shared" si="5"/>
        <v>1</v>
      </c>
    </row>
    <row r="20" spans="1:29" ht="15">
      <c r="A20" s="532"/>
      <c r="B20" s="595"/>
      <c r="C20" s="576" t="s">
        <v>3399</v>
      </c>
      <c r="D20" s="555"/>
      <c r="E20" s="556" t="s">
        <v>3399</v>
      </c>
      <c r="F20" s="557"/>
      <c r="G20" s="3514" t="s">
        <v>3446</v>
      </c>
      <c r="H20" s="555"/>
      <c r="I20" s="556" t="s">
        <v>3399</v>
      </c>
      <c r="J20" s="555"/>
      <c r="K20" s="898"/>
      <c r="L20" s="2142"/>
      <c r="M20" s="2134"/>
      <c r="N20" s="2134"/>
      <c r="O20" s="2141"/>
      <c r="P20" s="3738"/>
      <c r="Q20" s="1571"/>
      <c r="R20" s="1572"/>
      <c r="S20" s="1573"/>
      <c r="T20" s="1572"/>
      <c r="U20" s="1573"/>
      <c r="V20" s="1572"/>
      <c r="W20" s="1573"/>
      <c r="X20" s="1566"/>
      <c r="Y20" s="3738"/>
      <c r="Z20" s="1574"/>
      <c r="AA20" s="1575">
        <v>1</v>
      </c>
      <c r="AB20" s="1575">
        <v>1</v>
      </c>
      <c r="AC20" s="1575">
        <v>1</v>
      </c>
    </row>
    <row r="21" spans="1:29" ht="42.75">
      <c r="A21" s="532"/>
      <c r="B21" s="2617" t="s">
        <v>2560</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738"/>
      <c r="Q21" s="2603" t="str">
        <f>B21</f>
        <v>基础设施水平</v>
      </c>
      <c r="R21" s="1572" t="s">
        <v>8</v>
      </c>
      <c r="S21" s="1573">
        <f>F21</f>
        <v>100</v>
      </c>
      <c r="T21" s="1572" t="s">
        <v>8</v>
      </c>
      <c r="U21" s="1573">
        <f>H21</f>
        <v>100</v>
      </c>
      <c r="V21" s="1572" t="s">
        <v>8</v>
      </c>
      <c r="W21" s="1573">
        <f>J21</f>
        <v>100</v>
      </c>
      <c r="X21" s="2605"/>
      <c r="Y21" s="3738"/>
      <c r="Z21" s="2604" t="str">
        <f>Q21</f>
        <v>基础设施水平</v>
      </c>
      <c r="AA21" s="1575">
        <f t="shared" ref="AA21" si="8">D21/F21</f>
        <v>1</v>
      </c>
      <c r="AB21" s="1575">
        <f t="shared" ref="AB21" si="9">D21/H21</f>
        <v>1</v>
      </c>
      <c r="AC21" s="1575">
        <f t="shared" ref="AC21" si="10">D21/J21</f>
        <v>1</v>
      </c>
    </row>
    <row r="22" spans="1:29" ht="15">
      <c r="A22" s="532"/>
      <c r="B22" s="920"/>
      <c r="C22" s="873" t="s">
        <v>3401</v>
      </c>
      <c r="D22" s="555"/>
      <c r="E22" s="576" t="s">
        <v>3401</v>
      </c>
      <c r="F22" s="557"/>
      <c r="G22" s="3516" t="s">
        <v>3455</v>
      </c>
      <c r="H22" s="555"/>
      <c r="I22" s="576" t="s">
        <v>3401</v>
      </c>
      <c r="J22" s="555"/>
      <c r="K22" s="2626"/>
      <c r="L22" s="2142"/>
      <c r="M22" s="2134"/>
      <c r="N22" s="2134"/>
      <c r="O22" s="2141"/>
      <c r="P22" s="3738"/>
      <c r="Q22" s="2603"/>
      <c r="R22" s="1572"/>
      <c r="S22" s="1573"/>
      <c r="T22" s="1572"/>
      <c r="U22" s="1573"/>
      <c r="V22" s="1572"/>
      <c r="W22" s="1573"/>
      <c r="X22" s="2605"/>
      <c r="Y22" s="3738"/>
      <c r="Z22" s="2604"/>
      <c r="AA22" s="1575">
        <v>1</v>
      </c>
      <c r="AB22" s="1575">
        <v>1</v>
      </c>
      <c r="AC22" s="1575">
        <v>1</v>
      </c>
    </row>
    <row r="23" spans="1:29" ht="99.75">
      <c r="A23" s="532"/>
      <c r="B23" s="871" t="s">
        <v>297</v>
      </c>
      <c r="C23" s="899" t="str">
        <f>估价对象房地状况!C9</f>
        <v>区域自然环境：周边绿化条件较好，有水系；人文环境：缺乏图书馆、剧院等设施；综合评价环境状况较差</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738"/>
      <c r="Q23" s="1571" t="str">
        <f>B23</f>
        <v>自然及人文环境</v>
      </c>
      <c r="R23" s="1572" t="s">
        <v>8</v>
      </c>
      <c r="S23" s="1573">
        <f>F23</f>
        <v>100</v>
      </c>
      <c r="T23" s="1572" t="s">
        <v>8</v>
      </c>
      <c r="U23" s="1573">
        <f>H23</f>
        <v>100</v>
      </c>
      <c r="V23" s="1572" t="s">
        <v>8</v>
      </c>
      <c r="W23" s="1573">
        <f>J23</f>
        <v>100</v>
      </c>
      <c r="X23" s="1566"/>
      <c r="Y23" s="3738"/>
      <c r="Z23" s="1574" t="str">
        <f>Q23</f>
        <v>自然及人文环境</v>
      </c>
      <c r="AA23" s="1575">
        <f t="shared" si="3"/>
        <v>1</v>
      </c>
      <c r="AB23" s="1575">
        <f t="shared" si="4"/>
        <v>1</v>
      </c>
      <c r="AC23" s="1575">
        <f t="shared" si="5"/>
        <v>1</v>
      </c>
    </row>
    <row r="24" spans="1:29" ht="15">
      <c r="A24" s="532"/>
      <c r="B24" s="595"/>
      <c r="C24" s="576" t="s">
        <v>3400</v>
      </c>
      <c r="D24" s="555"/>
      <c r="E24" s="556" t="s">
        <v>3400</v>
      </c>
      <c r="F24" s="557"/>
      <c r="G24" s="3514" t="s">
        <v>3466</v>
      </c>
      <c r="H24" s="555"/>
      <c r="I24" s="556" t="s">
        <v>3400</v>
      </c>
      <c r="J24" s="555"/>
      <c r="K24" s="898"/>
      <c r="L24" s="2142"/>
      <c r="M24" s="2134"/>
      <c r="N24" s="2134"/>
      <c r="O24" s="2141"/>
      <c r="P24" s="3738"/>
      <c r="Q24" s="1571"/>
      <c r="R24" s="1572"/>
      <c r="S24" s="1573"/>
      <c r="T24" s="1572"/>
      <c r="U24" s="1573"/>
      <c r="V24" s="1572"/>
      <c r="W24" s="1573"/>
      <c r="X24" s="1566"/>
      <c r="Y24" s="3738"/>
      <c r="Z24" s="1574"/>
      <c r="AA24" s="1575">
        <v>1</v>
      </c>
      <c r="AB24" s="1575">
        <v>1</v>
      </c>
      <c r="AC24" s="1575">
        <v>1</v>
      </c>
    </row>
    <row r="25" spans="1:29" ht="15">
      <c r="A25" s="532"/>
      <c r="B25" s="527" t="s">
        <v>548</v>
      </c>
      <c r="C25" s="583" t="s">
        <v>3472</v>
      </c>
      <c r="D25" s="540">
        <v>100</v>
      </c>
      <c r="E25" s="3525" t="s">
        <v>3477</v>
      </c>
      <c r="F25" s="575">
        <f>SUMIF(86:86,E25,87:87)-SUMIF(86:86,C25,87:87)+100</f>
        <v>103</v>
      </c>
      <c r="G25" s="3525" t="s">
        <v>3478</v>
      </c>
      <c r="H25" s="540">
        <f>SUMIF(86:86,G25,87:87)-SUMIF(86:86,C25,87:87)+100</f>
        <v>103</v>
      </c>
      <c r="I25" s="3525" t="s">
        <v>3477</v>
      </c>
      <c r="J25" s="540">
        <f>SUMIF(86:86,I25,87:87)-SUMIF(86:86,C25,87:87)+100</f>
        <v>103</v>
      </c>
      <c r="K25" s="584">
        <v>3</v>
      </c>
      <c r="L25" s="2142"/>
      <c r="M25" s="2134"/>
      <c r="N25" s="2134"/>
      <c r="O25" s="2141"/>
      <c r="P25" s="3738"/>
      <c r="Q25" s="1571" t="str">
        <f t="shared" ref="Q25:Q46" si="11">B25</f>
        <v>临街状况</v>
      </c>
      <c r="R25" s="1572" t="s">
        <v>8</v>
      </c>
      <c r="S25" s="1573">
        <f>F25</f>
        <v>103</v>
      </c>
      <c r="T25" s="1572" t="s">
        <v>8</v>
      </c>
      <c r="U25" s="1573">
        <f>H25</f>
        <v>103</v>
      </c>
      <c r="V25" s="1572" t="s">
        <v>8</v>
      </c>
      <c r="W25" s="1573">
        <f>J25</f>
        <v>103</v>
      </c>
      <c r="X25" s="1566"/>
      <c r="Y25" s="3738"/>
      <c r="Z25" s="1574" t="str">
        <f>Q25</f>
        <v>临街状况</v>
      </c>
      <c r="AA25" s="1575">
        <f t="shared" si="3"/>
        <v>0.970873786407767</v>
      </c>
      <c r="AB25" s="1575">
        <f t="shared" si="4"/>
        <v>0.970873786407767</v>
      </c>
      <c r="AC25" s="1575">
        <f t="shared" si="5"/>
        <v>0.970873786407767</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738"/>
      <c r="Q26" s="1571" t="str">
        <f t="shared" si="11"/>
        <v>平面位置/可视性</v>
      </c>
      <c r="R26" s="1572" t="s">
        <v>8</v>
      </c>
      <c r="S26" s="1573">
        <f>F26</f>
        <v>100</v>
      </c>
      <c r="T26" s="1572" t="s">
        <v>8</v>
      </c>
      <c r="U26" s="1573">
        <f>H26</f>
        <v>100</v>
      </c>
      <c r="V26" s="1572" t="s">
        <v>8</v>
      </c>
      <c r="W26" s="1573">
        <f>J26</f>
        <v>100</v>
      </c>
      <c r="X26" s="1566"/>
      <c r="Y26" s="3738"/>
      <c r="Z26" s="1574" t="str">
        <f>Q26</f>
        <v>平面位置/可视性</v>
      </c>
      <c r="AA26" s="1575">
        <f t="shared" si="3"/>
        <v>1</v>
      </c>
      <c r="AB26" s="1575">
        <f t="shared" si="4"/>
        <v>1</v>
      </c>
      <c r="AC26" s="1575">
        <f t="shared" si="5"/>
        <v>1</v>
      </c>
    </row>
    <row r="27" spans="1:29" s="1218" customFormat="1" ht="15">
      <c r="A27" s="536"/>
      <c r="B27" s="871" t="s">
        <v>760</v>
      </c>
      <c r="C27" s="900" t="s">
        <v>3399</v>
      </c>
      <c r="D27" s="875">
        <v>100</v>
      </c>
      <c r="E27" s="900" t="s">
        <v>3399</v>
      </c>
      <c r="F27" s="876">
        <f>SUMIF(90:90,E27,91:91)-SUMIF(90:90,C27,91:91)+100</f>
        <v>100</v>
      </c>
      <c r="G27" s="3523" t="s">
        <v>3446</v>
      </c>
      <c r="H27" s="875">
        <f>SUMIF(90:90,G27,91:91)-SUMIF(90:90,C27,91:91)+100</f>
        <v>100</v>
      </c>
      <c r="I27" s="900" t="s">
        <v>3399</v>
      </c>
      <c r="J27" s="875">
        <f>SUMIF(90:90,I27,91:91)-SUMIF(90:90,C27,91:91)+100</f>
        <v>100</v>
      </c>
      <c r="K27" s="584"/>
      <c r="L27" s="2135"/>
      <c r="M27" s="2136"/>
      <c r="N27" s="2136"/>
      <c r="O27" s="2137"/>
      <c r="P27" s="3738"/>
      <c r="Q27" s="1149" t="str">
        <f t="shared" si="11"/>
        <v>人流量</v>
      </c>
      <c r="R27" s="1567" t="s">
        <v>8</v>
      </c>
      <c r="S27" s="1568">
        <f>F27</f>
        <v>100</v>
      </c>
      <c r="T27" s="1567" t="s">
        <v>8</v>
      </c>
      <c r="U27" s="1568">
        <f>H27</f>
        <v>100</v>
      </c>
      <c r="V27" s="1567" t="s">
        <v>8</v>
      </c>
      <c r="W27" s="1568">
        <f>J27</f>
        <v>100</v>
      </c>
      <c r="X27" s="1569"/>
      <c r="Y27" s="3738"/>
      <c r="Z27" s="1148" t="str">
        <f>Q27</f>
        <v>人流量</v>
      </c>
      <c r="AA27" s="1575">
        <f>D27/F27</f>
        <v>1</v>
      </c>
      <c r="AB27" s="1575">
        <f>D27/H27</f>
        <v>1</v>
      </c>
      <c r="AC27" s="1575">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73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738"/>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738"/>
      <c r="Q29" s="1571">
        <f t="shared" si="11"/>
        <v>111</v>
      </c>
      <c r="R29" s="1572" t="s">
        <v>8</v>
      </c>
      <c r="S29" s="1573">
        <f t="shared" si="12"/>
        <v>100</v>
      </c>
      <c r="T29" s="1572" t="s">
        <v>8</v>
      </c>
      <c r="U29" s="1573">
        <f t="shared" si="13"/>
        <v>100</v>
      </c>
      <c r="V29" s="1572" t="s">
        <v>8</v>
      </c>
      <c r="W29" s="1573">
        <f t="shared" si="14"/>
        <v>100</v>
      </c>
      <c r="X29" s="1566"/>
      <c r="Y29" s="3738"/>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738"/>
      <c r="Q30" s="1571">
        <f t="shared" si="11"/>
        <v>111</v>
      </c>
      <c r="R30" s="1572" t="s">
        <v>8</v>
      </c>
      <c r="S30" s="1573">
        <f t="shared" si="12"/>
        <v>100</v>
      </c>
      <c r="T30" s="1572" t="s">
        <v>8</v>
      </c>
      <c r="U30" s="1573">
        <f t="shared" si="13"/>
        <v>100</v>
      </c>
      <c r="V30" s="1572" t="s">
        <v>8</v>
      </c>
      <c r="W30" s="1573">
        <f t="shared" si="14"/>
        <v>100</v>
      </c>
      <c r="X30" s="1566"/>
      <c r="Y30" s="3738"/>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738"/>
      <c r="Q31" s="1571">
        <f t="shared" si="11"/>
        <v>111</v>
      </c>
      <c r="R31" s="1572" t="s">
        <v>8</v>
      </c>
      <c r="S31" s="1573">
        <f t="shared" si="12"/>
        <v>100</v>
      </c>
      <c r="T31" s="1572" t="s">
        <v>8</v>
      </c>
      <c r="U31" s="1573">
        <f t="shared" si="13"/>
        <v>100</v>
      </c>
      <c r="V31" s="1572" t="s">
        <v>8</v>
      </c>
      <c r="W31" s="1573">
        <f t="shared" si="14"/>
        <v>100</v>
      </c>
      <c r="X31" s="1566"/>
      <c r="Y31" s="3738"/>
      <c r="Z31" s="1574">
        <f t="shared" si="15"/>
        <v>111</v>
      </c>
      <c r="AA31" s="1575">
        <f t="shared" si="3"/>
        <v>1</v>
      </c>
      <c r="AB31" s="1575">
        <f t="shared" si="4"/>
        <v>1</v>
      </c>
      <c r="AC31" s="1575">
        <f t="shared" si="5"/>
        <v>1</v>
      </c>
    </row>
    <row r="32" spans="1:29" ht="15">
      <c r="A32" s="2932" t="s">
        <v>2757</v>
      </c>
      <c r="B32" s="172" t="s">
        <v>763</v>
      </c>
      <c r="C32" s="878" t="s">
        <v>3453</v>
      </c>
      <c r="D32" s="597">
        <v>100</v>
      </c>
      <c r="E32" s="878" t="s">
        <v>3453</v>
      </c>
      <c r="F32" s="575">
        <f>SUMIF(100:100,E32,101:101)-SUMIF(100:100,C32,101:101)+100</f>
        <v>100</v>
      </c>
      <c r="G32" s="3524" t="s">
        <v>3467</v>
      </c>
      <c r="H32" s="540">
        <f>SUMIF(100:100,G32,101:101)-SUMIF(100:100,C32,101:101)+100</f>
        <v>100</v>
      </c>
      <c r="I32" s="3524" t="s">
        <v>3450</v>
      </c>
      <c r="J32" s="597">
        <f>SUMIF(100:100,I32,101:101)-SUMIF(100:100,C32,101:101)+100</f>
        <v>106</v>
      </c>
      <c r="K32" s="584">
        <v>3</v>
      </c>
      <c r="L32" s="2142"/>
      <c r="M32" s="2134"/>
      <c r="N32" s="2134"/>
      <c r="O32" s="2141"/>
      <c r="P32" s="3739" t="s">
        <v>551</v>
      </c>
      <c r="Q32" s="1571" t="str">
        <f t="shared" si="11"/>
        <v>商业类型</v>
      </c>
      <c r="R32" s="1572" t="s">
        <v>8</v>
      </c>
      <c r="S32" s="1573">
        <f t="shared" si="12"/>
        <v>100</v>
      </c>
      <c r="T32" s="1572" t="s">
        <v>8</v>
      </c>
      <c r="U32" s="1573">
        <f t="shared" si="13"/>
        <v>100</v>
      </c>
      <c r="V32" s="1572" t="s">
        <v>8</v>
      </c>
      <c r="W32" s="1573">
        <f t="shared" si="14"/>
        <v>106</v>
      </c>
      <c r="X32" s="1566"/>
      <c r="Y32" s="3740" t="s">
        <v>551</v>
      </c>
      <c r="Z32" s="1574" t="str">
        <f t="shared" si="15"/>
        <v>商业类型</v>
      </c>
      <c r="AA32" s="1575">
        <f t="shared" si="3"/>
        <v>1</v>
      </c>
      <c r="AB32" s="1575">
        <f t="shared" si="4"/>
        <v>1</v>
      </c>
      <c r="AC32" s="1575">
        <f t="shared" si="5"/>
        <v>0.94339622641509435</v>
      </c>
    </row>
    <row r="33" spans="1:29" s="1337" customFormat="1" ht="15">
      <c r="A33" s="603"/>
      <c r="B33" s="527" t="s">
        <v>727</v>
      </c>
      <c r="C33" s="879"/>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0"/>
      <c r="M33" s="2171"/>
      <c r="N33" s="2171"/>
      <c r="O33" s="2143"/>
      <c r="P33" s="3740"/>
      <c r="Q33" s="1604" t="str">
        <f t="shared" si="11"/>
        <v>项目建筑规模</v>
      </c>
      <c r="R33" s="1576" t="s">
        <v>8</v>
      </c>
      <c r="S33" s="1577">
        <f t="shared" si="12"/>
        <v>100</v>
      </c>
      <c r="T33" s="1576" t="s">
        <v>8</v>
      </c>
      <c r="U33" s="1577">
        <f t="shared" si="13"/>
        <v>100</v>
      </c>
      <c r="V33" s="1576" t="s">
        <v>8</v>
      </c>
      <c r="W33" s="1577">
        <f t="shared" si="14"/>
        <v>100</v>
      </c>
      <c r="X33" s="1578"/>
      <c r="Y33" s="3740"/>
      <c r="Z33" s="1579" t="str">
        <f t="shared" si="15"/>
        <v>项目建筑规模</v>
      </c>
      <c r="AA33" s="1575">
        <f t="shared" si="3"/>
        <v>1</v>
      </c>
      <c r="AB33" s="1575">
        <f t="shared" si="4"/>
        <v>1</v>
      </c>
      <c r="AC33" s="1575">
        <f t="shared" si="5"/>
        <v>1</v>
      </c>
    </row>
    <row r="34" spans="1:29" ht="15">
      <c r="A34" s="594"/>
      <c r="B34" s="527" t="s">
        <v>728</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740"/>
      <c r="Q34" s="1571" t="str">
        <f t="shared" si="11"/>
        <v>建筑结构</v>
      </c>
      <c r="R34" s="1572" t="s">
        <v>8</v>
      </c>
      <c r="S34" s="1573">
        <f t="shared" si="12"/>
        <v>100</v>
      </c>
      <c r="T34" s="1572" t="s">
        <v>8</v>
      </c>
      <c r="U34" s="1573">
        <f t="shared" si="13"/>
        <v>100</v>
      </c>
      <c r="V34" s="1572" t="s">
        <v>8</v>
      </c>
      <c r="W34" s="1573">
        <f t="shared" si="14"/>
        <v>100</v>
      </c>
      <c r="X34" s="1566"/>
      <c r="Y34" s="3740"/>
      <c r="Z34" s="1574" t="str">
        <f t="shared" si="15"/>
        <v>建筑结构</v>
      </c>
      <c r="AA34" s="1575">
        <f t="shared" si="3"/>
        <v>1</v>
      </c>
      <c r="AB34" s="1575">
        <f t="shared" si="4"/>
        <v>1</v>
      </c>
      <c r="AC34" s="1575">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740"/>
      <c r="Q35" s="1571" t="str">
        <f t="shared" si="11"/>
        <v>公共部分装修</v>
      </c>
      <c r="R35" s="1572" t="s">
        <v>8</v>
      </c>
      <c r="S35" s="1573">
        <f t="shared" si="12"/>
        <v>100</v>
      </c>
      <c r="T35" s="1572" t="s">
        <v>8</v>
      </c>
      <c r="U35" s="1573">
        <f t="shared" si="13"/>
        <v>100</v>
      </c>
      <c r="V35" s="1572" t="s">
        <v>8</v>
      </c>
      <c r="W35" s="1573">
        <f t="shared" si="14"/>
        <v>100</v>
      </c>
      <c r="X35" s="1566"/>
      <c r="Y35" s="3740"/>
      <c r="Z35" s="1574" t="str">
        <f t="shared" si="15"/>
        <v>公共部分装修</v>
      </c>
      <c r="AA35" s="1575">
        <f t="shared" si="3"/>
        <v>1</v>
      </c>
      <c r="AB35" s="1575">
        <f t="shared" si="4"/>
        <v>1</v>
      </c>
      <c r="AC35" s="1575">
        <f t="shared" si="5"/>
        <v>1</v>
      </c>
    </row>
    <row r="36" spans="1:29" ht="15">
      <c r="A36" s="594"/>
      <c r="B36" s="527" t="s">
        <v>765</v>
      </c>
      <c r="C36" s="882">
        <v>1</v>
      </c>
      <c r="D36" s="540">
        <v>100</v>
      </c>
      <c r="E36" s="882">
        <v>1</v>
      </c>
      <c r="F36" s="575">
        <f>LOOKUP(E36,110:110,111:111)-LOOKUP(C36,110:110,111:111)+100</f>
        <v>100</v>
      </c>
      <c r="G36" s="882">
        <v>0.9</v>
      </c>
      <c r="H36" s="575">
        <f>LOOKUP(G36,110:110,111:111)-LOOKUP(C36,110:110,111:111)+100</f>
        <v>100</v>
      </c>
      <c r="I36" s="882">
        <v>0.95</v>
      </c>
      <c r="J36" s="540">
        <f>LOOKUP(I36,110:110,111:111)-LOOKUP(C36,110:110,111:111)+100</f>
        <v>100</v>
      </c>
      <c r="K36" s="584">
        <v>2</v>
      </c>
      <c r="L36" s="2142"/>
      <c r="M36" s="2134"/>
      <c r="N36" s="2134"/>
      <c r="O36" s="2141"/>
      <c r="P36" s="3740"/>
      <c r="Q36" s="1571" t="str">
        <f t="shared" si="11"/>
        <v>成新度</v>
      </c>
      <c r="R36" s="1572" t="s">
        <v>8</v>
      </c>
      <c r="S36" s="1573">
        <f t="shared" si="12"/>
        <v>100</v>
      </c>
      <c r="T36" s="1572" t="s">
        <v>8</v>
      </c>
      <c r="U36" s="1573">
        <f t="shared" si="13"/>
        <v>100</v>
      </c>
      <c r="V36" s="1572" t="s">
        <v>8</v>
      </c>
      <c r="W36" s="1573">
        <f t="shared" si="14"/>
        <v>100</v>
      </c>
      <c r="X36" s="1566"/>
      <c r="Y36" s="3740"/>
      <c r="Z36" s="1574" t="str">
        <f t="shared" si="15"/>
        <v>成新度</v>
      </c>
      <c r="AA36" s="1575">
        <f t="shared" si="3"/>
        <v>1</v>
      </c>
      <c r="AB36" s="1575">
        <f t="shared" si="4"/>
        <v>1</v>
      </c>
      <c r="AC36" s="1575">
        <f t="shared" si="5"/>
        <v>1</v>
      </c>
    </row>
    <row r="37" spans="1:29" s="1218" customFormat="1" ht="15">
      <c r="A37" s="600"/>
      <c r="B37" s="1895" t="s">
        <v>2567</v>
      </c>
      <c r="C37" s="3507" t="s">
        <v>3455</v>
      </c>
      <c r="D37" s="255">
        <v>100</v>
      </c>
      <c r="E37" s="3507" t="s">
        <v>3455</v>
      </c>
      <c r="F37" s="575">
        <f>SUMIF(112:112,E37,113:113)-SUMIF(112:112,C37,113:113)+100</f>
        <v>100</v>
      </c>
      <c r="G37" s="3507" t="s">
        <v>3455</v>
      </c>
      <c r="H37" s="540">
        <f>SUMIF(112:112,G37,113:113)-SUMIF(112:112,C37,113:113)+100</f>
        <v>100</v>
      </c>
      <c r="I37" s="3507" t="s">
        <v>3455</v>
      </c>
      <c r="J37" s="540">
        <f>SUMIF(112:112,I37,113:113)-SUMIF(112:112,C37,113:113)+100</f>
        <v>100</v>
      </c>
      <c r="K37" s="584"/>
      <c r="L37" s="2135"/>
      <c r="M37" s="2136"/>
      <c r="N37" s="2136"/>
      <c r="O37" s="2137"/>
      <c r="P37" s="3740"/>
      <c r="Q37" s="1149" t="str">
        <f t="shared" si="11"/>
        <v>市政基础设施</v>
      </c>
      <c r="R37" s="1567" t="s">
        <v>8</v>
      </c>
      <c r="S37" s="1568">
        <f t="shared" si="12"/>
        <v>100</v>
      </c>
      <c r="T37" s="1567" t="s">
        <v>8</v>
      </c>
      <c r="U37" s="1568">
        <f t="shared" si="13"/>
        <v>100</v>
      </c>
      <c r="V37" s="1567" t="s">
        <v>8</v>
      </c>
      <c r="W37" s="1568">
        <f t="shared" si="14"/>
        <v>100</v>
      </c>
      <c r="X37" s="1569"/>
      <c r="Y37" s="3740"/>
      <c r="Z37" s="1148" t="str">
        <f t="shared" si="15"/>
        <v>市政基础设施</v>
      </c>
      <c r="AA37" s="1570">
        <f t="shared" si="3"/>
        <v>1</v>
      </c>
      <c r="AB37" s="1570">
        <f t="shared" si="4"/>
        <v>1</v>
      </c>
      <c r="AC37" s="1570">
        <f t="shared" si="5"/>
        <v>1</v>
      </c>
    </row>
    <row r="38" spans="1:29" ht="15">
      <c r="A38" s="594"/>
      <c r="B38" s="527" t="s">
        <v>766</v>
      </c>
      <c r="C38" s="599" t="s">
        <v>3458</v>
      </c>
      <c r="D38" s="540">
        <v>100</v>
      </c>
      <c r="E38" s="3507" t="s">
        <v>3462</v>
      </c>
      <c r="F38" s="575">
        <f>SUMIF(114:114,E38,115:115)-SUMIF(114:114,C38,115:115)+100</f>
        <v>100</v>
      </c>
      <c r="G38" s="3507" t="s">
        <v>3468</v>
      </c>
      <c r="H38" s="540">
        <f>SUMIF(114:114,G38,115:115)-SUMIF(114:114,C38,115:115)+100</f>
        <v>100</v>
      </c>
      <c r="I38" s="3507" t="s">
        <v>3456</v>
      </c>
      <c r="J38" s="540">
        <f>SUMIF(114:114,I38,115:115)-SUMIF(114:114,C38,115:115)+100</f>
        <v>103</v>
      </c>
      <c r="K38" s="584">
        <v>3</v>
      </c>
      <c r="L38" s="2142"/>
      <c r="M38" s="2134"/>
      <c r="N38" s="2134"/>
      <c r="O38" s="2141"/>
      <c r="P38" s="3740" t="s">
        <v>767</v>
      </c>
      <c r="Q38" s="1571" t="str">
        <f t="shared" si="11"/>
        <v>业态</v>
      </c>
      <c r="R38" s="1572" t="s">
        <v>8</v>
      </c>
      <c r="S38" s="1573">
        <f t="shared" si="12"/>
        <v>100</v>
      </c>
      <c r="T38" s="1572" t="s">
        <v>8</v>
      </c>
      <c r="U38" s="1573">
        <f t="shared" si="13"/>
        <v>100</v>
      </c>
      <c r="V38" s="1572" t="s">
        <v>8</v>
      </c>
      <c r="W38" s="1573">
        <f t="shared" si="14"/>
        <v>103</v>
      </c>
      <c r="X38" s="1566"/>
      <c r="Y38" s="3740" t="s">
        <v>767</v>
      </c>
      <c r="Z38" s="1574" t="str">
        <f t="shared" si="15"/>
        <v>业态</v>
      </c>
      <c r="AA38" s="1575">
        <f t="shared" si="3"/>
        <v>1</v>
      </c>
      <c r="AB38" s="1575">
        <f t="shared" si="4"/>
        <v>1</v>
      </c>
      <c r="AC38" s="1575">
        <f t="shared" si="5"/>
        <v>0.970873786407767</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40"/>
      <c r="Q39" s="1571" t="str">
        <f t="shared" si="11"/>
        <v>层高</v>
      </c>
      <c r="R39" s="1572" t="s">
        <v>8</v>
      </c>
      <c r="S39" s="1573">
        <f t="shared" si="12"/>
        <v>100</v>
      </c>
      <c r="T39" s="1572" t="s">
        <v>8</v>
      </c>
      <c r="U39" s="1573">
        <f t="shared" si="13"/>
        <v>100</v>
      </c>
      <c r="V39" s="1572" t="s">
        <v>8</v>
      </c>
      <c r="W39" s="1573">
        <f t="shared" si="14"/>
        <v>100</v>
      </c>
      <c r="X39" s="1566"/>
      <c r="Y39" s="3740"/>
      <c r="Z39" s="1574" t="str">
        <f t="shared" si="15"/>
        <v>层高</v>
      </c>
      <c r="AA39" s="1575">
        <f t="shared" si="3"/>
        <v>1</v>
      </c>
      <c r="AB39" s="1575">
        <f t="shared" si="4"/>
        <v>1</v>
      </c>
      <c r="AC39" s="1575">
        <f t="shared" si="5"/>
        <v>1</v>
      </c>
    </row>
    <row r="40" spans="1:29" ht="15">
      <c r="A40" s="594"/>
      <c r="B40" s="527" t="s">
        <v>769</v>
      </c>
      <c r="C40" s="3529">
        <v>1500</v>
      </c>
      <c r="D40" s="540">
        <v>100</v>
      </c>
      <c r="E40" s="901" t="s">
        <v>3464</v>
      </c>
      <c r="F40" s="575">
        <f>SUMIF(118:118,E40,119:119)-SUMIF(118:118,C40,119:119)+100</f>
        <v>108</v>
      </c>
      <c r="G40" s="901">
        <v>80</v>
      </c>
      <c r="H40" s="540">
        <f>SUMIF(118:118,G40,119:119)-SUMIF(118:118,C40,119:119)+100</f>
        <v>108</v>
      </c>
      <c r="I40" s="901">
        <v>95</v>
      </c>
      <c r="J40" s="540">
        <f>SUMIF(118:118,I40,119:119)-SUMIF(118:118,C40,119:119)+100</f>
        <v>108</v>
      </c>
      <c r="K40" s="581"/>
      <c r="L40" s="2142"/>
      <c r="M40" s="2134"/>
      <c r="N40" s="2134"/>
      <c r="O40" s="2141"/>
      <c r="P40" s="3740"/>
      <c r="Q40" s="1571" t="str">
        <f t="shared" si="11"/>
        <v>单套建筑面积</v>
      </c>
      <c r="R40" s="1572" t="s">
        <v>8</v>
      </c>
      <c r="S40" s="1573">
        <f t="shared" si="12"/>
        <v>108</v>
      </c>
      <c r="T40" s="1572" t="s">
        <v>8</v>
      </c>
      <c r="U40" s="1573">
        <f t="shared" si="13"/>
        <v>108</v>
      </c>
      <c r="V40" s="1572" t="s">
        <v>8</v>
      </c>
      <c r="W40" s="1573">
        <f t="shared" si="14"/>
        <v>108</v>
      </c>
      <c r="X40" s="1566"/>
      <c r="Y40" s="3740"/>
      <c r="Z40" s="1574" t="str">
        <f t="shared" si="15"/>
        <v>单套建筑面积</v>
      </c>
      <c r="AA40" s="1575">
        <f t="shared" si="3"/>
        <v>0.92592592592592593</v>
      </c>
      <c r="AB40" s="1575">
        <f t="shared" si="4"/>
        <v>0.92592592592592593</v>
      </c>
      <c r="AC40" s="1575">
        <f t="shared" si="5"/>
        <v>0.92592592592592593</v>
      </c>
    </row>
    <row r="41" spans="1:29" s="1337" customFormat="1" ht="15">
      <c r="A41" s="603"/>
      <c r="B41" s="902"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740"/>
      <c r="Q41" s="1604" t="str">
        <f t="shared" si="11"/>
        <v>进深比</v>
      </c>
      <c r="R41" s="1576" t="s">
        <v>8</v>
      </c>
      <c r="S41" s="1577">
        <f t="shared" si="12"/>
        <v>100</v>
      </c>
      <c r="T41" s="1576" t="s">
        <v>8</v>
      </c>
      <c r="U41" s="1577">
        <f t="shared" si="13"/>
        <v>100</v>
      </c>
      <c r="V41" s="1576" t="s">
        <v>8</v>
      </c>
      <c r="W41" s="1577">
        <f t="shared" si="14"/>
        <v>100</v>
      </c>
      <c r="X41" s="1578"/>
      <c r="Y41" s="3740"/>
      <c r="Z41" s="1579" t="str">
        <f t="shared" si="15"/>
        <v>进深比</v>
      </c>
      <c r="AA41" s="1575">
        <f t="shared" si="3"/>
        <v>1</v>
      </c>
      <c r="AB41" s="1575">
        <f t="shared" si="4"/>
        <v>1</v>
      </c>
      <c r="AC41" s="1575">
        <f t="shared" si="5"/>
        <v>1</v>
      </c>
    </row>
    <row r="42" spans="1:29" ht="15">
      <c r="A42" s="594"/>
      <c r="B42" s="527" t="s">
        <v>771</v>
      </c>
      <c r="C42" s="3507" t="s">
        <v>3460</v>
      </c>
      <c r="D42" s="540">
        <v>100</v>
      </c>
      <c r="E42" s="3507" t="s">
        <v>3460</v>
      </c>
      <c r="F42" s="575">
        <f>SUMIF(122:122,E42,123:123)-SUMIF(122:122,C42,123:123)+100</f>
        <v>100</v>
      </c>
      <c r="G42" s="3507" t="s">
        <v>3469</v>
      </c>
      <c r="H42" s="540">
        <f>SUMIF(122:122,G42,123:123)-SUMIF(122:122,C42,123:123)+100</f>
        <v>102.5</v>
      </c>
      <c r="I42" s="3507" t="s">
        <v>3460</v>
      </c>
      <c r="J42" s="540">
        <f>SUMIF(122:122,I42,123:123)-SUMIF(122:122,C42,123:123)+100</f>
        <v>100</v>
      </c>
      <c r="K42" s="584">
        <v>2.5</v>
      </c>
      <c r="L42" s="2142"/>
      <c r="M42" s="2134"/>
      <c r="N42" s="2134"/>
      <c r="O42" s="2141"/>
      <c r="P42" s="3740"/>
      <c r="Q42" s="1571" t="str">
        <f t="shared" si="11"/>
        <v>内部装修</v>
      </c>
      <c r="R42" s="1572" t="s">
        <v>8</v>
      </c>
      <c r="S42" s="1573">
        <f t="shared" si="12"/>
        <v>100</v>
      </c>
      <c r="T42" s="1572" t="s">
        <v>8</v>
      </c>
      <c r="U42" s="1573">
        <f t="shared" si="13"/>
        <v>102.5</v>
      </c>
      <c r="V42" s="1572" t="s">
        <v>8</v>
      </c>
      <c r="W42" s="1573">
        <f t="shared" si="14"/>
        <v>100</v>
      </c>
      <c r="X42" s="1566"/>
      <c r="Y42" s="3740"/>
      <c r="Z42" s="1574" t="str">
        <f t="shared" si="15"/>
        <v>内部装修</v>
      </c>
      <c r="AA42" s="1575">
        <f t="shared" si="3"/>
        <v>1</v>
      </c>
      <c r="AB42" s="1575">
        <f t="shared" si="4"/>
        <v>0.97560975609756095</v>
      </c>
      <c r="AC42" s="1575">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740"/>
      <c r="Q43" s="1571" t="str">
        <f t="shared" si="11"/>
        <v>内部装修维护情况</v>
      </c>
      <c r="R43" s="1572" t="s">
        <v>8</v>
      </c>
      <c r="S43" s="1573">
        <f t="shared" si="12"/>
        <v>100</v>
      </c>
      <c r="T43" s="1572" t="s">
        <v>8</v>
      </c>
      <c r="U43" s="1573">
        <f t="shared" si="13"/>
        <v>100</v>
      </c>
      <c r="V43" s="1572" t="s">
        <v>8</v>
      </c>
      <c r="W43" s="1573">
        <f t="shared" si="14"/>
        <v>100</v>
      </c>
      <c r="X43" s="1566"/>
      <c r="Y43" s="3740"/>
      <c r="Z43" s="1574" t="str">
        <f t="shared" si="15"/>
        <v>内部装修维护情况</v>
      </c>
      <c r="AA43" s="1575">
        <f t="shared" si="3"/>
        <v>1</v>
      </c>
      <c r="AB43" s="1575">
        <f t="shared" si="4"/>
        <v>1</v>
      </c>
      <c r="AC43" s="1575">
        <f t="shared" si="5"/>
        <v>1</v>
      </c>
    </row>
    <row r="44" spans="1:29" s="1218"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740"/>
      <c r="Q44" s="1149">
        <f t="shared" si="11"/>
        <v>111</v>
      </c>
      <c r="R44" s="1567" t="s">
        <v>8</v>
      </c>
      <c r="S44" s="1568">
        <f t="shared" si="12"/>
        <v>100</v>
      </c>
      <c r="T44" s="1567" t="s">
        <v>8</v>
      </c>
      <c r="U44" s="1568">
        <f t="shared" si="13"/>
        <v>100</v>
      </c>
      <c r="V44" s="1567" t="s">
        <v>8</v>
      </c>
      <c r="W44" s="1568">
        <f t="shared" si="14"/>
        <v>100</v>
      </c>
      <c r="X44" s="1569"/>
      <c r="Y44" s="3740"/>
      <c r="Z44" s="1148">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740"/>
      <c r="Q45" s="1571">
        <f t="shared" si="11"/>
        <v>111</v>
      </c>
      <c r="R45" s="1572" t="s">
        <v>8</v>
      </c>
      <c r="S45" s="1573">
        <f t="shared" si="12"/>
        <v>100</v>
      </c>
      <c r="T45" s="1572" t="s">
        <v>8</v>
      </c>
      <c r="U45" s="1573">
        <f t="shared" si="13"/>
        <v>100</v>
      </c>
      <c r="V45" s="1572" t="s">
        <v>8</v>
      </c>
      <c r="W45" s="1573">
        <f t="shared" si="14"/>
        <v>100</v>
      </c>
      <c r="X45" s="1566"/>
      <c r="Y45" s="3740"/>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796"/>
      <c r="Q46" s="1571">
        <f t="shared" si="11"/>
        <v>111</v>
      </c>
      <c r="R46" s="1572" t="s">
        <v>8</v>
      </c>
      <c r="S46" s="1573">
        <f t="shared" si="12"/>
        <v>100</v>
      </c>
      <c r="T46" s="1572" t="s">
        <v>8</v>
      </c>
      <c r="U46" s="1573">
        <f t="shared" si="13"/>
        <v>100</v>
      </c>
      <c r="V46" s="1572" t="s">
        <v>8</v>
      </c>
      <c r="W46" s="1573">
        <f t="shared" si="14"/>
        <v>100</v>
      </c>
      <c r="X46" s="1566"/>
      <c r="Y46" s="3796"/>
      <c r="Z46" s="1574">
        <f t="shared" si="15"/>
        <v>111</v>
      </c>
      <c r="AA46" s="1575">
        <f t="shared" si="3"/>
        <v>1</v>
      </c>
      <c r="AB46" s="1575">
        <f t="shared" si="4"/>
        <v>1</v>
      </c>
      <c r="AC46" s="1575">
        <f t="shared" si="5"/>
        <v>1</v>
      </c>
    </row>
    <row r="47" spans="1:29" ht="15">
      <c r="A47" s="607" t="s">
        <v>737</v>
      </c>
      <c r="B47" s="886"/>
      <c r="C47" s="2651" t="s">
        <v>1</v>
      </c>
      <c r="D47" s="2652"/>
      <c r="E47" s="2653">
        <v>12000</v>
      </c>
      <c r="F47" s="2654"/>
      <c r="G47" s="2655">
        <v>11500</v>
      </c>
      <c r="H47" s="2656"/>
      <c r="I47" s="2653">
        <v>14900</v>
      </c>
      <c r="J47" s="2656"/>
      <c r="K47" s="1610"/>
      <c r="L47" s="2144"/>
      <c r="M47" s="2145"/>
      <c r="N47" s="2134"/>
      <c r="O47" s="2145"/>
      <c r="P47" s="3703" t="str">
        <f>A47</f>
        <v>成交单价（元/平方米）</v>
      </c>
      <c r="Q47" s="3703"/>
      <c r="R47" s="3795">
        <f>E47</f>
        <v>12000</v>
      </c>
      <c r="S47" s="3795"/>
      <c r="T47" s="3795">
        <f>G47</f>
        <v>11500</v>
      </c>
      <c r="U47" s="3795"/>
      <c r="V47" s="3795">
        <f>I47</f>
        <v>14900</v>
      </c>
      <c r="W47" s="3795"/>
      <c r="X47" s="1558"/>
      <c r="Y47" s="1580"/>
      <c r="Z47" s="1558"/>
      <c r="AA47" s="1558"/>
      <c r="AB47" s="1558"/>
      <c r="AC47" s="1558"/>
    </row>
    <row r="48" spans="1:29" ht="15.75" thickBot="1">
      <c r="A48" s="615" t="s">
        <v>2762</v>
      </c>
      <c r="B48" s="887"/>
      <c r="C48" s="2657">
        <f>R49</f>
        <v>11116</v>
      </c>
      <c r="D48" s="2658"/>
      <c r="E48" s="2659">
        <f>R48</f>
        <v>10787</v>
      </c>
      <c r="F48" s="2659"/>
      <c r="G48" s="2657">
        <f>T48</f>
        <v>10292</v>
      </c>
      <c r="H48" s="2658"/>
      <c r="I48" s="2659">
        <f>V48</f>
        <v>12268</v>
      </c>
      <c r="J48" s="2658"/>
      <c r="K48" s="1611"/>
      <c r="L48" s="2144"/>
      <c r="M48" s="2145"/>
      <c r="N48" s="2134"/>
      <c r="O48" s="2145"/>
      <c r="P48" s="3703" t="str">
        <f>A48</f>
        <v>比较价格（元/平方米）</v>
      </c>
      <c r="Q48" s="3703"/>
      <c r="R48" s="3795">
        <f>IF(F1="售价",ROUND(PRODUCT(R47,AA7:AA46),0),ROUND(PRODUCT(R47,AA7:AA46),1))</f>
        <v>10787</v>
      </c>
      <c r="S48" s="3795"/>
      <c r="T48" s="3795">
        <f>IF(F1="售价",ROUND(PRODUCT(T47,AB7:AB46),0),ROUND(PRODUCT(T47,AB7:AB46),1))</f>
        <v>10292</v>
      </c>
      <c r="U48" s="3795"/>
      <c r="V48" s="3795">
        <f>IF(F1="售价",ROUND(PRODUCT(V47,AC7:AC46),0),ROUND(PRODUCT(V47,AC7:AC46),1))</f>
        <v>12268</v>
      </c>
      <c r="W48" s="3795"/>
      <c r="X48" s="1558"/>
      <c r="Y48" s="1558"/>
      <c r="Z48" s="1558"/>
      <c r="AA48" s="1558"/>
      <c r="AB48" s="1558"/>
      <c r="AC48" s="1558"/>
    </row>
    <row r="49" spans="1:29" ht="15.75" thickBot="1">
      <c r="A49" s="621" t="s">
        <v>2931</v>
      </c>
      <c r="B49" s="622"/>
      <c r="C49" s="2660">
        <f>R49</f>
        <v>11116</v>
      </c>
      <c r="D49" s="2660"/>
      <c r="E49" s="2660"/>
      <c r="F49" s="2660"/>
      <c r="G49" s="2660"/>
      <c r="H49" s="2660"/>
      <c r="I49" s="2660"/>
      <c r="J49" s="2660"/>
      <c r="K49" s="1612"/>
      <c r="L49" s="2144"/>
      <c r="M49" s="2145"/>
      <c r="N49" s="2134"/>
      <c r="O49" s="2145"/>
      <c r="P49" s="3700" t="str">
        <f>A49</f>
        <v>估价对象XX用房的比较价格（楼面单价，元/平方米）</v>
      </c>
      <c r="Q49" s="3701"/>
      <c r="R49" s="3794">
        <f>IF(F1="售价",ROUND(AVERAGE(R48:V48),0),ROUND(AVERAGE(R48:V48),1))</f>
        <v>11116</v>
      </c>
      <c r="S49" s="3794"/>
      <c r="T49" s="3794"/>
      <c r="U49" s="3794"/>
      <c r="V49" s="3794"/>
      <c r="W49" s="379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0.11245017150273484</v>
      </c>
      <c r="F52" s="627" t="str">
        <f>IF(OR(E52&gt;=0.3,E52&lt;=-0.3),"超过30%","")</f>
        <v/>
      </c>
      <c r="G52" s="626">
        <f>IF(G47&lt;G48,G48/G47-1,G47/G48-1)</f>
        <v>0.1173727166731442</v>
      </c>
      <c r="H52" s="627" t="str">
        <f>IF(OR(G52&gt;=0.3,G52&lt;=-0.3),"超过30%","")</f>
        <v/>
      </c>
      <c r="I52" s="626">
        <f>IF(I47&lt;I48,I48/I47-1,I47/I48-1)</f>
        <v>0.2145418976198239</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4.8095608239409282E-2</v>
      </c>
      <c r="F53" s="627" t="str">
        <f>IF(OR(E53&gt;=0.2,E53&lt;=-0.2),"超过20%","")</f>
        <v/>
      </c>
      <c r="G53" s="626">
        <f>IF(G48&lt;I48,I48/G48-1,G48/I48-1)</f>
        <v>0.19199378157792468</v>
      </c>
      <c r="H53" s="627" t="str">
        <f>IF(OR(G53&gt;=0.2,G53&lt;=-0.2),"超过20%","")</f>
        <v/>
      </c>
      <c r="I53" s="626">
        <f>IF(I48&lt;E48,E48/I48-1,I48/E48-1)</f>
        <v>0.13729489199962908</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4" t="s">
        <v>560</v>
      </c>
      <c r="D54" s="628"/>
      <c r="E54" s="626">
        <f>IF(E47&lt;G47,G47/E47-1,E47/G47-1)</f>
        <v>4.3478260869565188E-2</v>
      </c>
      <c r="F54" s="627" t="str">
        <f>IF(OR(E54&gt;=0.3,E54&lt;=-0.3),"超过30%","")</f>
        <v/>
      </c>
      <c r="G54" s="626">
        <f>IF(G47&lt;I47,I47/G47-1,G47/I47-1)</f>
        <v>0.29565217391304355</v>
      </c>
      <c r="H54" s="627" t="str">
        <f>IF(OR(G54&gt;=0.3,G54&lt;=-0.3),"超过30%","")</f>
        <v/>
      </c>
      <c r="I54" s="626">
        <f>IF(I47&lt;E47,E47/I47-1,I47/E47-1)</f>
        <v>0.2416666666666667</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5" t="s">
        <v>530</v>
      </c>
      <c r="B58" s="646"/>
      <c r="C58" s="2827" t="str">
        <f>YEAR(C7)&amp;"-"&amp;MONTH(C7)</f>
        <v>2018-2</v>
      </c>
      <c r="D58" s="2829">
        <f>EDATE(C58,-1)</f>
        <v>43101</v>
      </c>
      <c r="E58" s="2829">
        <f t="shared" ref="E58:O58" si="16">EDATE(D58,-1)</f>
        <v>43070</v>
      </c>
      <c r="F58" s="2829">
        <f t="shared" si="16"/>
        <v>43040</v>
      </c>
      <c r="G58" s="2829">
        <f t="shared" si="16"/>
        <v>43009</v>
      </c>
      <c r="H58" s="2829">
        <f t="shared" si="16"/>
        <v>42979</v>
      </c>
      <c r="I58" s="2829">
        <f t="shared" si="16"/>
        <v>42948</v>
      </c>
      <c r="J58" s="2829">
        <f t="shared" si="16"/>
        <v>42917</v>
      </c>
      <c r="K58" s="2829">
        <f t="shared" si="16"/>
        <v>42887</v>
      </c>
      <c r="L58" s="2829">
        <f t="shared" si="16"/>
        <v>42856</v>
      </c>
      <c r="M58" s="2829">
        <f t="shared" si="16"/>
        <v>42826</v>
      </c>
      <c r="N58" s="2829">
        <f t="shared" si="16"/>
        <v>42795</v>
      </c>
      <c r="O58" s="2829">
        <f t="shared" si="16"/>
        <v>42767</v>
      </c>
      <c r="P58" s="2160"/>
      <c r="Q58" s="2161"/>
      <c r="R58" s="2161"/>
      <c r="S58" s="2161"/>
      <c r="T58" s="2161"/>
      <c r="U58" s="2161"/>
      <c r="V58" s="2161"/>
      <c r="W58" s="2161"/>
      <c r="X58" s="2161"/>
      <c r="Y58" s="2161"/>
      <c r="Z58" s="2161"/>
      <c r="AA58" s="2161"/>
      <c r="AB58" s="2161"/>
      <c r="AC58" s="2161"/>
    </row>
    <row r="59" spans="1:29" s="1218"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8"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8"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3"/>
    </row>
    <row r="63" spans="1:29">
      <c r="A63" s="664" t="s">
        <v>578</v>
      </c>
      <c r="B63" s="665" t="s">
        <v>535</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0（含）-1</v>
      </c>
      <c r="D67" s="682" t="str">
        <f t="shared" ref="D67:L67" si="17">D68&amp;"（含）"&amp;"-"&amp;E68</f>
        <v>1（含）-2</v>
      </c>
      <c r="E67" s="682" t="str">
        <f t="shared" si="17"/>
        <v>2（含）-3</v>
      </c>
      <c r="F67" s="682" t="str">
        <f t="shared" si="17"/>
        <v>3（含）-4</v>
      </c>
      <c r="G67" s="682" t="str">
        <f t="shared" si="17"/>
        <v>4（含）-5</v>
      </c>
      <c r="H67" s="682" t="str">
        <f t="shared" si="17"/>
        <v>5（含）-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2560</v>
      </c>
      <c r="C82" s="2622" t="s">
        <v>2561</v>
      </c>
      <c r="D82" s="2622" t="s">
        <v>2562</v>
      </c>
      <c r="E82" s="2622" t="s">
        <v>2563</v>
      </c>
      <c r="F82" s="2622" t="s">
        <v>2564</v>
      </c>
      <c r="G82" s="2622" t="s">
        <v>2565</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3"/>
      <c r="I83" s="933"/>
      <c r="J83" s="933"/>
      <c r="K83" s="933"/>
      <c r="L83" s="933"/>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9"/>
      <c r="B86" s="673" t="s">
        <v>772</v>
      </c>
      <c r="C86" s="3510" t="s">
        <v>3473</v>
      </c>
      <c r="D86" s="3510" t="s">
        <v>3474</v>
      </c>
      <c r="E86" s="3510" t="s">
        <v>3475</v>
      </c>
      <c r="F86" s="3510" t="s">
        <v>3476</v>
      </c>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9"/>
      <c r="B87" s="678"/>
      <c r="C87" s="712">
        <v>100</v>
      </c>
      <c r="D87" s="679">
        <f t="shared" ref="D87:M87" si="19">C87-$K25</f>
        <v>97</v>
      </c>
      <c r="E87" s="679">
        <f t="shared" si="19"/>
        <v>94</v>
      </c>
      <c r="F87" s="679">
        <f t="shared" si="19"/>
        <v>91</v>
      </c>
      <c r="G87" s="679">
        <f t="shared" si="19"/>
        <v>88</v>
      </c>
      <c r="H87" s="679">
        <f t="shared" si="19"/>
        <v>85</v>
      </c>
      <c r="I87" s="679">
        <f t="shared" si="19"/>
        <v>82</v>
      </c>
      <c r="J87" s="679">
        <f t="shared" si="19"/>
        <v>79</v>
      </c>
      <c r="K87" s="679">
        <f t="shared" si="19"/>
        <v>76</v>
      </c>
      <c r="L87" s="679">
        <f t="shared" si="19"/>
        <v>73</v>
      </c>
      <c r="M87" s="679">
        <f t="shared" si="19"/>
        <v>70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7"/>
      <c r="B90" s="673" t="str">
        <f>B27</f>
        <v>人流量</v>
      </c>
      <c r="C90" s="3510" t="s">
        <v>3444</v>
      </c>
      <c r="D90" s="3510" t="s">
        <v>3445</v>
      </c>
      <c r="E90" s="3510" t="s">
        <v>3446</v>
      </c>
      <c r="F90" s="3510" t="s">
        <v>3447</v>
      </c>
      <c r="G90" s="3510" t="s">
        <v>3448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3522" t="s">
        <v>3449</v>
      </c>
      <c r="D100" s="3522" t="s">
        <v>3451</v>
      </c>
      <c r="E100" s="3522" t="s">
        <v>3452</v>
      </c>
      <c r="F100" s="3522" t="s">
        <v>3454</v>
      </c>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97</v>
      </c>
      <c r="E101" s="679">
        <f t="shared" si="21"/>
        <v>94</v>
      </c>
      <c r="F101" s="679">
        <f t="shared" si="21"/>
        <v>91</v>
      </c>
      <c r="G101" s="679">
        <f t="shared" si="21"/>
        <v>88</v>
      </c>
      <c r="H101" s="679">
        <f t="shared" si="21"/>
        <v>85</v>
      </c>
      <c r="I101" s="679">
        <f t="shared" si="21"/>
        <v>82</v>
      </c>
      <c r="J101" s="679">
        <f t="shared" si="21"/>
        <v>79</v>
      </c>
      <c r="K101" s="679">
        <f t="shared" si="21"/>
        <v>76</v>
      </c>
      <c r="L101" s="679">
        <f t="shared" si="21"/>
        <v>73</v>
      </c>
      <c r="M101" s="680">
        <f t="shared" si="21"/>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0(含)-100000</v>
      </c>
      <c r="D102" s="708" t="str">
        <f t="shared" ref="D102:L102" si="22">D103&amp;"(含)"&amp;"-"&amp;E103</f>
        <v>100000(含)-500000</v>
      </c>
      <c r="E102" s="708" t="str">
        <f t="shared" si="22"/>
        <v>500000(含)-1000000</v>
      </c>
      <c r="F102" s="708" t="str">
        <f t="shared" si="22"/>
        <v>1000000(含)-200000</v>
      </c>
      <c r="G102" s="708" t="str">
        <f t="shared" si="22"/>
        <v>200000(含)-3000000</v>
      </c>
      <c r="H102" s="708" t="str">
        <f t="shared" si="22"/>
        <v>3000000(含)-4000000</v>
      </c>
      <c r="I102" s="708" t="str">
        <f t="shared" si="22"/>
        <v>4000000(含)-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8"/>
      <c r="B103" s="729"/>
      <c r="C103" s="730">
        <v>0</v>
      </c>
      <c r="D103" s="730">
        <v>100000</v>
      </c>
      <c r="E103" s="730">
        <v>500000</v>
      </c>
      <c r="F103" s="730">
        <v>1000000</v>
      </c>
      <c r="G103" s="730">
        <v>200000</v>
      </c>
      <c r="H103" s="730">
        <v>3000000</v>
      </c>
      <c r="I103" s="730">
        <v>4000000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7"/>
      <c r="B104" s="678"/>
      <c r="C104" s="692">
        <v>100</v>
      </c>
      <c r="D104" s="671">
        <v>101</v>
      </c>
      <c r="E104" s="692">
        <v>102</v>
      </c>
      <c r="F104" s="671">
        <v>103</v>
      </c>
      <c r="G104" s="692">
        <v>104</v>
      </c>
      <c r="H104" s="671">
        <v>105</v>
      </c>
      <c r="I104" s="692">
        <v>106</v>
      </c>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3510" t="s">
        <v>3457</v>
      </c>
      <c r="D114" s="3510" t="s">
        <v>3459</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80">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7">
        <v>80</v>
      </c>
      <c r="D118" s="907">
        <v>95</v>
      </c>
      <c r="E118" s="907" t="s">
        <v>3482</v>
      </c>
      <c r="F118" s="907" t="s">
        <v>3483</v>
      </c>
      <c r="G118" s="907" t="s">
        <v>3484</v>
      </c>
      <c r="H118" s="689" t="s">
        <v>3485</v>
      </c>
      <c r="I118" s="689">
        <v>1500</v>
      </c>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v>100</v>
      </c>
      <c r="D119" s="671">
        <v>100</v>
      </c>
      <c r="E119" s="671">
        <v>100</v>
      </c>
      <c r="F119" s="671">
        <v>98</v>
      </c>
      <c r="G119" s="671">
        <v>96</v>
      </c>
      <c r="H119" s="671">
        <v>94</v>
      </c>
      <c r="I119" s="671">
        <v>92</v>
      </c>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510" t="s">
        <v>3421</v>
      </c>
      <c r="D122" s="3510" t="s">
        <v>3418</v>
      </c>
      <c r="E122" s="3510" t="s">
        <v>3424</v>
      </c>
      <c r="F122" s="3504" t="s">
        <v>3423</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97.5</v>
      </c>
      <c r="E123" s="679">
        <f t="shared" si="29"/>
        <v>95</v>
      </c>
      <c r="F123" s="679">
        <f t="shared" si="29"/>
        <v>92.5</v>
      </c>
      <c r="G123" s="679">
        <f t="shared" si="29"/>
        <v>90</v>
      </c>
      <c r="H123" s="679">
        <f t="shared" si="29"/>
        <v>87.5</v>
      </c>
      <c r="I123" s="679">
        <f t="shared" si="29"/>
        <v>85</v>
      </c>
      <c r="J123" s="679">
        <f t="shared" si="29"/>
        <v>82.5</v>
      </c>
      <c r="K123" s="679">
        <f t="shared" si="29"/>
        <v>80</v>
      </c>
      <c r="L123" s="679">
        <f t="shared" si="29"/>
        <v>77.5</v>
      </c>
      <c r="M123" s="680">
        <f t="shared" si="29"/>
        <v>75</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29" sqref="V29"/>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4" t="s">
        <v>2304</v>
      </c>
      <c r="C1" s="3804" t="s">
        <v>2305</v>
      </c>
      <c r="D1" s="3805"/>
      <c r="E1" s="3805"/>
      <c r="F1" s="3805"/>
      <c r="G1" s="3805"/>
      <c r="H1" s="3805"/>
      <c r="I1" s="3805"/>
      <c r="J1" s="3805"/>
      <c r="K1" s="3805"/>
      <c r="L1" s="3805"/>
      <c r="M1" s="3805"/>
      <c r="N1" s="3805"/>
      <c r="O1" s="3805"/>
      <c r="P1" s="3805"/>
      <c r="Q1" s="3805"/>
      <c r="R1" s="3805"/>
      <c r="S1" s="380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7" t="s">
        <v>2307</v>
      </c>
      <c r="C2" s="948" t="str">
        <f t="shared" ref="C2:L2" si="0">C3&amp;"(含)"&amp;"-"&amp;D3</f>
        <v>0(含)-160</v>
      </c>
      <c r="D2" s="949" t="str">
        <f t="shared" si="0"/>
        <v>160(含)-500</v>
      </c>
      <c r="E2" s="949" t="str">
        <f t="shared" si="0"/>
        <v>500(含)-1000</v>
      </c>
      <c r="F2" s="949" t="str">
        <f t="shared" si="0"/>
        <v>1000(含)-1500</v>
      </c>
      <c r="G2" s="949" t="str">
        <f t="shared" si="0"/>
        <v>1500(含)-2000</v>
      </c>
      <c r="H2" s="949" t="str">
        <f t="shared" si="0"/>
        <v>2000(含)-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v>0</v>
      </c>
      <c r="D3" s="953">
        <v>160</v>
      </c>
      <c r="E3" s="953">
        <v>500</v>
      </c>
      <c r="F3" s="953">
        <v>1000</v>
      </c>
      <c r="G3" s="953">
        <v>1500</v>
      </c>
      <c r="H3" s="953">
        <v>2000</v>
      </c>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2923</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2922</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2937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t="s">
        <v>3486</v>
      </c>
      <c r="D17" s="2280" t="s">
        <v>3487</v>
      </c>
      <c r="E17" s="2280" t="s">
        <v>3488</v>
      </c>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v>100</v>
      </c>
      <c r="D18" s="2292">
        <v>70</v>
      </c>
      <c r="E18" s="2292">
        <v>60</v>
      </c>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829</v>
      </c>
      <c r="B20" s="775">
        <f>S22</f>
        <v>4852</v>
      </c>
      <c r="C20" s="1990"/>
      <c r="D20" s="1990"/>
      <c r="E20" s="1990"/>
      <c r="F20" s="1990"/>
      <c r="G20" s="1990"/>
      <c r="H20" s="1990"/>
      <c r="I20" s="1990"/>
      <c r="J20" s="1990"/>
      <c r="K20" s="1990"/>
      <c r="L20" s="1990"/>
      <c r="M20" s="1990"/>
      <c r="N20" s="1990"/>
      <c r="O20" s="1990"/>
      <c r="P20" s="1990"/>
      <c r="Q20" s="1990"/>
      <c r="R20" s="2225"/>
      <c r="S20" s="2028"/>
    </row>
    <row r="21" spans="1:45" ht="15.75">
      <c r="A21" s="958" t="s">
        <v>830</v>
      </c>
      <c r="B21" s="775">
        <f>R22</f>
        <v>9265</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5237</v>
      </c>
      <c r="C22" s="3801" t="s">
        <v>20</v>
      </c>
      <c r="D22" s="3802"/>
      <c r="E22" s="3802"/>
      <c r="F22" s="3802"/>
      <c r="G22" s="3802"/>
      <c r="H22" s="3802"/>
      <c r="I22" s="3802"/>
      <c r="J22" s="3802"/>
      <c r="K22" s="3802"/>
      <c r="L22" s="3802"/>
      <c r="M22" s="3802"/>
      <c r="N22" s="3802"/>
      <c r="O22" s="3802"/>
      <c r="P22" s="3802"/>
      <c r="Q22" s="3803"/>
      <c r="R22" s="490">
        <f>ROUND(S22*10000/B22,0)</f>
        <v>9265</v>
      </c>
      <c r="S22" s="53">
        <f>SUM(S24:S10000)</f>
        <v>4852</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4" customFormat="1">
      <c r="A24" s="3527" t="s">
        <v>3480</v>
      </c>
      <c r="B24" s="959">
        <v>1500</v>
      </c>
      <c r="C24" s="960">
        <v>1</v>
      </c>
      <c r="D24" s="961"/>
      <c r="E24" s="960">
        <v>1</v>
      </c>
      <c r="F24" s="961"/>
      <c r="G24" s="960">
        <v>1</v>
      </c>
      <c r="H24" s="961"/>
      <c r="I24" s="960">
        <v>1</v>
      </c>
      <c r="J24" s="961"/>
      <c r="K24" s="960">
        <v>1</v>
      </c>
      <c r="L24" s="961"/>
      <c r="M24" s="960">
        <v>1</v>
      </c>
      <c r="N24" s="961"/>
      <c r="O24" s="960">
        <v>1</v>
      </c>
      <c r="P24" s="961" t="s">
        <v>3489</v>
      </c>
      <c r="Q24" s="960">
        <v>1</v>
      </c>
      <c r="R24" s="962">
        <f>'不动产比较法-商业'!C48</f>
        <v>11116</v>
      </c>
      <c r="S24" s="960">
        <f t="shared" ref="S24:S54" si="11">ROUND(R24*B24/10000,0)</f>
        <v>1667</v>
      </c>
      <c r="T24" s="1973"/>
      <c r="U24" s="1973"/>
      <c r="V24" s="1973"/>
      <c r="W24" s="1973"/>
      <c r="X24" s="1973"/>
      <c r="Y24" s="1973"/>
      <c r="Z24" s="1973"/>
      <c r="AA24" s="1973"/>
      <c r="AB24" s="1973"/>
      <c r="AC24" s="1973"/>
      <c r="AD24" s="1973"/>
      <c r="AE24" s="1973"/>
      <c r="AF24" s="1973"/>
      <c r="AG24" s="1973"/>
      <c r="AH24" s="1973"/>
      <c r="AI24" s="1973"/>
    </row>
    <row r="25" spans="1:45">
      <c r="A25" s="3528" t="s">
        <v>3481</v>
      </c>
      <c r="B25" s="137">
        <v>1245.67</v>
      </c>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t="s">
        <v>3489</v>
      </c>
      <c r="Q25" s="53">
        <f>(SUMIF($17:$17,P25,$18:$18)-SUMIF($17:$17,$P$24,$18:$18)+100)/100</f>
        <v>1</v>
      </c>
      <c r="R25" s="490">
        <f>IF(B25="",0,ROUND($R$24*C25*E25*G25*I25*K25*M25*O25*Q25,0))</f>
        <v>11116</v>
      </c>
      <c r="S25" s="799">
        <f t="shared" si="11"/>
        <v>1385</v>
      </c>
    </row>
    <row r="26" spans="1:45">
      <c r="A26" s="963"/>
      <c r="B26" s="137">
        <v>1245.67</v>
      </c>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t="s">
        <v>3490</v>
      </c>
      <c r="Q26" s="53">
        <f t="shared" ref="Q26:Q89" si="19">(SUMIF($17:$17,P26,$18:$18)-SUMIF($17:$17,$P$24,$18:$18)+100)/100</f>
        <v>0.7</v>
      </c>
      <c r="R26" s="490">
        <f t="shared" ref="R26:R89" si="20">IF(B26="",0,ROUND($R$24*C26*E26*G26*I26*K26*M26*O26*Q26,0))</f>
        <v>7781</v>
      </c>
      <c r="S26" s="799">
        <f t="shared" si="11"/>
        <v>969</v>
      </c>
    </row>
    <row r="27" spans="1:45">
      <c r="A27" s="963"/>
      <c r="B27" s="137">
        <f>'数据-基础表'!M13-典型户型修正!B25-典型户型修正!B26</f>
        <v>1245.6599999999999</v>
      </c>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t="s">
        <v>3491</v>
      </c>
      <c r="Q27" s="53">
        <f t="shared" si="19"/>
        <v>0.6</v>
      </c>
      <c r="R27" s="490">
        <f t="shared" si="20"/>
        <v>6670</v>
      </c>
      <c r="S27" s="799">
        <f t="shared" si="11"/>
        <v>831</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0</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0</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0</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0</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0</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0</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0</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0</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0</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0</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0</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0</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0</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0</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0</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0</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0</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0</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0</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0</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0</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0</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0</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0</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0</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0</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0</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0</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0</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0</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0</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0</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0</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0</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0</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0</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0</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0</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0</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0</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0</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0</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0</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0</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0</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0</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0</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0</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0</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0</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0</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0</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0</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0</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0</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0</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0</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0</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0</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0</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0</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0</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0</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0</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0</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0</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0</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0</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0</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0</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0</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0</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0</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0</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0</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0</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0</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0</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0</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0</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0</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0</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0</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0</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0</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0</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0</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0</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0</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0</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0</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0</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0</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0</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0</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0</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0</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0</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0</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0</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0</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0</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0</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0</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0</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0</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0</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0</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0</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0</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0</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0</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0</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0</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0</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0</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0</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0</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0</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0</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0</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0</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0</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0</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0</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0</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0</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0</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0</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0</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0</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0</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0</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0</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0</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0</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0</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0</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0</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0</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0</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0</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0</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0</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0</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0</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0</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0</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0</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0</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0</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0</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0</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0</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0</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0</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0</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0</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0</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0</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0</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0</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0</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0</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0</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0</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0</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0</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0</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0</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0</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0</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0</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0</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0</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0</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0</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0</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0</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0</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0</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0</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0</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0</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0</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0</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0</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0</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0</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0</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0</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0</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0</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0</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0</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0</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0</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0</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0</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0</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0</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0</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0</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0</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0</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0</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0</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0</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0</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0</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0</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0</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0</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0</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0</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0</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0</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0</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0</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0</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0</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0</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0</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0</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0</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0</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0</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0</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0</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0</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0</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0</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0</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0</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0</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0</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0</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0</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0</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0</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0</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0</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0</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0</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0</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0</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0</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0</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0</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0</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0</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0</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0</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0</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0</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0</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0</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0</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0</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0</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0</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0</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0</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0</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0</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0</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0</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0</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0</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0</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0</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0</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0</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0</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0</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0</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0</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0</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0</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0</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0</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0</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0</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0</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0</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0</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0</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0</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0</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0</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0</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0</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0</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0</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0</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0</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0</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0</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0</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0</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0</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0</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0</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0</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0</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0</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0</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0</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0</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0</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0</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0</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0</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0</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0</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0</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0</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0</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0</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0</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0</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0</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0</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0</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0</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0</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0</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0</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0</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0</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0</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0</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0</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0</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0</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0</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0</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0</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0</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0</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0</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0</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0</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0</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0</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0</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0</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0</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0</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0</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0</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0</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0</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0</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0</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0</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0</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0</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0</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0</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0</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0</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0</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0</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0</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0</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0</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0</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0</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0</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0</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0</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0</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0</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0</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0</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0</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0</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0</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0</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0</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0</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0</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0</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0</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0</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0</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0</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0</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0</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0</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0</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0</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0</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0</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0</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0</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0</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0</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0</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0</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0</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0</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0</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0</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0</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0</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0</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0</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0</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0</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0</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0</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0</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0</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0</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0</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0</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0</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0</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0</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0</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0</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0</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0</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0</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0</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0</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0</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0</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0</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0</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0</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0</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0</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0</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0</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0</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0</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0</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0</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0</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0</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0</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0</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0</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0</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0</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0</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0</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0</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0</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0</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0</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0</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0</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0</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0</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0</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0</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0</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0</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0</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0</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0</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0</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0</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0</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0</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0</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0</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0</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0</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0</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0</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0</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0</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0</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0</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0</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0</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0</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0</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0</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0</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0</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0</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0</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0</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0</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0</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0</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0</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0</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0</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0</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3" sqref="C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3377</v>
      </c>
      <c r="D1" s="3155" t="s">
        <v>3431</v>
      </c>
      <c r="E1" s="2411" t="s">
        <v>2374</v>
      </c>
      <c r="F1" s="2412">
        <f ca="1">J53</f>
        <v>40.92</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15492</v>
      </c>
      <c r="C2" s="2057"/>
      <c r="D2" s="2055"/>
      <c r="E2" s="2056"/>
      <c r="F2" s="2056"/>
      <c r="G2" s="1589"/>
      <c r="H2" s="2057"/>
      <c r="I2" s="2057"/>
      <c r="J2" s="2057"/>
      <c r="K2" s="2058"/>
      <c r="L2" s="2057"/>
      <c r="M2" s="2057"/>
    </row>
    <row r="3" spans="1:33" ht="18" customHeight="1" thickBot="1">
      <c r="A3" s="833" t="s">
        <v>1728</v>
      </c>
      <c r="B3" s="834">
        <f ca="1">IF(ISERROR(B2*10000/F43),0,ROUND(B2*10000/F43,0))</f>
        <v>1605</v>
      </c>
      <c r="C3" s="2057"/>
      <c r="D3" s="2055"/>
      <c r="E3" s="2056"/>
      <c r="F3" s="2056"/>
      <c r="G3" s="1589"/>
      <c r="H3" s="776" t="s">
        <v>696</v>
      </c>
      <c r="I3" s="1361"/>
      <c r="J3" s="1361"/>
      <c r="K3" s="1590"/>
      <c r="L3" s="1361"/>
      <c r="M3" s="1361"/>
    </row>
    <row r="4" spans="1:33" ht="18" customHeight="1">
      <c r="A4" s="777" t="s">
        <v>1729</v>
      </c>
      <c r="B4" s="778" t="s">
        <v>1730</v>
      </c>
      <c r="C4" s="778" t="s">
        <v>1731</v>
      </c>
      <c r="D4" s="778" t="s">
        <v>634</v>
      </c>
      <c r="E4" s="779" t="s">
        <v>1732</v>
      </c>
      <c r="F4" s="780"/>
      <c r="G4" s="1591"/>
      <c r="H4" s="777" t="s">
        <v>1733</v>
      </c>
      <c r="I4" s="778" t="s">
        <v>1730</v>
      </c>
      <c r="J4" s="778" t="s">
        <v>1735</v>
      </c>
      <c r="K4" s="778" t="s">
        <v>1736</v>
      </c>
      <c r="L4" s="779" t="s">
        <v>1732</v>
      </c>
      <c r="M4" s="780"/>
    </row>
    <row r="5" spans="1:33" ht="18" customHeight="1">
      <c r="A5" s="781">
        <v>1</v>
      </c>
      <c r="B5" s="782" t="s">
        <v>2459</v>
      </c>
      <c r="C5" s="55">
        <f ca="1">C6+C10+C12</f>
        <v>1364</v>
      </c>
      <c r="D5" s="2520" t="s">
        <v>2462</v>
      </c>
      <c r="E5" s="2514"/>
      <c r="F5" s="2515"/>
      <c r="G5" s="1591"/>
      <c r="H5" s="781">
        <v>1</v>
      </c>
      <c r="I5" s="782" t="s">
        <v>2459</v>
      </c>
      <c r="J5" s="55">
        <f ca="1">J6+J10+J12</f>
        <v>0</v>
      </c>
      <c r="K5" s="2520" t="s">
        <v>2462</v>
      </c>
      <c r="L5" s="2514"/>
      <c r="M5" s="2515"/>
    </row>
    <row r="6" spans="1:33" ht="18" customHeight="1">
      <c r="A6" s="1830" t="s">
        <v>1825</v>
      </c>
      <c r="B6" s="3776" t="s">
        <v>2464</v>
      </c>
      <c r="C6" s="783">
        <f ca="1">ROUND(F6*F8*F7*(1-F9)/10000,0)</f>
        <v>1364</v>
      </c>
      <c r="D6" s="2521" t="s">
        <v>2463</v>
      </c>
      <c r="E6" s="784" t="s">
        <v>1739</v>
      </c>
      <c r="F6" s="785">
        <f ca="1">INDIRECT("'数据-取费表'!u"&amp;$G$1)</f>
        <v>500</v>
      </c>
      <c r="G6" s="1591"/>
      <c r="H6" s="2528" t="s">
        <v>1825</v>
      </c>
      <c r="I6" s="3776" t="s">
        <v>2464</v>
      </c>
      <c r="J6" s="783">
        <f ca="1">ROUND(M6*M8*M7*(1-M9)/10000,0)</f>
        <v>0</v>
      </c>
      <c r="K6" s="341" t="s">
        <v>1738</v>
      </c>
      <c r="L6" s="784" t="s">
        <v>1739</v>
      </c>
      <c r="M6" s="785">
        <f ca="1">INDIRECT("'数据-取费表'!z"&amp;$G$1)</f>
        <v>0</v>
      </c>
    </row>
    <row r="7" spans="1:33" ht="18" customHeight="1">
      <c r="A7" s="2524"/>
      <c r="B7" s="3777"/>
      <c r="C7" s="788"/>
      <c r="D7" s="789"/>
      <c r="E7" s="784" t="s">
        <v>1740</v>
      </c>
      <c r="F7" s="785">
        <f ca="1">IF(INDIRECT("'数据-取费表'!ah"&amp;$G$1)="",INDIRECT("'数据-取费表'!k"&amp;$G$1),INDIRECT("'数据-取费表'!ah"&amp;$G$1))</f>
        <v>2525</v>
      </c>
      <c r="G7" s="1591"/>
      <c r="H7" s="2513"/>
      <c r="I7" s="3777"/>
      <c r="J7" s="788"/>
      <c r="K7" s="789"/>
      <c r="L7" s="784" t="s">
        <v>1740</v>
      </c>
      <c r="M7" s="785">
        <f ca="1">F7</f>
        <v>2525</v>
      </c>
    </row>
    <row r="8" spans="1:33" ht="18" customHeight="1">
      <c r="A8" s="2517"/>
      <c r="B8" s="3778"/>
      <c r="C8" s="788"/>
      <c r="D8" s="789"/>
      <c r="E8" s="784" t="s">
        <v>1741</v>
      </c>
      <c r="F8" s="785">
        <f ca="1">INDIRECT("'数据-取费表'!ai"&amp;$G$1)</f>
        <v>12</v>
      </c>
      <c r="G8" s="1591"/>
      <c r="H8" s="2513"/>
      <c r="I8" s="3778"/>
      <c r="J8" s="788"/>
      <c r="K8" s="789"/>
      <c r="L8" s="784" t="s">
        <v>1741</v>
      </c>
      <c r="M8" s="785">
        <f ca="1">INDIRECT("'数据-取费表'!ai"&amp;$G$1)</f>
        <v>12</v>
      </c>
    </row>
    <row r="9" spans="1:33" ht="18" customHeight="1">
      <c r="A9" s="786"/>
      <c r="B9" s="3779"/>
      <c r="C9" s="788"/>
      <c r="D9" s="789"/>
      <c r="E9" s="784" t="s">
        <v>1742</v>
      </c>
      <c r="F9" s="794">
        <f ca="1">INDIRECT("'数据-取费表'!w"&amp;$G$1)</f>
        <v>0.1</v>
      </c>
      <c r="G9" s="1591"/>
      <c r="H9" s="2529"/>
      <c r="I9" s="3778"/>
      <c r="J9" s="788"/>
      <c r="K9" s="789"/>
      <c r="L9" s="795" t="s">
        <v>1742</v>
      </c>
      <c r="M9" s="796">
        <f ca="1">INDIRECT("'数据-取费表'!ab"&amp;$G$1)</f>
        <v>0</v>
      </c>
    </row>
    <row r="10" spans="1:33" ht="18" customHeight="1">
      <c r="A10" s="1830" t="s">
        <v>1826</v>
      </c>
      <c r="B10" s="2518" t="s">
        <v>2460</v>
      </c>
      <c r="C10" s="799">
        <f ca="1">ROUND(IF(F10="押一",F6*F8*F7/12*F11,IF(F10="押二",F6*F8*F7/12*2*F11,IF(F10="押三",F6*F8*F7/12*3*F11,C11*F11)))/10000,0)</f>
        <v>0</v>
      </c>
      <c r="D10" s="2525" t="s">
        <v>2467</v>
      </c>
      <c r="E10" s="2522" t="s">
        <v>2465</v>
      </c>
      <c r="F10" s="2645" t="s">
        <v>3435</v>
      </c>
      <c r="G10" s="1591"/>
      <c r="H10" s="2585" t="s">
        <v>1826</v>
      </c>
      <c r="I10" s="2590" t="s">
        <v>2460</v>
      </c>
      <c r="J10" s="783">
        <f ca="1">ROUND(IF(M10="押一",M6*M8*M7/12*M11,IF(M10="押二",M6*M8*M7/12*2*M11,IF(M10="押三",M6*M8*M7/12*3*M11,J11*M11)))/10000,0)</f>
        <v>0</v>
      </c>
      <c r="K10" s="2525" t="s">
        <v>2467</v>
      </c>
      <c r="L10" s="2522" t="s">
        <v>2465</v>
      </c>
      <c r="M10" s="2645"/>
    </row>
    <row r="11" spans="1:33" ht="18" customHeight="1">
      <c r="A11" s="790"/>
      <c r="B11" s="2519" t="s">
        <v>2575</v>
      </c>
      <c r="C11" s="2523"/>
      <c r="D11" s="789"/>
      <c r="E11" s="2522" t="s">
        <v>2457</v>
      </c>
      <c r="F11" s="796">
        <f ca="1">'数据-取费表'!B39</f>
        <v>1.4999999999999999E-2</v>
      </c>
      <c r="G11" s="1591"/>
      <c r="H11" s="2586"/>
      <c r="I11" s="2519" t="s">
        <v>2575</v>
      </c>
      <c r="J11" s="2523"/>
      <c r="K11" s="2587"/>
      <c r="L11" s="2522" t="s">
        <v>2457</v>
      </c>
      <c r="M11" s="2516">
        <f ca="1">'数据-取费表'!B39</f>
        <v>1.4999999999999999E-2</v>
      </c>
    </row>
    <row r="12" spans="1:33" ht="18" customHeight="1" thickBot="1">
      <c r="A12" s="2561" t="s">
        <v>2469</v>
      </c>
      <c r="B12" s="2562" t="s">
        <v>2461</v>
      </c>
      <c r="C12" s="2563"/>
      <c r="D12" s="2564"/>
      <c r="E12" s="2565"/>
      <c r="F12" s="2566"/>
      <c r="G12" s="1591"/>
      <c r="H12" s="2575" t="s">
        <v>2469</v>
      </c>
      <c r="I12" s="2588" t="s">
        <v>2461</v>
      </c>
      <c r="J12" s="2589"/>
      <c r="K12" s="2564"/>
      <c r="L12" s="2565"/>
      <c r="M12" s="2578"/>
    </row>
    <row r="13" spans="1:33" ht="18" customHeight="1" thickTop="1">
      <c r="A13" s="1829">
        <v>2</v>
      </c>
      <c r="B13" s="1827" t="s">
        <v>1743</v>
      </c>
      <c r="C13" s="792">
        <f ca="1">ROUND(C29*F13,0)</f>
        <v>25984</v>
      </c>
      <c r="D13" s="1834" t="s">
        <v>2298</v>
      </c>
      <c r="E13" s="1834" t="s">
        <v>1745</v>
      </c>
      <c r="F13" s="2560">
        <f ca="1">INDIRECT("'数据-取费表'!y"&amp;$G$1)</f>
        <v>1</v>
      </c>
      <c r="G13" s="1591"/>
      <c r="H13" s="1829">
        <v>2</v>
      </c>
      <c r="I13" s="1827" t="s">
        <v>1743</v>
      </c>
      <c r="J13" s="1819">
        <f ca="1">ROUND(J14*J15,0)</f>
        <v>0</v>
      </c>
      <c r="K13" s="1821" t="s">
        <v>1744</v>
      </c>
      <c r="L13" s="2576"/>
      <c r="M13" s="2577"/>
    </row>
    <row r="14" spans="1:33" ht="18" customHeight="1">
      <c r="A14" s="1647" t="s">
        <v>1832</v>
      </c>
      <c r="B14" s="784" t="s">
        <v>646</v>
      </c>
      <c r="C14" s="804">
        <f ca="1">INDIRECT("'数据-取费表'!m"&amp;$G$1)+INDIRECT("'数据-取费表'!t"&amp;$G$1)</f>
        <v>17374</v>
      </c>
      <c r="D14" s="3476" t="s">
        <v>1746</v>
      </c>
      <c r="E14" s="3477"/>
      <c r="F14" s="805"/>
      <c r="G14" s="1591"/>
      <c r="H14" s="1648" t="s">
        <v>1825</v>
      </c>
      <c r="I14" s="2231" t="s">
        <v>2827</v>
      </c>
      <c r="J14" s="53">
        <f ca="1">C29</f>
        <v>25984</v>
      </c>
      <c r="K14" s="26"/>
      <c r="L14" s="801"/>
      <c r="M14" s="802"/>
    </row>
    <row r="15" spans="1:33" s="2064" customFormat="1" ht="18" customHeight="1" thickBot="1">
      <c r="A15" s="1647" t="s">
        <v>1833</v>
      </c>
      <c r="B15" s="784" t="s">
        <v>648</v>
      </c>
      <c r="C15" s="53">
        <f ca="1">ROUND(C14*F15,0)</f>
        <v>521</v>
      </c>
      <c r="D15" s="806" t="s">
        <v>1747</v>
      </c>
      <c r="E15" s="806" t="s">
        <v>1748</v>
      </c>
      <c r="F15" s="807">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1834</v>
      </c>
      <c r="B16" s="784" t="s">
        <v>651</v>
      </c>
      <c r="C16" s="53">
        <f ca="1">ROUND(INDIRECT("'数据-取费表'!m"&amp;$G$1)*F16,0)</f>
        <v>0</v>
      </c>
      <c r="D16" s="784" t="s">
        <v>1747</v>
      </c>
      <c r="E16" s="784" t="s">
        <v>1748</v>
      </c>
      <c r="F16" s="809">
        <f ca="1">IF(INDIRECT("'数据-取费表'!c"&amp;$G$1)="住宅",'数据-取费表'!B34,0)</f>
        <v>0</v>
      </c>
      <c r="G16" s="1591"/>
      <c r="H16" s="1829" t="s">
        <v>7</v>
      </c>
      <c r="I16" s="1827" t="s">
        <v>1750</v>
      </c>
      <c r="J16" s="792">
        <f ca="1">ROUND(J17+J22+J23+J24,0)</f>
        <v>617</v>
      </c>
      <c r="K16" s="1821" t="s">
        <v>1751</v>
      </c>
      <c r="L16" s="3478"/>
      <c r="M16" s="2515"/>
    </row>
    <row r="17" spans="1:33" s="2064" customFormat="1" ht="18" customHeight="1">
      <c r="A17" s="1647" t="s">
        <v>1888</v>
      </c>
      <c r="B17" s="784" t="s">
        <v>654</v>
      </c>
      <c r="C17" s="53">
        <f ca="1">ROUND(F17*(F43+INDIRECT("'数据-取费表'!S"&amp;$G$1))/10000,0)</f>
        <v>1930</v>
      </c>
      <c r="D17" s="784" t="s">
        <v>1752</v>
      </c>
      <c r="E17" s="784" t="s">
        <v>1753</v>
      </c>
      <c r="F17" s="56">
        <f>'数据-取费表'!B35</f>
        <v>200</v>
      </c>
      <c r="G17" s="1592"/>
      <c r="H17" s="1648" t="s">
        <v>1825</v>
      </c>
      <c r="I17" s="784" t="s">
        <v>657</v>
      </c>
      <c r="J17" s="53">
        <f ca="1">ROUND(IF(项目基本情况!B11="自然人",J5*M17,J18+J19+J20),0)</f>
        <v>227</v>
      </c>
      <c r="K17" s="3476" t="s">
        <v>1754</v>
      </c>
      <c r="L17" s="3475"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4" t="s">
        <v>660</v>
      </c>
      <c r="C18" s="53">
        <f ca="1">ROUND(C14*F18,0)</f>
        <v>261</v>
      </c>
      <c r="D18" s="784" t="s">
        <v>1747</v>
      </c>
      <c r="E18" s="784" t="s">
        <v>1748</v>
      </c>
      <c r="F18" s="809">
        <f>'数据-取费表'!B36</f>
        <v>1.4999999999999999E-2</v>
      </c>
      <c r="G18" s="1592"/>
      <c r="H18" s="1647" t="s">
        <v>1832</v>
      </c>
      <c r="I18" s="784" t="s">
        <v>1756</v>
      </c>
      <c r="J18" s="53">
        <f ca="1">ROUND(J5*M18/1.05,1)</f>
        <v>0</v>
      </c>
      <c r="K18" s="3475" t="s">
        <v>1757</v>
      </c>
      <c r="L18" s="784" t="s">
        <v>1748</v>
      </c>
      <c r="M18" s="809">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1825</v>
      </c>
      <c r="B19" s="784" t="s">
        <v>663</v>
      </c>
      <c r="C19" s="53">
        <f ca="1">SUM(C14:C18)</f>
        <v>20086</v>
      </c>
      <c r="D19" s="261" t="s">
        <v>1758</v>
      </c>
      <c r="E19" s="3480"/>
      <c r="F19" s="56"/>
      <c r="G19" s="1591"/>
      <c r="H19" s="1647" t="s">
        <v>1833</v>
      </c>
      <c r="I19" s="784" t="s">
        <v>1759</v>
      </c>
      <c r="J19" s="53">
        <f ca="1">IF(K19="按租金收入计税",ROUND(J5*M19,1),ROUND(C29*F33*0.7,1))</f>
        <v>218.3</v>
      </c>
      <c r="K19" s="811" t="s">
        <v>666</v>
      </c>
      <c r="L19" s="784" t="s">
        <v>1748</v>
      </c>
      <c r="M19" s="809">
        <f>IF(K19="按租金收入计税",'数据-取费表'!B51,'数据-取费表'!B50)</f>
        <v>1.2E-2</v>
      </c>
    </row>
    <row r="20" spans="1:33" s="2064" customFormat="1" ht="18" customHeight="1">
      <c r="A20" s="1648" t="s">
        <v>1890</v>
      </c>
      <c r="B20" s="784" t="s">
        <v>667</v>
      </c>
      <c r="C20" s="53">
        <f ca="1">ROUND(C19*F20,0)</f>
        <v>402</v>
      </c>
      <c r="D20" s="812" t="s">
        <v>1760</v>
      </c>
      <c r="E20" s="784" t="s">
        <v>1748</v>
      </c>
      <c r="F20" s="809">
        <f>'数据-取费表'!B37</f>
        <v>0.02</v>
      </c>
      <c r="G20" s="1592"/>
      <c r="H20" s="1650" t="s">
        <v>1834</v>
      </c>
      <c r="I20" s="341" t="s">
        <v>1761</v>
      </c>
      <c r="J20" s="54">
        <f ca="1">ROUND(M20*M21/10000,0)</f>
        <v>9</v>
      </c>
      <c r="K20" s="814" t="s">
        <v>1762</v>
      </c>
      <c r="L20" s="784" t="s">
        <v>1763</v>
      </c>
      <c r="M20" s="640">
        <f>'数据-取费表'!B52</f>
        <v>4.5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4" t="s">
        <v>1764</v>
      </c>
      <c r="C21" s="53" t="s">
        <v>1765</v>
      </c>
      <c r="D21" s="812" t="s">
        <v>2299</v>
      </c>
      <c r="E21" s="784" t="s">
        <v>1766</v>
      </c>
      <c r="F21" s="809">
        <f>'数据-取费表'!B38</f>
        <v>0.02</v>
      </c>
      <c r="G21" s="1592"/>
      <c r="H21" s="2530"/>
      <c r="I21" s="793"/>
      <c r="J21" s="69"/>
      <c r="K21" s="816"/>
      <c r="L21" s="784" t="s">
        <v>1767</v>
      </c>
      <c r="M21" s="785">
        <f ca="1">INDIRECT("'数据-取费表'!r"&amp;$G$1)</f>
        <v>20149.169999999998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4" t="s">
        <v>1768</v>
      </c>
      <c r="C22" s="53"/>
      <c r="D22" s="2596" t="str">
        <f>IF(F23&lt;=1,"单利计息。","复利计息。")&amp;"建造成本、管理费用、销售费用产生的利息。"</f>
        <v>复利计息。建造成本、管理费用、销售费用产生的利息。</v>
      </c>
      <c r="E22" s="3480"/>
      <c r="F22" s="56"/>
      <c r="G22" s="1591"/>
      <c r="H22" s="1648" t="s">
        <v>1890</v>
      </c>
      <c r="I22" s="784" t="s">
        <v>1769</v>
      </c>
      <c r="J22" s="53">
        <f ca="1">ROUND(J14*M22,0)</f>
        <v>390</v>
      </c>
      <c r="K22" s="3475" t="s">
        <v>1770</v>
      </c>
      <c r="L22" s="784" t="s">
        <v>1748</v>
      </c>
      <c r="M22" s="817">
        <f ca="1">INDIRECT("'数据-取费表'!Ak"&amp;$G$1)</f>
        <v>1.4999999999999999E-2</v>
      </c>
    </row>
    <row r="23" spans="1:33" s="2064" customFormat="1" ht="18" customHeight="1">
      <c r="A23" s="1647" t="s">
        <v>1832</v>
      </c>
      <c r="B23" s="784" t="s">
        <v>2437</v>
      </c>
      <c r="C23" s="53">
        <f ca="1">ROUND(IF('数据-取费表'!B22&lt;=1,(C19+C20)*F24*F23/2,(C19+C20)*(POWER((1+F24),F23/2)-1)),0)</f>
        <v>1477</v>
      </c>
      <c r="D23" s="2595" t="str">
        <f>IF(F23&lt;=1,"(建造成本+管理费用)×利率×(建设周期÷2)","(建造成本+管理费用)×((1+利率)^(建设周期÷2)-1)")</f>
        <v>(建造成本+管理费用)×((1+利率)^(建设周期÷2)-1)</v>
      </c>
      <c r="E23" s="784" t="s">
        <v>1771</v>
      </c>
      <c r="F23" s="640">
        <f>'数据-取费表'!B20</f>
        <v>3</v>
      </c>
      <c r="G23" s="1592"/>
      <c r="H23" s="1648" t="s">
        <v>1891</v>
      </c>
      <c r="I23" s="784" t="s">
        <v>680</v>
      </c>
      <c r="J23" s="53">
        <f ca="1">ROUND(J13*M23,0)</f>
        <v>0</v>
      </c>
      <c r="K23" s="3475"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4" t="s">
        <v>1773</v>
      </c>
      <c r="C24" s="53">
        <f ca="1">ROUND(IF('数据-取费表'!B22&lt;=1,F21*F24*F23/2,F21*(POWER((1+F24),F23/2)-1)),4)</f>
        <v>1.4E-3</v>
      </c>
      <c r="D24" s="2595" t="str">
        <f>IF(F23&lt;=1,"销售费用×利率×(建设周期÷2)","销售费用×((1+利率)^(建设周期÷2)-1)")</f>
        <v>销售费用×((1+利率)^(建设周期÷2)-1)</v>
      </c>
      <c r="E24" s="784" t="s">
        <v>1774</v>
      </c>
      <c r="F24" s="819">
        <f ca="1">'数据-取费表'!B40</f>
        <v>4.7500000000000001E-2</v>
      </c>
      <c r="G24" s="1592"/>
      <c r="H24" s="2575" t="s">
        <v>1892</v>
      </c>
      <c r="I24" s="2570" t="s">
        <v>667</v>
      </c>
      <c r="J24" s="2568">
        <f ca="1">ROUND(J5*M24,0)</f>
        <v>0</v>
      </c>
      <c r="K24" s="2569" t="s">
        <v>1775</v>
      </c>
      <c r="L24" s="2570" t="s">
        <v>1748</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4" t="s">
        <v>685</v>
      </c>
      <c r="C25" s="53"/>
      <c r="D25" s="261" t="s">
        <v>1776</v>
      </c>
      <c r="E25" s="3480"/>
      <c r="F25" s="56"/>
      <c r="G25" s="1591"/>
      <c r="H25" s="1829" t="s">
        <v>1777</v>
      </c>
      <c r="I25" s="3034" t="s">
        <v>2824</v>
      </c>
      <c r="J25" s="792">
        <f ca="1">J5-J16</f>
        <v>-617</v>
      </c>
      <c r="K25" s="2572" t="s">
        <v>1778</v>
      </c>
      <c r="L25" s="2573"/>
      <c r="M25" s="2574"/>
    </row>
    <row r="26" spans="1:33" ht="18" customHeight="1">
      <c r="A26" s="1647" t="s">
        <v>1832</v>
      </c>
      <c r="B26" s="784" t="s">
        <v>2438</v>
      </c>
      <c r="C26" s="53">
        <f ca="1">ROUND((C19+C20)*F26,0)</f>
        <v>2049</v>
      </c>
      <c r="D26" s="812" t="s">
        <v>1779</v>
      </c>
      <c r="E26" s="795" t="s">
        <v>1780</v>
      </c>
      <c r="F26" s="794">
        <f ca="1">INDIRECT("'数据-取费表'!q"&amp;$G$1)</f>
        <v>0.1</v>
      </c>
      <c r="G26" s="1591"/>
      <c r="H26" s="2526" t="s">
        <v>1781</v>
      </c>
      <c r="I26" s="2232" t="s">
        <v>2829</v>
      </c>
      <c r="J26" s="783">
        <f ca="1">IF(J5&lt;&gt;0,ROUND(J25*(1-((1+M28)/(1+M26))^M27)/(M26-M28),0),0)</f>
        <v>0</v>
      </c>
      <c r="K26" s="814" t="s">
        <v>1782</v>
      </c>
      <c r="L26" s="784" t="s">
        <v>2419</v>
      </c>
      <c r="M26" s="794">
        <f ca="1">INDIRECT("'数据-取费表'!I"&amp;$G$1)</f>
        <v>4.4999999999999998E-2</v>
      </c>
    </row>
    <row r="27" spans="1:33" ht="18" customHeight="1">
      <c r="A27" s="1647" t="s">
        <v>1833</v>
      </c>
      <c r="B27" s="784" t="s">
        <v>687</v>
      </c>
      <c r="C27" s="53">
        <f ca="1">ROUND(F21*F26,4)</f>
        <v>2E-3</v>
      </c>
      <c r="D27" s="812" t="s">
        <v>1783</v>
      </c>
      <c r="E27" s="806"/>
      <c r="F27" s="807"/>
      <c r="G27" s="1591"/>
      <c r="H27" s="2527"/>
      <c r="I27" s="787"/>
      <c r="J27" s="788"/>
      <c r="K27" s="821" t="s">
        <v>1784</v>
      </c>
      <c r="L27" s="784" t="s">
        <v>1785</v>
      </c>
      <c r="M27" s="822">
        <f ca="1">INDIRECT("'数据-取费表'!ag"&amp;$G$1)</f>
        <v>0</v>
      </c>
    </row>
    <row r="28" spans="1:33" s="2064" customFormat="1" ht="18" customHeight="1">
      <c r="A28" s="1649" t="s">
        <v>1842</v>
      </c>
      <c r="B28" s="784" t="s">
        <v>688</v>
      </c>
      <c r="C28" s="53">
        <f>ROUND(F28/(1+'数据-取费表'!C42),4)</f>
        <v>5.2400000000000002E-2</v>
      </c>
      <c r="D28" s="812" t="s">
        <v>2300</v>
      </c>
      <c r="E28" s="784" t="s">
        <v>1748</v>
      </c>
      <c r="F28" s="809">
        <f>'数据-取费表'!B41</f>
        <v>5.5000000000000007E-2</v>
      </c>
      <c r="G28" s="1592"/>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2301</v>
      </c>
      <c r="C29" s="2568">
        <f ca="1">ROUND((C19+C20+C23+C26)/(1-F21-C24-C27-C28),0)</f>
        <v>25984</v>
      </c>
      <c r="D29" s="2569"/>
      <c r="E29" s="2570"/>
      <c r="F29" s="2571"/>
      <c r="G29" s="1592"/>
      <c r="H29" s="823" t="s">
        <v>1788</v>
      </c>
      <c r="I29" s="824" t="s">
        <v>1789</v>
      </c>
      <c r="J29" s="825">
        <f ca="1">ROUND(J26/(1+F40)^F41,0)</f>
        <v>0</v>
      </c>
      <c r="K29" s="826" t="s">
        <v>1790</v>
      </c>
      <c r="L29" s="827"/>
      <c r="M29" s="828">
        <f ca="1">INDIRECT("'数据-取费表'!k"&amp;$G$1)</f>
        <v>96520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1750</v>
      </c>
      <c r="C30" s="792">
        <f ca="1">ROUND(C31+C36+C37+C38,0)</f>
        <v>748</v>
      </c>
      <c r="D30" s="1821" t="s">
        <v>1792</v>
      </c>
      <c r="E30" s="3478"/>
      <c r="F30" s="2515"/>
      <c r="G30" s="2062"/>
      <c r="H30" s="2065"/>
      <c r="I30" s="2066"/>
      <c r="J30" s="2067"/>
      <c r="K30" s="2068"/>
      <c r="L30" s="2069"/>
      <c r="M30" s="2070"/>
    </row>
    <row r="31" spans="1:33" ht="18" customHeight="1">
      <c r="A31" s="1648" t="s">
        <v>1825</v>
      </c>
      <c r="B31" s="784" t="s">
        <v>657</v>
      </c>
      <c r="C31" s="53">
        <f ca="1">ROUND(IF(项目基本情况!B11="自然人",C5*F31,C32+C33+C34),1)</f>
        <v>298.8</v>
      </c>
      <c r="D31" s="3476" t="s">
        <v>1754</v>
      </c>
      <c r="E31" s="3475"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4" t="s">
        <v>1756</v>
      </c>
      <c r="C32" s="53">
        <f ca="1">ROUND(C5*F32/1.05,1)</f>
        <v>71.400000000000006</v>
      </c>
      <c r="D32" s="3475" t="s">
        <v>1796</v>
      </c>
      <c r="E32" s="784" t="s">
        <v>1748</v>
      </c>
      <c r="F32" s="809">
        <f>'数据-取费表'!B41</f>
        <v>5.5000000000000007E-2</v>
      </c>
      <c r="G32" s="2062"/>
      <c r="H32" s="2071"/>
      <c r="I32" s="2072"/>
      <c r="J32" s="2073"/>
      <c r="K32" s="2074"/>
      <c r="L32" s="2075"/>
      <c r="M32" s="2076"/>
    </row>
    <row r="33" spans="1:18" ht="18" customHeight="1">
      <c r="A33" s="1647" t="s">
        <v>1833</v>
      </c>
      <c r="B33" s="784" t="s">
        <v>1759</v>
      </c>
      <c r="C33" s="53">
        <f ca="1">IF(D33="按租金收入计税",ROUND(C5*F33,1),IF(D33="按房产原值计税",ROUND(C29*F33*0.7,1),INDIRECT("'数据-取费表'!Aj"&amp;$G$1)))</f>
        <v>218.3</v>
      </c>
      <c r="D33" s="811" t="s">
        <v>1681</v>
      </c>
      <c r="E33" s="784" t="s">
        <v>1748</v>
      </c>
      <c r="F33" s="809">
        <f>IF(D33="按租金收入计税",'数据-取费表'!B51,'数据-取费表'!B50)</f>
        <v>1.2E-2</v>
      </c>
      <c r="G33" s="2062"/>
      <c r="H33" s="2077"/>
      <c r="I33" s="2077"/>
      <c r="J33" s="2077"/>
      <c r="K33" s="2078"/>
      <c r="L33" s="2077"/>
      <c r="M33" s="2077"/>
    </row>
    <row r="34" spans="1:18" ht="18" customHeight="1">
      <c r="A34" s="1650" t="s">
        <v>1834</v>
      </c>
      <c r="B34" s="341" t="s">
        <v>1761</v>
      </c>
      <c r="C34" s="54">
        <f ca="1">ROUND(F34*F35/10000,1)</f>
        <v>9.1</v>
      </c>
      <c r="D34" s="814" t="s">
        <v>1762</v>
      </c>
      <c r="E34" s="784" t="s">
        <v>1763</v>
      </c>
      <c r="F34" s="640">
        <f>'数据-取费表'!B52</f>
        <v>4.5</v>
      </c>
      <c r="G34" s="2062"/>
      <c r="H34" s="2065"/>
      <c r="I34" s="835" t="s">
        <v>1814</v>
      </c>
      <c r="J34" s="836"/>
      <c r="K34" s="2080"/>
      <c r="L34" s="2079"/>
      <c r="M34" s="2079"/>
    </row>
    <row r="35" spans="1:18" ht="18" customHeight="1">
      <c r="A35" s="815"/>
      <c r="B35" s="793"/>
      <c r="C35" s="69"/>
      <c r="D35" s="816"/>
      <c r="E35" s="784" t="s">
        <v>1767</v>
      </c>
      <c r="F35" s="785">
        <f ca="1">INDIRECT("'数据-取费表'!r"&amp;$G$1)</f>
        <v>20149.169999999998</v>
      </c>
      <c r="G35" s="2062"/>
      <c r="H35" s="2065"/>
      <c r="I35" s="837" t="s">
        <v>1815</v>
      </c>
      <c r="J35" s="838">
        <f ca="1">ROUND(C13*J36,0)</f>
        <v>2209</v>
      </c>
      <c r="K35" s="2078"/>
      <c r="L35" s="2077"/>
      <c r="M35" s="2077"/>
    </row>
    <row r="36" spans="1:18" ht="18" customHeight="1">
      <c r="A36" s="1648" t="s">
        <v>1890</v>
      </c>
      <c r="B36" s="784" t="s">
        <v>1803</v>
      </c>
      <c r="C36" s="53">
        <f ca="1">ROUND(C29*F36,1)</f>
        <v>389.8</v>
      </c>
      <c r="D36" s="3475" t="s">
        <v>1804</v>
      </c>
      <c r="E36" s="784" t="s">
        <v>1748</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8" t="s">
        <v>1891</v>
      </c>
      <c r="B37" s="784" t="s">
        <v>680</v>
      </c>
      <c r="C37" s="53">
        <f ca="1">ROUND(C13*F37,1)</f>
        <v>39</v>
      </c>
      <c r="D37" s="3475" t="s">
        <v>1772</v>
      </c>
      <c r="E37" s="784" t="s">
        <v>1748</v>
      </c>
      <c r="F37" s="818">
        <f ca="1">INDIRECT("'数据-取费表'!Al"&amp;$G$1)</f>
        <v>1.5E-3</v>
      </c>
      <c r="G37" s="2062"/>
      <c r="H37" s="2077"/>
      <c r="I37" s="841" t="s">
        <v>1817</v>
      </c>
      <c r="J37" s="842"/>
      <c r="K37" s="2082"/>
      <c r="L37" s="2077"/>
      <c r="M37" s="2077"/>
    </row>
    <row r="38" spans="1:18" ht="18" customHeight="1" thickBot="1">
      <c r="A38" s="2575" t="s">
        <v>1892</v>
      </c>
      <c r="B38" s="2570" t="s">
        <v>667</v>
      </c>
      <c r="C38" s="2568">
        <f ca="1">ROUND(C5*F38,1)</f>
        <v>20.5</v>
      </c>
      <c r="D38" s="2569" t="s">
        <v>1775</v>
      </c>
      <c r="E38" s="2570" t="s">
        <v>1748</v>
      </c>
      <c r="F38" s="2566">
        <f ca="1">INDIRECT("'数据-取费表'!Am"&amp;$G$1)</f>
        <v>1.4999999999999999E-2</v>
      </c>
      <c r="G38" s="2062"/>
      <c r="H38" s="2077"/>
      <c r="I38" s="843" t="s">
        <v>1818</v>
      </c>
      <c r="J38" s="844"/>
      <c r="K38" s="2083"/>
      <c r="L38" s="2077"/>
      <c r="M38" s="2077"/>
    </row>
    <row r="39" spans="1:18" ht="24.6" customHeight="1" thickTop="1">
      <c r="A39" s="1829" t="s">
        <v>1777</v>
      </c>
      <c r="B39" s="3034" t="s">
        <v>2824</v>
      </c>
      <c r="C39" s="792">
        <f ca="1">C5-C30</f>
        <v>616</v>
      </c>
      <c r="D39" s="2572" t="s">
        <v>1778</v>
      </c>
      <c r="E39" s="2573"/>
      <c r="F39" s="2574"/>
      <c r="G39" s="2062"/>
      <c r="H39" s="2077"/>
      <c r="I39" s="837" t="s">
        <v>1819</v>
      </c>
      <c r="J39" s="845">
        <f ca="1">ROUND(J35/C39,3)</f>
        <v>3.5859999999999999</v>
      </c>
      <c r="K39" s="2083"/>
      <c r="L39" s="2077"/>
      <c r="M39" s="2077"/>
    </row>
    <row r="40" spans="1:18" ht="18" customHeight="1">
      <c r="A40" s="781" t="s">
        <v>1781</v>
      </c>
      <c r="B40" s="2232" t="s">
        <v>2302</v>
      </c>
      <c r="C40" s="783">
        <f ca="1">ROUND(C39*(1-((1+F42)/(1+F40))^F41)/(F40-F42),0)</f>
        <v>15492</v>
      </c>
      <c r="D40" s="814" t="s">
        <v>1782</v>
      </c>
      <c r="E40" s="784" t="s">
        <v>2419</v>
      </c>
      <c r="F40" s="794">
        <f ca="1">INDIRECT("'数据-取费表'!I"&amp;$G$1)</f>
        <v>4.4999999999999998E-2</v>
      </c>
      <c r="G40" s="2062"/>
      <c r="H40" s="2062"/>
      <c r="I40" s="837" t="s">
        <v>1820</v>
      </c>
      <c r="J40" s="845">
        <f ca="1">1-J39</f>
        <v>-2.5859999999999999</v>
      </c>
      <c r="K40" s="2083"/>
      <c r="L40" s="2062"/>
      <c r="M40" s="2062"/>
    </row>
    <row r="41" spans="1:18" ht="18" customHeight="1">
      <c r="A41" s="786"/>
      <c r="B41" s="787"/>
      <c r="C41" s="788"/>
      <c r="D41" s="821" t="s">
        <v>1809</v>
      </c>
      <c r="E41" s="784" t="s">
        <v>1785</v>
      </c>
      <c r="F41" s="822">
        <f ca="1">IF(INDIRECT("'数据-取费表'!af"&amp;$G$1)=0,INDIRECT("'数据-取费表'!ae"&amp;$G$1),INDIRECT("'数据-取费表'!af"&amp;$G$1))</f>
        <v>40.92</v>
      </c>
      <c r="G41" s="2062"/>
      <c r="H41" s="1988"/>
      <c r="I41" s="843" t="s">
        <v>1821</v>
      </c>
      <c r="J41" s="846"/>
      <c r="K41" s="2082"/>
      <c r="L41" s="1988"/>
      <c r="M41" s="1988"/>
    </row>
    <row r="42" spans="1:18" ht="18" customHeight="1">
      <c r="A42" s="790"/>
      <c r="B42" s="791"/>
      <c r="C42" s="792"/>
      <c r="D42" s="816"/>
      <c r="E42" s="784" t="s">
        <v>1787</v>
      </c>
      <c r="F42" s="794">
        <f ca="1">INDIRECT("'数据-取费表'!v"&amp;$G$1)</f>
        <v>0.02</v>
      </c>
      <c r="G42" s="2062"/>
      <c r="H42" s="1988"/>
      <c r="I42" s="847" t="s">
        <v>1822</v>
      </c>
      <c r="J42" s="845">
        <f ca="1">ROUND(C13/C40,3)</f>
        <v>1.677</v>
      </c>
      <c r="K42" s="2082"/>
      <c r="L42" s="1988"/>
      <c r="M42" s="1988"/>
    </row>
    <row r="43" spans="1:18" ht="18" customHeight="1" thickBot="1">
      <c r="A43" s="823" t="s">
        <v>1788</v>
      </c>
      <c r="B43" s="824" t="s">
        <v>1811</v>
      </c>
      <c r="C43" s="825">
        <f ca="1">ROUND(C40*10000/F43,0)</f>
        <v>1605</v>
      </c>
      <c r="D43" s="826" t="s">
        <v>1812</v>
      </c>
      <c r="E43" s="827" t="s">
        <v>1813</v>
      </c>
      <c r="F43" s="828">
        <f ca="1">INDIRECT("'数据-取费表'!k"&amp;$G$1)</f>
        <v>96520</v>
      </c>
      <c r="G43" s="2062"/>
      <c r="H43" s="1988"/>
      <c r="I43" s="847" t="s">
        <v>1823</v>
      </c>
      <c r="J43" s="848">
        <f ca="1">1-J42</f>
        <v>-0.67700000000000005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-27663</v>
      </c>
      <c r="D46" s="2085"/>
      <c r="E46" s="2085"/>
      <c r="F46" s="2085"/>
      <c r="I46" s="2378" t="s">
        <v>2342</v>
      </c>
      <c r="J46" s="2379"/>
      <c r="K46" s="2380"/>
      <c r="L46" s="2381" t="str">
        <f ca="1">IF(M47="住宅",0,IF(L48&gt;J51,L60,J60))</f>
        <v>0</v>
      </c>
      <c r="O46" s="2418" t="s">
        <v>2410</v>
      </c>
      <c r="P46" s="1591"/>
      <c r="Q46" s="1603"/>
      <c r="R46" s="1591"/>
    </row>
    <row r="47" spans="1:18" s="2059" customFormat="1" ht="18" customHeight="1" thickBot="1">
      <c r="A47" s="2372">
        <v>1</v>
      </c>
      <c r="B47" s="2373" t="s">
        <v>636</v>
      </c>
      <c r="C47" s="2598">
        <f ca="1">C48+C52+C54</f>
        <v>0</v>
      </c>
      <c r="D47" s="2085"/>
      <c r="E47" s="2085"/>
      <c r="F47" s="2085"/>
      <c r="I47" s="2382" t="s">
        <v>2343</v>
      </c>
      <c r="J47" s="2387" t="s">
        <v>3433</v>
      </c>
      <c r="K47" s="2388" t="s">
        <v>2349</v>
      </c>
      <c r="L47" s="2389">
        <f ca="1">INDIRECT("'数据-取费表'!d"&amp;$G$1)</f>
        <v>50</v>
      </c>
      <c r="M47" s="1603" t="str">
        <f>IF(ISNUMBER(FIND("住宅",C1)),"住宅","非住宅")</f>
        <v>非住宅</v>
      </c>
      <c r="O47" s="2419" t="s">
        <v>2375</v>
      </c>
      <c r="P47" s="2420" t="s">
        <v>2376</v>
      </c>
      <c r="Q47" s="2421" t="s">
        <v>2377</v>
      </c>
      <c r="R47" s="2420" t="s">
        <v>2378</v>
      </c>
    </row>
    <row r="48" spans="1:18" s="2059" customFormat="1" ht="18" customHeight="1" thickBot="1">
      <c r="A48" s="2667" t="s">
        <v>1871</v>
      </c>
      <c r="B48" s="2668" t="s">
        <v>2540</v>
      </c>
      <c r="C48" s="2374">
        <f ca="1">ROUND(F48*F50*F49*(1-F51)/10000,0)</f>
        <v>0</v>
      </c>
      <c r="D48" s="2375" t="s">
        <v>637</v>
      </c>
      <c r="E48" s="2376" t="s">
        <v>2297</v>
      </c>
      <c r="F48" s="2377"/>
      <c r="G48" s="2090"/>
      <c r="I48" s="2383" t="s">
        <v>2344</v>
      </c>
      <c r="J48" s="2390" t="s">
        <v>2350</v>
      </c>
      <c r="K48" s="2391" t="s">
        <v>2351</v>
      </c>
      <c r="L48" s="2392">
        <f ca="1">INDIRECT("'数据-取费表'!f"&amp;$G$1)</f>
        <v>43.92</v>
      </c>
      <c r="O48" s="2422" t="s">
        <v>2379</v>
      </c>
      <c r="P48" s="2423" t="s">
        <v>2405</v>
      </c>
      <c r="Q48" s="2424">
        <f ca="1">C40+J29</f>
        <v>15492</v>
      </c>
      <c r="R48" s="2423" t="s">
        <v>2380</v>
      </c>
    </row>
    <row r="49" spans="1:18" s="2059" customFormat="1" ht="18" customHeight="1" thickBot="1">
      <c r="A49" s="786"/>
      <c r="B49" s="787"/>
      <c r="C49" s="788"/>
      <c r="D49" s="789"/>
      <c r="E49" s="784" t="s">
        <v>1740</v>
      </c>
      <c r="F49" s="785">
        <f ca="1">F7</f>
        <v>2525</v>
      </c>
      <c r="G49" s="2090"/>
      <c r="H49" s="2093"/>
      <c r="I49" s="2383" t="s">
        <v>2345</v>
      </c>
      <c r="J49" s="2393"/>
      <c r="K49" s="2394" t="s">
        <v>2352</v>
      </c>
      <c r="L49" s="2395"/>
      <c r="O49" s="2422" t="s">
        <v>2381</v>
      </c>
      <c r="P49" s="2423" t="s">
        <v>2406</v>
      </c>
      <c r="Q49" s="2424" t="str">
        <f ca="1">J60</f>
        <v>0</v>
      </c>
      <c r="R49" s="2423" t="s">
        <v>2382</v>
      </c>
    </row>
    <row r="50" spans="1:18" s="2059" customFormat="1" ht="18" customHeight="1" thickBot="1">
      <c r="A50" s="786"/>
      <c r="B50" s="787"/>
      <c r="C50" s="788"/>
      <c r="D50" s="789"/>
      <c r="E50" s="784" t="s">
        <v>1741</v>
      </c>
      <c r="F50" s="785">
        <f ca="1">F8</f>
        <v>12</v>
      </c>
      <c r="G50" s="2095"/>
      <c r="H50" s="2093"/>
      <c r="I50" s="2383" t="s">
        <v>2346</v>
      </c>
      <c r="J50" s="2396">
        <f>SUMPRODUCT((I63:I65=J47)*(J62:L62=J48)*(J63:L65))</f>
        <v>60</v>
      </c>
      <c r="K50" s="2394" t="s">
        <v>2353</v>
      </c>
      <c r="L50" s="2395"/>
      <c r="O50" s="2425" t="s">
        <v>2383</v>
      </c>
      <c r="P50" s="2423" t="s">
        <v>2407</v>
      </c>
      <c r="Q50" s="2424">
        <f ca="1">C29</f>
        <v>25984</v>
      </c>
      <c r="R50" s="2423" t="s">
        <v>2380</v>
      </c>
    </row>
    <row r="51" spans="1:18" s="2059" customFormat="1" ht="18" customHeight="1" thickBot="1">
      <c r="A51" s="786"/>
      <c r="B51" s="787"/>
      <c r="C51" s="788"/>
      <c r="D51" s="789"/>
      <c r="E51" s="784" t="s">
        <v>641</v>
      </c>
      <c r="F51" s="2371"/>
      <c r="H51" s="2093"/>
      <c r="I51" s="2384" t="s">
        <v>2347</v>
      </c>
      <c r="J51" s="2397">
        <f>IF(J49="",J50,J49+J50-YEAR('数据-取费表'!B2))</f>
        <v>60</v>
      </c>
      <c r="K51" s="2383" t="s">
        <v>2354</v>
      </c>
      <c r="L51" s="2398">
        <f ca="1">ROUND(-PV(INDIRECT("'数据-取费表'!h"&amp;$G$1),L48,(C39-C13*J36),0),0)</f>
        <v>-32705</v>
      </c>
      <c r="O51" s="2425" t="s">
        <v>2384</v>
      </c>
      <c r="P51" s="2423" t="s">
        <v>2385</v>
      </c>
      <c r="Q51" s="2426" t="e">
        <f ca="1">J58</f>
        <v>#VALUE!</v>
      </c>
      <c r="R51" s="2427"/>
    </row>
    <row r="52" spans="1:18" s="2059" customFormat="1" ht="18" customHeight="1" thickBot="1">
      <c r="A52" s="781" t="s">
        <v>2538</v>
      </c>
      <c r="B52" s="2518" t="s">
        <v>2460</v>
      </c>
      <c r="C52" s="799">
        <f ca="1">ROUND(IF(F52="押一",F48*F50*F49/12*F11,IF(F52="押二",F48*F50*F49/12*2*F11,IF(F52="押三",F48*F50*F49/12*3*F11,C53*F11)))/10000,0)</f>
        <v>0</v>
      </c>
      <c r="D52" s="2525" t="s">
        <v>2467</v>
      </c>
      <c r="E52" s="2522" t="s">
        <v>2465</v>
      </c>
      <c r="F52" s="2645"/>
      <c r="I52" s="2385" t="s">
        <v>2421</v>
      </c>
      <c r="J52" s="2399"/>
      <c r="K52" s="2385" t="s">
        <v>2420</v>
      </c>
      <c r="L52" s="2399"/>
      <c r="O52" s="2425" t="s">
        <v>2386</v>
      </c>
      <c r="P52" s="2423" t="s">
        <v>2387</v>
      </c>
      <c r="Q52" s="2426">
        <f>J52</f>
        <v>0</v>
      </c>
      <c r="R52" s="2427"/>
    </row>
    <row r="53" spans="1:18" s="2059" customFormat="1" ht="39.75" customHeight="1" thickBot="1">
      <c r="A53" s="786"/>
      <c r="B53" s="2519" t="s">
        <v>2575</v>
      </c>
      <c r="C53" s="2523"/>
      <c r="D53" s="2525"/>
      <c r="E53" s="2522"/>
      <c r="F53" s="800"/>
      <c r="I53" s="2386" t="s">
        <v>2348</v>
      </c>
      <c r="J53" s="2400">
        <f ca="1">IF(M47="住宅",J51,IF(D1="——",MIN(J51,L48),IF(D1="土地（套用方法）",MIN(J51,L48-'数据-取费表'!B20))))</f>
        <v>40.92</v>
      </c>
      <c r="K53" s="3792" t="s">
        <v>2965</v>
      </c>
      <c r="L53" s="3793"/>
      <c r="O53" s="2425" t="s">
        <v>2388</v>
      </c>
      <c r="P53" s="2423" t="s">
        <v>2389</v>
      </c>
      <c r="Q53" s="2424">
        <f ca="1">J53</f>
        <v>40.92</v>
      </c>
      <c r="R53" s="2423" t="s">
        <v>2390</v>
      </c>
    </row>
    <row r="54" spans="1:18" s="2059" customFormat="1" ht="18" customHeight="1" thickBot="1">
      <c r="A54" s="2561" t="s">
        <v>2469</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15492</v>
      </c>
      <c r="R54" s="2427" t="s">
        <v>2392</v>
      </c>
    </row>
    <row r="55" spans="1:18" s="2059" customFormat="1" ht="18" customHeight="1" thickTop="1" thickBot="1">
      <c r="A55" s="797">
        <v>2</v>
      </c>
      <c r="B55" s="798" t="s">
        <v>645</v>
      </c>
      <c r="C55" s="799">
        <f ca="1">C13</f>
        <v>25984</v>
      </c>
      <c r="D55" s="795"/>
      <c r="E55" s="795"/>
      <c r="F55" s="800"/>
      <c r="I55" s="3126" t="s">
        <v>2355</v>
      </c>
      <c r="J55" s="3125" t="e">
        <f ca="1">ROUND(IF(J47="钢混",J57/J50,1-(1-2%)*(J50-J57)/J50),3)</f>
        <v>#VALUE!</v>
      </c>
      <c r="K55" s="2401" t="s">
        <v>2356</v>
      </c>
      <c r="L55" s="2402"/>
      <c r="O55" s="2428" t="s">
        <v>2411</v>
      </c>
      <c r="P55" s="1591"/>
      <c r="Q55" s="1603"/>
      <c r="R55" s="1591"/>
    </row>
    <row r="56" spans="1:18" s="2059" customFormat="1" ht="42.75" customHeight="1" thickBot="1">
      <c r="A56" s="1649"/>
      <c r="B56" s="2231" t="s">
        <v>2301</v>
      </c>
      <c r="C56" s="53">
        <f ca="1">C29</f>
        <v>25984</v>
      </c>
      <c r="D56" s="3475"/>
      <c r="E56" s="784"/>
      <c r="F56" s="809"/>
      <c r="I56" s="2403" t="s">
        <v>2357</v>
      </c>
      <c r="J56" s="3149" t="s">
        <v>1679</v>
      </c>
      <c r="K56" s="2383" t="s">
        <v>2362</v>
      </c>
      <c r="L56" s="2392" t="str">
        <f ca="1">IF(L48&lt;J51,"——",L48-J51)</f>
        <v>——</v>
      </c>
      <c r="O56" s="2419" t="s">
        <v>2375</v>
      </c>
      <c r="P56" s="2420" t="s">
        <v>2376</v>
      </c>
      <c r="Q56" s="2421" t="s">
        <v>2377</v>
      </c>
      <c r="R56" s="2420" t="s">
        <v>2378</v>
      </c>
    </row>
    <row r="57" spans="1:18" s="2059" customFormat="1" ht="28.5" customHeight="1" thickBot="1">
      <c r="A57" s="797" t="s">
        <v>7</v>
      </c>
      <c r="B57" s="798" t="s">
        <v>652</v>
      </c>
      <c r="C57" s="799">
        <f ca="1">ROUND(C58+C63+C64+C65,0)</f>
        <v>656</v>
      </c>
      <c r="D57" s="26" t="s">
        <v>1751</v>
      </c>
      <c r="E57" s="3480"/>
      <c r="F57" s="56"/>
      <c r="I57" s="2404" t="s">
        <v>2358</v>
      </c>
      <c r="J57" s="2406" t="str">
        <f ca="1">IF(OR(M47="住宅",J51&lt;L48,J56="是"),"——",J51-L48)</f>
        <v>——</v>
      </c>
      <c r="K57" s="2383" t="s">
        <v>2363</v>
      </c>
      <c r="L57" s="2392" t="str">
        <f ca="1">IF(L48&lt;J51,"——",IF(L55="比较法",L49,IF(L55="基准地价",L50,L51)))</f>
        <v>——</v>
      </c>
      <c r="O57" s="2422" t="s">
        <v>2379</v>
      </c>
      <c r="P57" s="2423" t="s">
        <v>2405</v>
      </c>
      <c r="Q57" s="2424">
        <f ca="1">C40+J29</f>
        <v>15492</v>
      </c>
      <c r="R57" s="2423" t="s">
        <v>2380</v>
      </c>
    </row>
    <row r="58" spans="1:18" s="2059" customFormat="1" ht="28.5" customHeight="1" thickBot="1">
      <c r="A58" s="1648" t="s">
        <v>1825</v>
      </c>
      <c r="B58" s="784" t="s">
        <v>657</v>
      </c>
      <c r="C58" s="53">
        <f ca="1">ROUND(IF(项目基本情况!B11="自然人",C47*F58,C59+C60+C61),1)</f>
        <v>227.4</v>
      </c>
      <c r="D58" s="3476" t="s">
        <v>658</v>
      </c>
      <c r="E58" s="3475" t="s">
        <v>691</v>
      </c>
      <c r="F58" s="810" t="str">
        <f ca="1">IF(项目基本情况!B11="企业","",IF(INDIRECT("'数据-取费表'!c"&amp;$G$1)="住宅",5%,IF(F48*F49*F50/12/(1+'数据-取费表'!C42)&gt;20000,12%,7%)))</f>
        <v/>
      </c>
      <c r="I58" s="2404" t="s">
        <v>2359</v>
      </c>
      <c r="J58" s="3127"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1832</v>
      </c>
      <c r="B59" s="784" t="s">
        <v>661</v>
      </c>
      <c r="C59" s="53">
        <f ca="1">ROUND(C47*F59/1.05,1)</f>
        <v>0</v>
      </c>
      <c r="D59" s="3475" t="s">
        <v>1757</v>
      </c>
      <c r="E59" s="784" t="s">
        <v>1748</v>
      </c>
      <c r="F59" s="809">
        <f t="shared" ref="F59:F65" si="0">F32</f>
        <v>5.5000000000000007E-2</v>
      </c>
      <c r="I59" s="2404" t="s">
        <v>2360</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1833</v>
      </c>
      <c r="B60" s="784" t="s">
        <v>1759</v>
      </c>
      <c r="C60" s="53">
        <f ca="1">IF(D60="按租金收入计税",ROUND(C47*F60,1),IF(D60="按房产原值计税",ROUND(C56*F60*0.7,1),INDIRECT("'数据-取费表'!Aj"&amp;$G$1)))</f>
        <v>218.3</v>
      </c>
      <c r="D60" s="3475" t="str">
        <f>D33</f>
        <v>按房产原值计税</v>
      </c>
      <c r="E60" s="784" t="s">
        <v>1748</v>
      </c>
      <c r="F60" s="809">
        <f t="shared" si="0"/>
        <v>1.2E-2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1834</v>
      </c>
      <c r="B61" s="341" t="s">
        <v>669</v>
      </c>
      <c r="C61" s="54">
        <f ca="1">ROUND(F61*F62/10000,1)</f>
        <v>9.1</v>
      </c>
      <c r="D61" s="814" t="s">
        <v>670</v>
      </c>
      <c r="E61" s="784" t="s">
        <v>671</v>
      </c>
      <c r="F61" s="640">
        <f t="shared" si="0"/>
        <v>4.5</v>
      </c>
      <c r="K61" s="2086"/>
      <c r="O61" s="2425" t="s">
        <v>2386</v>
      </c>
      <c r="P61" s="2423" t="s">
        <v>2394</v>
      </c>
      <c r="Q61" s="2424" t="e">
        <f ca="1">L58</f>
        <v>#DIV/0!</v>
      </c>
      <c r="R61" s="2427" t="s">
        <v>2395</v>
      </c>
    </row>
    <row r="62" spans="1:18" s="2059" customFormat="1" ht="15.75" thickBot="1">
      <c r="A62" s="815"/>
      <c r="B62" s="793"/>
      <c r="C62" s="69"/>
      <c r="D62" s="816"/>
      <c r="E62" s="784" t="s">
        <v>675</v>
      </c>
      <c r="F62" s="785">
        <f t="shared" ca="1" si="0"/>
        <v>20149.169999999998</v>
      </c>
      <c r="I62" s="2409" t="s">
        <v>2367</v>
      </c>
      <c r="J62" s="2410" t="s">
        <v>2368</v>
      </c>
      <c r="K62" s="2410" t="s">
        <v>2369</v>
      </c>
      <c r="L62" s="2410" t="s">
        <v>2350</v>
      </c>
      <c r="M62" s="3128" t="s">
        <v>2940</v>
      </c>
      <c r="O62" s="2425" t="s">
        <v>2388</v>
      </c>
      <c r="P62" s="2423" t="str">
        <f>K59</f>
        <v>建设期及建筑物耐用年限下的土地年期修正系数Kn</v>
      </c>
      <c r="Q62" s="2424" t="e">
        <f ca="1">L59</f>
        <v>#DIV/0!</v>
      </c>
      <c r="R62" s="2427" t="s">
        <v>2397</v>
      </c>
    </row>
    <row r="63" spans="1:18" s="2059" customFormat="1" ht="15.75" thickBot="1">
      <c r="A63" s="1648" t="s">
        <v>1890</v>
      </c>
      <c r="B63" s="784" t="s">
        <v>677</v>
      </c>
      <c r="C63" s="53">
        <f ca="1">ROUND(C56*F63,1)</f>
        <v>389.8</v>
      </c>
      <c r="D63" s="3475" t="s">
        <v>1804</v>
      </c>
      <c r="E63" s="784" t="s">
        <v>1748</v>
      </c>
      <c r="F63" s="817">
        <f t="shared" ca="1" si="0"/>
        <v>1.4999999999999999E-2</v>
      </c>
      <c r="I63" s="2409" t="s">
        <v>2370</v>
      </c>
      <c r="J63" s="2410">
        <v>70</v>
      </c>
      <c r="K63" s="2410">
        <v>50</v>
      </c>
      <c r="L63" s="2410">
        <v>80</v>
      </c>
      <c r="M63" s="3129">
        <v>0.02</v>
      </c>
      <c r="O63" s="2422" t="s">
        <v>2391</v>
      </c>
      <c r="P63" s="2423" t="s">
        <v>2408</v>
      </c>
      <c r="Q63" s="2424">
        <f ca="1">Q57+Q58</f>
        <v>15492</v>
      </c>
      <c r="R63" s="2427" t="s">
        <v>2392</v>
      </c>
    </row>
    <row r="64" spans="1:18" s="2059" customFormat="1" ht="16.5" thickBot="1">
      <c r="A64" s="1648" t="s">
        <v>1891</v>
      </c>
      <c r="B64" s="784" t="s">
        <v>680</v>
      </c>
      <c r="C64" s="53">
        <f ca="1">ROUND(C55*F64,1)</f>
        <v>39</v>
      </c>
      <c r="D64" s="3475" t="s">
        <v>681</v>
      </c>
      <c r="E64" s="784" t="s">
        <v>1748</v>
      </c>
      <c r="F64" s="818">
        <f t="shared" ca="1" si="0"/>
        <v>1.5E-3</v>
      </c>
      <c r="I64" s="2409" t="s">
        <v>2371</v>
      </c>
      <c r="J64" s="2410">
        <v>50</v>
      </c>
      <c r="K64" s="2410">
        <v>35</v>
      </c>
      <c r="L64" s="2410">
        <v>60</v>
      </c>
      <c r="M64" s="3130">
        <v>0</v>
      </c>
      <c r="O64" s="2428" t="s">
        <v>2415</v>
      </c>
      <c r="P64" s="1591"/>
      <c r="Q64" s="1603"/>
      <c r="R64" s="1591"/>
    </row>
    <row r="65" spans="1:18" s="2059" customFormat="1" ht="15.75" thickBot="1">
      <c r="A65" s="1648" t="s">
        <v>1892</v>
      </c>
      <c r="B65" s="784" t="s">
        <v>667</v>
      </c>
      <c r="C65" s="53">
        <f ca="1">ROUND(C47*F65,1)</f>
        <v>0</v>
      </c>
      <c r="D65" s="3475" t="s">
        <v>684</v>
      </c>
      <c r="E65" s="784" t="s">
        <v>1748</v>
      </c>
      <c r="F65" s="794">
        <f t="shared" ca="1" si="0"/>
        <v>1.4999999999999999E-2</v>
      </c>
      <c r="I65" s="2409" t="s">
        <v>2372</v>
      </c>
      <c r="J65" s="2410">
        <v>40</v>
      </c>
      <c r="K65" s="2410">
        <v>30</v>
      </c>
      <c r="L65" s="2410">
        <v>50</v>
      </c>
      <c r="M65" s="3129">
        <v>0.02</v>
      </c>
      <c r="O65" s="2419" t="s">
        <v>2375</v>
      </c>
      <c r="P65" s="2420" t="s">
        <v>2376</v>
      </c>
      <c r="Q65" s="2421" t="s">
        <v>2377</v>
      </c>
      <c r="R65" s="2420" t="s">
        <v>2378</v>
      </c>
    </row>
    <row r="66" spans="1:18" s="2059" customFormat="1" ht="24.75" thickBot="1">
      <c r="A66" s="797" t="s">
        <v>1777</v>
      </c>
      <c r="B66" s="3035" t="s">
        <v>2824</v>
      </c>
      <c r="C66" s="799">
        <f ca="1">C47-C57</f>
        <v>-656</v>
      </c>
      <c r="D66" s="3476" t="s">
        <v>701</v>
      </c>
      <c r="E66" s="3479"/>
      <c r="F66" s="820"/>
      <c r="K66" s="2086"/>
      <c r="O66" s="2422" t="s">
        <v>2379</v>
      </c>
      <c r="P66" s="2423" t="s">
        <v>2405</v>
      </c>
      <c r="Q66" s="2424">
        <f ca="1">C40+J29</f>
        <v>15492</v>
      </c>
      <c r="R66" s="2423" t="s">
        <v>2380</v>
      </c>
    </row>
    <row r="67" spans="1:18" s="2059" customFormat="1" ht="20.25" thickBot="1">
      <c r="A67" s="781" t="s">
        <v>1781</v>
      </c>
      <c r="B67" s="2232" t="s">
        <v>2302</v>
      </c>
      <c r="C67" s="783">
        <f ca="1">ROUND(C66*(1-((1+F69)/(1+F67))^F68)/(F67-F69),0)</f>
        <v>-12171</v>
      </c>
      <c r="D67" s="814" t="s">
        <v>705</v>
      </c>
      <c r="E67" s="784" t="s">
        <v>706</v>
      </c>
      <c r="F67" s="794">
        <f ca="1">F40</f>
        <v>4.4999999999999998E-2</v>
      </c>
      <c r="K67" s="2086"/>
      <c r="O67" s="2422" t="s">
        <v>2381</v>
      </c>
      <c r="P67" s="2423" t="s">
        <v>2412</v>
      </c>
      <c r="Q67" s="2424">
        <f ca="1">L60</f>
        <v>0</v>
      </c>
      <c r="R67" s="2427" t="s">
        <v>2414</v>
      </c>
    </row>
    <row r="68" spans="1:18" ht="21.75" thickBot="1">
      <c r="A68" s="786"/>
      <c r="B68" s="787"/>
      <c r="C68" s="788"/>
      <c r="D68" s="821" t="s">
        <v>1809</v>
      </c>
      <c r="E68" s="784" t="s">
        <v>1785</v>
      </c>
      <c r="F68" s="822">
        <f ca="1">F41</f>
        <v>40.92</v>
      </c>
      <c r="O68" s="2425" t="s">
        <v>2383</v>
      </c>
      <c r="P68" s="2423" t="s">
        <v>2413</v>
      </c>
      <c r="Q68" s="2429">
        <f ca="1">L51</f>
        <v>-32705</v>
      </c>
      <c r="R68" s="2430" t="s">
        <v>2416</v>
      </c>
    </row>
    <row r="69" spans="1:18" ht="20.25" thickBot="1">
      <c r="A69" s="790"/>
      <c r="B69" s="791"/>
      <c r="C69" s="792"/>
      <c r="D69" s="816"/>
      <c r="E69" s="784" t="s">
        <v>711</v>
      </c>
      <c r="F69" s="2371"/>
      <c r="O69" s="2425" t="s">
        <v>2384</v>
      </c>
      <c r="P69" s="2431" t="s">
        <v>2398</v>
      </c>
      <c r="Q69" s="2424">
        <f ca="1">ROUND(Q70-Q71*Q72,0)</f>
        <v>-1593</v>
      </c>
      <c r="R69" s="2427"/>
    </row>
    <row r="70" spans="1:18" ht="15.75" thickBot="1">
      <c r="A70" s="823" t="s">
        <v>1788</v>
      </c>
      <c r="B70" s="824" t="s">
        <v>1811</v>
      </c>
      <c r="C70" s="825">
        <f ca="1">ROUND(C67*10000/F70,0)</f>
        <v>-1261</v>
      </c>
      <c r="D70" s="826" t="s">
        <v>1812</v>
      </c>
      <c r="E70" s="827" t="s">
        <v>1813</v>
      </c>
      <c r="F70" s="828">
        <f ca="1">F43</f>
        <v>96520</v>
      </c>
      <c r="O70" s="2425" t="s">
        <v>2399</v>
      </c>
      <c r="P70" s="2431" t="s">
        <v>2400</v>
      </c>
      <c r="Q70" s="2424">
        <f ca="1">C39</f>
        <v>616</v>
      </c>
      <c r="R70" s="2423" t="s">
        <v>2380</v>
      </c>
    </row>
    <row r="71" spans="1:18" ht="15.75" thickBot="1">
      <c r="O71" s="2425" t="s">
        <v>2401</v>
      </c>
      <c r="P71" s="2431" t="s">
        <v>2402</v>
      </c>
      <c r="Q71" s="2424">
        <f ca="1">C13</f>
        <v>25984</v>
      </c>
      <c r="R71" s="2423" t="s">
        <v>2380</v>
      </c>
    </row>
    <row r="72" spans="1:18" ht="15.75" thickBot="1">
      <c r="O72" s="2425" t="s">
        <v>2403</v>
      </c>
      <c r="P72" s="2431" t="s">
        <v>2404</v>
      </c>
      <c r="Q72" s="2426">
        <f ca="1">J36</f>
        <v>8.5000000000000006E-2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15492</v>
      </c>
      <c r="R76" s="2427"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07" t="s">
        <v>2473</v>
      </c>
      <c r="B1" s="3808"/>
      <c r="C1" s="3809"/>
      <c r="D1" s="3810">
        <f>SUM(I10,I15,I20,I21,I23)</f>
        <v>0</v>
      </c>
      <c r="E1" s="3810"/>
      <c r="F1" s="3810"/>
      <c r="G1" s="3810"/>
      <c r="H1" s="3810"/>
      <c r="I1" s="3811"/>
    </row>
    <row r="2" spans="1:9">
      <c r="A2" s="3812" t="s">
        <v>2474</v>
      </c>
      <c r="B2" s="3813" t="s">
        <v>2475</v>
      </c>
      <c r="C2" s="3813"/>
      <c r="D2" s="2531" t="s">
        <v>2476</v>
      </c>
      <c r="E2" s="2531" t="s">
        <v>2477</v>
      </c>
      <c r="F2" s="2531" t="s">
        <v>2478</v>
      </c>
      <c r="G2" s="2531" t="s">
        <v>2479</v>
      </c>
      <c r="H2" s="2531" t="s">
        <v>2480</v>
      </c>
      <c r="I2" s="2532" t="s">
        <v>2481</v>
      </c>
    </row>
    <row r="3" spans="1:9">
      <c r="A3" s="3812"/>
      <c r="B3" s="3813" t="s">
        <v>2482</v>
      </c>
      <c r="C3" s="3813"/>
      <c r="D3" s="2533"/>
      <c r="E3" s="2531"/>
      <c r="F3" s="2534"/>
      <c r="G3" s="2534"/>
      <c r="H3" s="2535"/>
      <c r="I3" s="2536">
        <f>ROUND(D3*E3*F3*G3*H3/10000,0)</f>
        <v>0</v>
      </c>
    </row>
    <row r="4" spans="1:9">
      <c r="A4" s="3812"/>
      <c r="B4" s="3813" t="s">
        <v>2483</v>
      </c>
      <c r="C4" s="3813"/>
      <c r="D4" s="2533"/>
      <c r="E4" s="2531"/>
      <c r="F4" s="2534"/>
      <c r="G4" s="2534"/>
      <c r="H4" s="2535"/>
      <c r="I4" s="2536">
        <f t="shared" ref="I4:I9" si="0">ROUND(D4*E4*F4*G4*H4/10000,0)</f>
        <v>0</v>
      </c>
    </row>
    <row r="5" spans="1:9">
      <c r="A5" s="3812"/>
      <c r="B5" s="3813" t="s">
        <v>2484</v>
      </c>
      <c r="C5" s="3813"/>
      <c r="D5" s="2533"/>
      <c r="E5" s="2531"/>
      <c r="F5" s="2534"/>
      <c r="G5" s="2534"/>
      <c r="H5" s="2535"/>
      <c r="I5" s="2536">
        <f t="shared" si="0"/>
        <v>0</v>
      </c>
    </row>
    <row r="6" spans="1:9">
      <c r="A6" s="3812"/>
      <c r="B6" s="3813" t="s">
        <v>2485</v>
      </c>
      <c r="C6" s="3813"/>
      <c r="D6" s="2533"/>
      <c r="E6" s="2531"/>
      <c r="F6" s="2534"/>
      <c r="G6" s="2534"/>
      <c r="H6" s="2535"/>
      <c r="I6" s="2536">
        <f t="shared" si="0"/>
        <v>0</v>
      </c>
    </row>
    <row r="7" spans="1:9">
      <c r="A7" s="3812"/>
      <c r="B7" s="3813" t="s">
        <v>2486</v>
      </c>
      <c r="C7" s="3813"/>
      <c r="D7" s="2533"/>
      <c r="E7" s="2531"/>
      <c r="F7" s="2534"/>
      <c r="G7" s="2534"/>
      <c r="H7" s="2535"/>
      <c r="I7" s="2536">
        <f t="shared" si="0"/>
        <v>0</v>
      </c>
    </row>
    <row r="8" spans="1:9">
      <c r="A8" s="3812"/>
      <c r="B8" s="3813" t="s">
        <v>2487</v>
      </c>
      <c r="C8" s="3813"/>
      <c r="D8" s="2533"/>
      <c r="E8" s="2531"/>
      <c r="F8" s="2534"/>
      <c r="G8" s="2534"/>
      <c r="H8" s="2535"/>
      <c r="I8" s="2536">
        <f t="shared" si="0"/>
        <v>0</v>
      </c>
    </row>
    <row r="9" spans="1:9">
      <c r="A9" s="3812"/>
      <c r="B9" s="3813" t="s">
        <v>2488</v>
      </c>
      <c r="C9" s="3813"/>
      <c r="D9" s="2533"/>
      <c r="E9" s="2531"/>
      <c r="F9" s="2534"/>
      <c r="G9" s="2534"/>
      <c r="H9" s="2535"/>
      <c r="I9" s="2536">
        <f t="shared" si="0"/>
        <v>0</v>
      </c>
    </row>
    <row r="10" spans="1:9">
      <c r="A10" s="3812"/>
      <c r="B10" s="3814" t="s">
        <v>2489</v>
      </c>
      <c r="C10" s="3814"/>
      <c r="D10" s="2537">
        <v>527</v>
      </c>
      <c r="E10" s="2537" t="e">
        <f>ROUND(D1*10000/D10/H9,0)</f>
        <v>#DIV/0!</v>
      </c>
      <c r="F10" s="2538"/>
      <c r="G10" s="2538"/>
      <c r="H10" s="2539"/>
      <c r="I10" s="2540">
        <f>SUM(I3:I9)</f>
        <v>0</v>
      </c>
    </row>
    <row r="11" spans="1:9" ht="14.25">
      <c r="A11" s="3812" t="s">
        <v>2490</v>
      </c>
      <c r="B11" s="3813" t="s">
        <v>2491</v>
      </c>
      <c r="C11" s="3813"/>
      <c r="D11" s="2533" t="s">
        <v>2492</v>
      </c>
      <c r="E11" s="2533" t="s">
        <v>2493</v>
      </c>
      <c r="F11" s="2534" t="s">
        <v>2494</v>
      </c>
      <c r="G11" s="2534" t="s">
        <v>2495</v>
      </c>
      <c r="H11" s="2541" t="s">
        <v>2496</v>
      </c>
      <c r="I11" s="2532" t="s">
        <v>2497</v>
      </c>
    </row>
    <row r="12" spans="1:9">
      <c r="A12" s="3812"/>
      <c r="B12" s="3813" t="s">
        <v>2498</v>
      </c>
      <c r="C12" s="3813"/>
      <c r="D12" s="2533"/>
      <c r="E12" s="2533"/>
      <c r="F12" s="2534"/>
      <c r="G12" s="2535"/>
      <c r="H12" s="2542"/>
      <c r="I12" s="2532">
        <f>ROUND(D12*E12*F12*G12/10000,0)</f>
        <v>0</v>
      </c>
    </row>
    <row r="13" spans="1:9">
      <c r="A13" s="3812"/>
      <c r="B13" s="3813" t="s">
        <v>2499</v>
      </c>
      <c r="C13" s="3813"/>
      <c r="D13" s="2533"/>
      <c r="E13" s="2533"/>
      <c r="F13" s="2534"/>
      <c r="G13" s="2535"/>
      <c r="H13" s="2542"/>
      <c r="I13" s="2532">
        <f>ROUND(D13*E13*F13*G13/10000,0)</f>
        <v>0</v>
      </c>
    </row>
    <row r="14" spans="1:9">
      <c r="A14" s="3812"/>
      <c r="B14" s="3813" t="s">
        <v>2500</v>
      </c>
      <c r="C14" s="3813"/>
      <c r="D14" s="2533"/>
      <c r="E14" s="2533"/>
      <c r="F14" s="2534"/>
      <c r="G14" s="2535"/>
      <c r="H14" s="2542"/>
      <c r="I14" s="2532">
        <f>ROUND(D14*E14*F14*G14/10000,0)</f>
        <v>0</v>
      </c>
    </row>
    <row r="15" spans="1:9">
      <c r="A15" s="3812"/>
      <c r="B15" s="3814" t="s">
        <v>2489</v>
      </c>
      <c r="C15" s="3814"/>
      <c r="D15" s="2537"/>
      <c r="E15" s="2537">
        <f>SUM(E12:E14)</f>
        <v>0</v>
      </c>
      <c r="F15" s="2538"/>
      <c r="G15" s="2535"/>
      <c r="H15" s="2542"/>
      <c r="I15" s="2543">
        <f>SUM(I12:I14)</f>
        <v>0</v>
      </c>
    </row>
    <row r="16" spans="1:9" ht="24">
      <c r="A16" s="3812" t="s">
        <v>2501</v>
      </c>
      <c r="B16" s="3813" t="s">
        <v>2502</v>
      </c>
      <c r="C16" s="3813"/>
      <c r="D16" s="2533" t="s">
        <v>2503</v>
      </c>
      <c r="E16" s="2544" t="s">
        <v>2504</v>
      </c>
      <c r="F16" s="2534" t="s">
        <v>2505</v>
      </c>
      <c r="G16" s="2535" t="s">
        <v>2495</v>
      </c>
      <c r="H16" s="2541" t="s">
        <v>2496</v>
      </c>
      <c r="I16" s="2532" t="s">
        <v>2497</v>
      </c>
    </row>
    <row r="17" spans="1:9" ht="14.25">
      <c r="A17" s="3812"/>
      <c r="B17" s="3813" t="s">
        <v>2506</v>
      </c>
      <c r="C17" s="3813"/>
      <c r="D17" s="2533"/>
      <c r="E17" s="2533"/>
      <c r="F17" s="2534"/>
      <c r="G17" s="2535"/>
      <c r="H17" s="2545"/>
      <c r="I17" s="2546">
        <f>ROUND(D17*E17*F17*G17/10000,0)</f>
        <v>0</v>
      </c>
    </row>
    <row r="18" spans="1:9" ht="14.25">
      <c r="A18" s="3812"/>
      <c r="B18" s="3813" t="s">
        <v>2507</v>
      </c>
      <c r="C18" s="3813"/>
      <c r="D18" s="2533"/>
      <c r="E18" s="2533"/>
      <c r="F18" s="2534"/>
      <c r="G18" s="2535"/>
      <c r="H18" s="2545"/>
      <c r="I18" s="2546">
        <f>ROUND(D18*E18*F18*G18/10000,0)</f>
        <v>0</v>
      </c>
    </row>
    <row r="19" spans="1:9" ht="14.25">
      <c r="A19" s="3812"/>
      <c r="B19" s="3813" t="s">
        <v>2508</v>
      </c>
      <c r="C19" s="3813"/>
      <c r="D19" s="2533"/>
      <c r="E19" s="2533"/>
      <c r="F19" s="2534"/>
      <c r="G19" s="2535"/>
      <c r="H19" s="2545"/>
      <c r="I19" s="2546">
        <f>ROUND(D19*E19*F19*G19/10000,0)</f>
        <v>0</v>
      </c>
    </row>
    <row r="20" spans="1:9">
      <c r="A20" s="3812"/>
      <c r="B20" s="3814" t="s">
        <v>2489</v>
      </c>
      <c r="C20" s="3814"/>
      <c r="D20" s="2537">
        <f>SUM(D17:D19)</f>
        <v>0</v>
      </c>
      <c r="E20" s="2537"/>
      <c r="F20" s="2538"/>
      <c r="G20" s="2535"/>
      <c r="H20" s="2542"/>
      <c r="I20" s="2543">
        <f>SUM(I17:I19)</f>
        <v>0</v>
      </c>
    </row>
    <row r="21" spans="1:9">
      <c r="A21" s="3812" t="s">
        <v>2509</v>
      </c>
      <c r="B21" s="3816"/>
      <c r="C21" s="3816"/>
      <c r="D21" s="3816"/>
      <c r="E21" s="3816"/>
      <c r="F21" s="3816"/>
      <c r="G21" s="3816"/>
      <c r="H21" s="2547">
        <v>0.1</v>
      </c>
      <c r="I21" s="2540">
        <f>ROUND(I10*H21,0)</f>
        <v>0</v>
      </c>
    </row>
    <row r="22" spans="1:9" ht="14.25">
      <c r="A22" s="3817" t="s">
        <v>2510</v>
      </c>
      <c r="B22" s="3818"/>
      <c r="C22" s="3819"/>
      <c r="D22" s="2548" t="s">
        <v>2511</v>
      </c>
      <c r="E22" s="2548" t="s">
        <v>2512</v>
      </c>
      <c r="F22" s="2549" t="s">
        <v>2513</v>
      </c>
      <c r="G22" s="2549" t="s">
        <v>2514</v>
      </c>
      <c r="H22" s="2541" t="s">
        <v>2515</v>
      </c>
      <c r="I22" s="2532" t="s">
        <v>2516</v>
      </c>
    </row>
    <row r="23" spans="1:9" ht="14.25" thickBot="1">
      <c r="A23" s="3820"/>
      <c r="B23" s="3821"/>
      <c r="C23" s="3822"/>
      <c r="D23" s="2550"/>
      <c r="E23" s="2550"/>
      <c r="F23" s="2550"/>
      <c r="G23" s="2551"/>
      <c r="H23" s="2552"/>
      <c r="I23" s="2553">
        <f>ROUND(E23*D23*F23*(1-G23)/10000,0)</f>
        <v>0</v>
      </c>
    </row>
    <row r="26" spans="1:9">
      <c r="A26" s="2554" t="s">
        <v>2517</v>
      </c>
      <c r="B26" s="2554"/>
      <c r="C26" s="2554"/>
      <c r="D26" s="2554"/>
      <c r="E26" s="3823">
        <f>C27-C30-C31-C32</f>
        <v>0</v>
      </c>
      <c r="F26" s="3823"/>
      <c r="G26" s="3823"/>
      <c r="H26" s="3068" t="s">
        <v>2845</v>
      </c>
    </row>
    <row r="27" spans="1:9">
      <c r="A27" s="2555">
        <v>1</v>
      </c>
      <c r="B27" s="2556" t="s">
        <v>2518</v>
      </c>
      <c r="C27" s="2556"/>
      <c r="D27" s="2556"/>
      <c r="E27" s="3824"/>
      <c r="F27" s="3824"/>
      <c r="G27" s="3824"/>
    </row>
    <row r="28" spans="1:9">
      <c r="A28" s="2557" t="s">
        <v>2519</v>
      </c>
      <c r="B28" s="2556" t="s">
        <v>2520</v>
      </c>
      <c r="C28" s="2556"/>
      <c r="D28" s="2556"/>
      <c r="E28" s="3824"/>
      <c r="F28" s="3824"/>
      <c r="G28" s="3824"/>
    </row>
    <row r="29" spans="1:9">
      <c r="A29" s="2557" t="s">
        <v>2521</v>
      </c>
      <c r="B29" s="2556" t="s">
        <v>2461</v>
      </c>
      <c r="C29" s="2556"/>
      <c r="D29" s="2556"/>
      <c r="E29" s="2556" t="s">
        <v>2522</v>
      </c>
      <c r="F29" s="2556"/>
      <c r="G29" s="2556"/>
    </row>
    <row r="30" spans="1:9">
      <c r="A30" s="2555">
        <v>2</v>
      </c>
      <c r="B30" s="2556" t="s">
        <v>2523</v>
      </c>
      <c r="C30" s="2556">
        <f>C27*D30</f>
        <v>0</v>
      </c>
      <c r="D30" s="2558">
        <v>0.2</v>
      </c>
      <c r="E30" s="2556" t="s">
        <v>2524</v>
      </c>
      <c r="F30" s="2556"/>
      <c r="G30" s="2556"/>
    </row>
    <row r="31" spans="1:9">
      <c r="A31" s="2555">
        <v>3</v>
      </c>
      <c r="B31" s="2556" t="s">
        <v>2525</v>
      </c>
      <c r="C31" s="2556">
        <f>C25*D31</f>
        <v>0</v>
      </c>
      <c r="D31" s="2558">
        <v>0.15</v>
      </c>
      <c r="E31" s="2556" t="s">
        <v>2526</v>
      </c>
      <c r="F31" s="2556"/>
      <c r="G31" s="2556"/>
    </row>
    <row r="32" spans="1:9">
      <c r="A32" s="2555">
        <v>4</v>
      </c>
      <c r="B32" s="2556" t="s">
        <v>2527</v>
      </c>
      <c r="C32" s="2556">
        <f>C27*D32</f>
        <v>0</v>
      </c>
      <c r="D32" s="2558">
        <v>0.05</v>
      </c>
      <c r="E32" s="3815"/>
      <c r="F32" s="3815"/>
      <c r="G32" s="3815"/>
    </row>
    <row r="33" spans="1:7" hidden="1">
      <c r="A33" s="3825" t="s">
        <v>2528</v>
      </c>
      <c r="B33" s="3826"/>
      <c r="C33" s="3826"/>
      <c r="D33" s="3827"/>
      <c r="E33" s="3823"/>
      <c r="F33" s="3823"/>
      <c r="G33" s="3823"/>
    </row>
    <row r="34" spans="1:7" hidden="1">
      <c r="A34" s="2559">
        <v>1</v>
      </c>
      <c r="B34" s="2556" t="s">
        <v>2529</v>
      </c>
      <c r="C34" s="2556"/>
      <c r="D34" s="2556"/>
      <c r="E34" s="3824"/>
      <c r="F34" s="3824"/>
      <c r="G34" s="3824"/>
    </row>
    <row r="35" spans="1:7" hidden="1">
      <c r="A35" s="2559">
        <v>2</v>
      </c>
      <c r="B35" s="2556" t="s">
        <v>2530</v>
      </c>
      <c r="C35" s="2556"/>
      <c r="D35" s="2556"/>
      <c r="E35" s="3824"/>
      <c r="F35" s="3824"/>
      <c r="G35" s="3824"/>
    </row>
    <row r="36" spans="1:7" hidden="1">
      <c r="A36" s="2559">
        <v>3</v>
      </c>
      <c r="B36" s="2556" t="s">
        <v>2531</v>
      </c>
      <c r="C36" s="2556"/>
      <c r="D36" s="2556"/>
      <c r="E36" s="3824"/>
      <c r="F36" s="3824"/>
      <c r="G36" s="3824"/>
    </row>
    <row r="37" spans="1:7" hidden="1">
      <c r="A37" s="2559">
        <v>4</v>
      </c>
      <c r="B37" s="2556" t="s">
        <v>2532</v>
      </c>
      <c r="C37" s="2556"/>
      <c r="D37" s="2556"/>
      <c r="E37" s="3824"/>
      <c r="F37" s="3824"/>
      <c r="G37" s="3824"/>
    </row>
    <row r="38" spans="1:7" hidden="1">
      <c r="A38" s="3825" t="s">
        <v>2533</v>
      </c>
      <c r="B38" s="3826"/>
      <c r="C38" s="3826"/>
      <c r="D38" s="3827"/>
      <c r="E38" s="3823"/>
      <c r="F38" s="3823"/>
      <c r="G38" s="38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8"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2440</v>
      </c>
      <c r="B8" s="2496" t="s">
        <v>2442</v>
      </c>
      <c r="C8" s="2497"/>
      <c r="D8" s="749"/>
      <c r="E8" s="750"/>
      <c r="F8" s="750"/>
      <c r="G8" s="751"/>
    </row>
    <row r="9" spans="1:25" s="2183" customFormat="1" ht="13.5" customHeight="1">
      <c r="A9" s="2493" t="s">
        <v>2441</v>
      </c>
      <c r="B9" s="2496" t="s">
        <v>2443</v>
      </c>
      <c r="C9" s="2497"/>
      <c r="D9" s="749"/>
      <c r="E9" s="750"/>
      <c r="F9" s="750"/>
      <c r="G9" s="751"/>
    </row>
    <row r="10" spans="1:25" s="2183" customFormat="1" ht="36">
      <c r="A10" s="2493">
        <v>2</v>
      </c>
      <c r="B10" s="748" t="s">
        <v>614</v>
      </c>
      <c r="C10" s="749">
        <f>C11+C14+C15</f>
        <v>0</v>
      </c>
      <c r="D10" s="760">
        <f>'数据-汇总表'!E3</f>
        <v>358341</v>
      </c>
      <c r="E10" s="749">
        <f>'数据-取费表'!B31</f>
        <v>100</v>
      </c>
      <c r="F10" s="761"/>
      <c r="G10" s="759" t="s">
        <v>615</v>
      </c>
    </row>
    <row r="11" spans="1:25" s="2183" customFormat="1" ht="13.5" customHeight="1">
      <c r="A11" s="2493" t="s">
        <v>2440</v>
      </c>
      <c r="B11" s="752" t="s">
        <v>611</v>
      </c>
      <c r="C11" s="753">
        <f>'数据-取费表'!B29</f>
        <v>0</v>
      </c>
      <c r="D11" s="754"/>
      <c r="E11" s="753"/>
      <c r="F11" s="755"/>
      <c r="G11" s="2502" t="s">
        <v>2451</v>
      </c>
    </row>
    <row r="12" spans="1:25" s="2183" customFormat="1" ht="13.5" customHeight="1">
      <c r="A12" s="2500" t="s">
        <v>2448</v>
      </c>
      <c r="B12" s="756" t="s">
        <v>612</v>
      </c>
      <c r="C12" s="757">
        <f>ROUND(D12*E12/10000,0)</f>
        <v>2197</v>
      </c>
      <c r="D12" s="758">
        <f>'数据-汇总表'!E5</f>
        <v>252484</v>
      </c>
      <c r="E12" s="757">
        <f>'数据-取费表'!B27</f>
        <v>87</v>
      </c>
      <c r="F12" s="755"/>
      <c r="G12" s="759"/>
    </row>
    <row r="13" spans="1:25" s="2183" customFormat="1" ht="13.5" customHeight="1">
      <c r="A13" s="2500" t="s">
        <v>2447</v>
      </c>
      <c r="B13" s="756" t="s">
        <v>613</v>
      </c>
      <c r="C13" s="757">
        <f>ROUND(D13*E13/10000,0)</f>
        <v>921</v>
      </c>
      <c r="D13" s="758">
        <f>'数据-汇总表'!E6</f>
        <v>105857</v>
      </c>
      <c r="E13" s="757">
        <f>'数据-取费表'!B28</f>
        <v>87</v>
      </c>
      <c r="F13" s="755"/>
      <c r="G13" s="759"/>
    </row>
    <row r="14" spans="1:25" s="2183" customFormat="1" ht="13.5" customHeight="1">
      <c r="A14" s="2493" t="s">
        <v>2441</v>
      </c>
      <c r="B14" s="2499" t="s">
        <v>2444</v>
      </c>
      <c r="C14" s="2497"/>
      <c r="D14" s="758"/>
      <c r="E14" s="757"/>
      <c r="F14" s="2498"/>
      <c r="G14" s="2501" t="s">
        <v>2449</v>
      </c>
    </row>
    <row r="15" spans="1:25" s="2183" customFormat="1" ht="13.5" customHeight="1">
      <c r="A15" s="2493" t="s">
        <v>2446</v>
      </c>
      <c r="B15" s="2499" t="s">
        <v>2445</v>
      </c>
      <c r="C15" s="2497"/>
      <c r="D15" s="758"/>
      <c r="E15" s="757"/>
      <c r="F15" s="2498"/>
      <c r="G15" s="2501" t="s">
        <v>2450</v>
      </c>
    </row>
    <row r="16" spans="1:25" s="2184" customFormat="1" ht="48">
      <c r="A16" s="2493">
        <v>3</v>
      </c>
      <c r="B16" s="748" t="s">
        <v>616</v>
      </c>
      <c r="C16" s="2497"/>
      <c r="D16" s="760"/>
      <c r="E16" s="749"/>
      <c r="F16" s="761"/>
      <c r="G16" s="759"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0</v>
      </c>
      <c r="D18" s="762"/>
      <c r="E18" s="763"/>
      <c r="F18" s="761">
        <f>'数据-取费表'!Q16</f>
        <v>0.14000000000000001</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0</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7"/>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0</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0</v>
      </c>
      <c r="D22" s="760"/>
      <c r="E22" s="749"/>
      <c r="F22" s="766">
        <f>'数据-取费表'!AP16</f>
        <v>0.90600000000000003</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503" t="s">
        <v>778</v>
      </c>
      <c r="C1" s="504" t="s">
        <v>721</v>
      </c>
      <c r="D1" s="849"/>
      <c r="E1" s="506"/>
      <c r="F1" s="2832"/>
      <c r="G1" s="1600" t="s">
        <v>722</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3"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522</v>
      </c>
      <c r="B4" s="513"/>
      <c r="C4" s="3709" t="s">
        <v>523</v>
      </c>
      <c r="D4" s="3710"/>
      <c r="E4" s="3743" t="s">
        <v>524</v>
      </c>
      <c r="F4" s="3744"/>
      <c r="G4" s="3709" t="s">
        <v>525</v>
      </c>
      <c r="H4" s="3710"/>
      <c r="I4" s="3709" t="s">
        <v>526</v>
      </c>
      <c r="J4" s="3710"/>
      <c r="K4" s="514" t="s">
        <v>527</v>
      </c>
      <c r="L4" s="2133"/>
      <c r="M4" s="2134"/>
      <c r="N4" s="2134"/>
      <c r="O4" s="2134"/>
      <c r="P4" s="3829" t="s">
        <v>528</v>
      </c>
      <c r="Q4" s="3712"/>
      <c r="R4" s="3717" t="s">
        <v>524</v>
      </c>
      <c r="S4" s="3718"/>
      <c r="T4" s="3717" t="s">
        <v>525</v>
      </c>
      <c r="U4" s="3718"/>
      <c r="V4" s="3704" t="s">
        <v>526</v>
      </c>
      <c r="W4" s="3704"/>
      <c r="X4" s="1566"/>
      <c r="Y4" s="3717" t="s">
        <v>528</v>
      </c>
      <c r="Z4" s="3718"/>
      <c r="AA4" s="3706" t="s">
        <v>524</v>
      </c>
      <c r="AB4" s="3706" t="s">
        <v>525</v>
      </c>
      <c r="AC4" s="3706" t="s">
        <v>526</v>
      </c>
    </row>
    <row r="5" spans="1:29" ht="15">
      <c r="A5" s="515"/>
      <c r="B5" s="516"/>
      <c r="C5" s="3725" t="s">
        <v>2925</v>
      </c>
      <c r="D5" s="3726"/>
      <c r="E5" s="3745" t="s">
        <v>2926</v>
      </c>
      <c r="F5" s="3746"/>
      <c r="G5" s="3725" t="s">
        <v>2927</v>
      </c>
      <c r="H5" s="3726"/>
      <c r="I5" s="3725" t="s">
        <v>2928</v>
      </c>
      <c r="J5" s="3726"/>
      <c r="K5" s="514"/>
      <c r="L5" s="2133"/>
      <c r="M5" s="2134"/>
      <c r="N5" s="2134"/>
      <c r="O5" s="2134"/>
      <c r="P5" s="3830"/>
      <c r="Q5" s="3714"/>
      <c r="R5" s="3719"/>
      <c r="S5" s="3720"/>
      <c r="T5" s="3719"/>
      <c r="U5" s="3720"/>
      <c r="V5" s="3704"/>
      <c r="W5" s="3704"/>
      <c r="X5" s="1566"/>
      <c r="Y5" s="3719"/>
      <c r="Z5" s="3720"/>
      <c r="AA5" s="3707"/>
      <c r="AB5" s="3707"/>
      <c r="AC5" s="3707"/>
    </row>
    <row r="6" spans="1:29" ht="15.75" thickBot="1">
      <c r="A6" s="517"/>
      <c r="B6" s="518"/>
      <c r="C6" s="3723" t="s">
        <v>2929</v>
      </c>
      <c r="D6" s="3724"/>
      <c r="E6" s="3741" t="s">
        <v>2929</v>
      </c>
      <c r="F6" s="3742"/>
      <c r="G6" s="3723" t="s">
        <v>2929</v>
      </c>
      <c r="H6" s="3724"/>
      <c r="I6" s="3723" t="s">
        <v>2929</v>
      </c>
      <c r="J6" s="3724"/>
      <c r="K6" s="514" t="s">
        <v>529</v>
      </c>
      <c r="L6" s="2133"/>
      <c r="M6" s="2134"/>
      <c r="N6" s="2134"/>
      <c r="O6" s="2134"/>
      <c r="P6" s="3831"/>
      <c r="Q6" s="3716"/>
      <c r="R6" s="3719"/>
      <c r="S6" s="3720"/>
      <c r="T6" s="3721"/>
      <c r="U6" s="3722"/>
      <c r="V6" s="3704"/>
      <c r="W6" s="3704"/>
      <c r="X6" s="1566"/>
      <c r="Y6" s="3721"/>
      <c r="Z6" s="3722"/>
      <c r="AA6" s="3708"/>
      <c r="AB6" s="3708"/>
      <c r="AC6" s="3708"/>
    </row>
    <row r="7" spans="1:29" s="1218" customFormat="1" ht="15.75" thickBot="1">
      <c r="A7" s="2936"/>
      <c r="B7" s="2943" t="s">
        <v>530</v>
      </c>
      <c r="C7" s="519">
        <f>'数据-取费表'!B2</f>
        <v>43138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36" t="s">
        <v>531</v>
      </c>
      <c r="Q7" s="3736"/>
      <c r="R7" s="1567" t="s">
        <v>8</v>
      </c>
      <c r="S7" s="1568">
        <f t="shared" ref="S7:S15" si="0">F7</f>
        <v>0</v>
      </c>
      <c r="T7" s="1567" t="s">
        <v>8</v>
      </c>
      <c r="U7" s="1568">
        <f t="shared" ref="U7:U15" si="1">H7</f>
        <v>0</v>
      </c>
      <c r="V7" s="1567" t="s">
        <v>8</v>
      </c>
      <c r="W7" s="1568">
        <f t="shared" ref="W7:W15" si="2">J7</f>
        <v>0</v>
      </c>
      <c r="X7" s="1569"/>
      <c r="Y7" s="3734" t="s">
        <v>531</v>
      </c>
      <c r="Z7" s="3735"/>
      <c r="AA7" s="1570" t="e">
        <f>D7/F7</f>
        <v>#DIV/0!</v>
      </c>
      <c r="AB7" s="1570" t="e">
        <f>D7/H7</f>
        <v>#DIV/0!</v>
      </c>
      <c r="AC7" s="1570" t="e">
        <f>D7/J7</f>
        <v>#DIV/0!</v>
      </c>
    </row>
    <row r="8" spans="1:29" s="1218" customFormat="1" ht="15.75" thickBot="1">
      <c r="A8" s="2937"/>
      <c r="B8" s="2944"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36" t="s">
        <v>534</v>
      </c>
      <c r="Q8" s="3735"/>
      <c r="R8" s="1567" t="s">
        <v>8</v>
      </c>
      <c r="S8" s="1568">
        <f t="shared" si="0"/>
        <v>0</v>
      </c>
      <c r="T8" s="1567" t="s">
        <v>8</v>
      </c>
      <c r="U8" s="1568">
        <f t="shared" si="1"/>
        <v>0</v>
      </c>
      <c r="V8" s="1567" t="s">
        <v>8</v>
      </c>
      <c r="W8" s="1568">
        <f t="shared" si="2"/>
        <v>0</v>
      </c>
      <c r="X8" s="1569"/>
      <c r="Y8" s="3734" t="s">
        <v>534</v>
      </c>
      <c r="Z8" s="3735"/>
      <c r="AA8" s="1570" t="e">
        <f t="shared" ref="AA8:AA47" si="3">D8/F8</f>
        <v>#DIV/0!</v>
      </c>
      <c r="AB8" s="1570" t="e">
        <f t="shared" ref="AB8:AB47" si="4">D8/H8</f>
        <v>#DIV/0!</v>
      </c>
      <c r="AC8" s="1570" t="e">
        <f t="shared" ref="AC8:AC47" si="5">D8/J8</f>
        <v>#DIV/0!</v>
      </c>
    </row>
    <row r="9" spans="1:29" s="1218" customFormat="1" ht="15">
      <c r="A9" s="2938"/>
      <c r="B9" s="2945"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703" t="s">
        <v>536</v>
      </c>
      <c r="Q9" s="1149" t="str">
        <f t="shared" ref="Q9:Q15" si="6">B9</f>
        <v>用途</v>
      </c>
      <c r="R9" s="1567" t="s">
        <v>8</v>
      </c>
      <c r="S9" s="1568">
        <f t="shared" si="0"/>
        <v>100</v>
      </c>
      <c r="T9" s="1567" t="s">
        <v>8</v>
      </c>
      <c r="U9" s="1568">
        <f t="shared" si="1"/>
        <v>100</v>
      </c>
      <c r="V9" s="1567" t="s">
        <v>8</v>
      </c>
      <c r="W9" s="1568">
        <f t="shared" si="2"/>
        <v>100</v>
      </c>
      <c r="X9" s="1569"/>
      <c r="Y9" s="3649" t="s">
        <v>537</v>
      </c>
      <c r="Z9" s="1148" t="str">
        <f t="shared" ref="Z9:Z15" si="7">Q9</f>
        <v>用途</v>
      </c>
      <c r="AA9" s="1570">
        <f t="shared" si="3"/>
        <v>1</v>
      </c>
      <c r="AB9" s="1570">
        <f t="shared" si="4"/>
        <v>1</v>
      </c>
      <c r="AC9" s="1570">
        <f t="shared" si="5"/>
        <v>1</v>
      </c>
    </row>
    <row r="10" spans="1:29" s="1336" customFormat="1" ht="27">
      <c r="A10" s="2939"/>
      <c r="B10" s="2944"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703"/>
      <c r="Q10" s="1149" t="str">
        <f t="shared" si="6"/>
        <v>土地使用年限（年）</v>
      </c>
      <c r="R10" s="1567" t="s">
        <v>8</v>
      </c>
      <c r="S10" s="1568">
        <f t="shared" si="0"/>
        <v>100</v>
      </c>
      <c r="T10" s="1567" t="s">
        <v>8</v>
      </c>
      <c r="U10" s="1568">
        <f t="shared" si="1"/>
        <v>100</v>
      </c>
      <c r="V10" s="1567" t="s">
        <v>8</v>
      </c>
      <c r="W10" s="1568">
        <f t="shared" si="2"/>
        <v>100</v>
      </c>
      <c r="X10" s="1569"/>
      <c r="Y10" s="3649"/>
      <c r="Z10" s="1148" t="str">
        <f t="shared" si="7"/>
        <v>土地使用年限（年）</v>
      </c>
      <c r="AA10" s="1570">
        <f t="shared" si="3"/>
        <v>1</v>
      </c>
      <c r="AB10" s="1570">
        <f t="shared" si="4"/>
        <v>1</v>
      </c>
      <c r="AC10" s="1570">
        <f t="shared" si="5"/>
        <v>1</v>
      </c>
    </row>
    <row r="11" spans="1:29" ht="15">
      <c r="A11" s="2940"/>
      <c r="B11" s="2944"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703"/>
      <c r="Q11" s="1149" t="str">
        <f t="shared" si="6"/>
        <v>容积率</v>
      </c>
      <c r="R11" s="1567" t="s">
        <v>8</v>
      </c>
      <c r="S11" s="1568" t="e">
        <f t="shared" si="0"/>
        <v>#N/A</v>
      </c>
      <c r="T11" s="1567" t="s">
        <v>8</v>
      </c>
      <c r="U11" s="1568" t="e">
        <f t="shared" si="1"/>
        <v>#N/A</v>
      </c>
      <c r="V11" s="1567" t="s">
        <v>8</v>
      </c>
      <c r="W11" s="1568" t="e">
        <f t="shared" si="2"/>
        <v>#N/A</v>
      </c>
      <c r="X11" s="1569"/>
      <c r="Y11" s="3649"/>
      <c r="Z11" s="1148" t="str">
        <f t="shared" si="7"/>
        <v>容积率</v>
      </c>
      <c r="AA11" s="1570" t="e">
        <f t="shared" si="3"/>
        <v>#N/A</v>
      </c>
      <c r="AB11" s="1570" t="e">
        <f t="shared" si="4"/>
        <v>#N/A</v>
      </c>
      <c r="AC11" s="1570" t="e">
        <f t="shared" si="5"/>
        <v>#N/A</v>
      </c>
    </row>
    <row r="12" spans="1:29" s="1218" customFormat="1" ht="15">
      <c r="A12" s="2941"/>
      <c r="B12" s="2947">
        <v>111</v>
      </c>
      <c r="C12" s="528"/>
      <c r="D12" s="538">
        <v>100</v>
      </c>
      <c r="E12" s="528"/>
      <c r="F12" s="255">
        <f>SUMIF(71:71,E12,72:72)-SUMIF(71:71,C12,72:72)+100</f>
        <v>100</v>
      </c>
      <c r="G12" s="908"/>
      <c r="H12" s="255">
        <f>SUMIF(71:71,G12,72:72)-SUMIF(71:71,C12,72:72)+100</f>
        <v>100</v>
      </c>
      <c r="I12" s="528"/>
      <c r="J12" s="255">
        <f>SUMIF(71:71,I12,72:72)-SUMIF(71:71,C12,72:72)+100</f>
        <v>100</v>
      </c>
      <c r="K12" s="581"/>
      <c r="L12" s="2135"/>
      <c r="M12" s="2136"/>
      <c r="N12" s="2136"/>
      <c r="O12" s="2136"/>
      <c r="P12" s="3703"/>
      <c r="Q12" s="1149">
        <f t="shared" si="6"/>
        <v>111</v>
      </c>
      <c r="R12" s="1567" t="s">
        <v>8</v>
      </c>
      <c r="S12" s="1568">
        <f t="shared" si="0"/>
        <v>100</v>
      </c>
      <c r="T12" s="1567" t="s">
        <v>8</v>
      </c>
      <c r="U12" s="1568">
        <f t="shared" si="1"/>
        <v>100</v>
      </c>
      <c r="V12" s="1567" t="s">
        <v>8</v>
      </c>
      <c r="W12" s="1568">
        <f t="shared" si="2"/>
        <v>100</v>
      </c>
      <c r="X12" s="1569"/>
      <c r="Y12" s="3649"/>
      <c r="Z12" s="1148">
        <f t="shared" si="7"/>
        <v>111</v>
      </c>
      <c r="AA12" s="1570">
        <f>D12/F12</f>
        <v>1</v>
      </c>
      <c r="AB12" s="1570">
        <f>D12/H12</f>
        <v>1</v>
      </c>
      <c r="AC12" s="1570">
        <f>D12/J12</f>
        <v>1</v>
      </c>
    </row>
    <row r="13" spans="1:29" ht="15">
      <c r="A13" s="2941"/>
      <c r="B13" s="2947">
        <v>111</v>
      </c>
      <c r="C13" s="539"/>
      <c r="D13" s="540">
        <v>100</v>
      </c>
      <c r="E13" s="528"/>
      <c r="F13" s="255">
        <f>SUMIF(73:73,E13,74:74)-SUMIF(73:73,C13,74:74)+100</f>
        <v>100</v>
      </c>
      <c r="G13" s="908"/>
      <c r="H13" s="540">
        <f>SUMIF(73:73,G13,74:74)-SUMIF(73:73,C13,74:74)+100</f>
        <v>100</v>
      </c>
      <c r="I13" s="528"/>
      <c r="J13" s="540">
        <f>SUMIF(73:73,I13,74:74)-SUMIF(73:73,C13,74:74)+100</f>
        <v>100</v>
      </c>
      <c r="K13" s="581"/>
      <c r="L13" s="2142"/>
      <c r="M13" s="2134"/>
      <c r="N13" s="2134"/>
      <c r="O13" s="2134"/>
      <c r="P13" s="3703"/>
      <c r="Q13" s="1149">
        <f t="shared" si="6"/>
        <v>111</v>
      </c>
      <c r="R13" s="1567" t="s">
        <v>8</v>
      </c>
      <c r="S13" s="1568">
        <f t="shared" si="0"/>
        <v>100</v>
      </c>
      <c r="T13" s="1567" t="s">
        <v>8</v>
      </c>
      <c r="U13" s="1568">
        <f t="shared" si="1"/>
        <v>100</v>
      </c>
      <c r="V13" s="1567" t="s">
        <v>8</v>
      </c>
      <c r="W13" s="1568">
        <f t="shared" si="2"/>
        <v>100</v>
      </c>
      <c r="X13" s="1569"/>
      <c r="Y13" s="3649"/>
      <c r="Z13" s="1148">
        <f t="shared" si="7"/>
        <v>111</v>
      </c>
      <c r="AA13" s="1570">
        <f t="shared" si="3"/>
        <v>1</v>
      </c>
      <c r="AB13" s="1570">
        <f t="shared" si="4"/>
        <v>1</v>
      </c>
      <c r="AC13" s="1570">
        <f t="shared" si="5"/>
        <v>1</v>
      </c>
    </row>
    <row r="14" spans="1:29" ht="15.75" thickBot="1">
      <c r="A14" s="2942"/>
      <c r="B14" s="2948">
        <v>111</v>
      </c>
      <c r="C14" s="545"/>
      <c r="D14" s="546">
        <v>100</v>
      </c>
      <c r="E14" s="909"/>
      <c r="F14" s="546">
        <f>SUMIF(75:75,E14,76:76)-SUMIF(75:75,C14,76:76)+100</f>
        <v>100</v>
      </c>
      <c r="G14" s="908"/>
      <c r="H14" s="546">
        <f>SUMIF(75:75,G14,76:76)-SUMIF(75:75,C14,76:76)+100</f>
        <v>100</v>
      </c>
      <c r="I14" s="528"/>
      <c r="J14" s="546">
        <f>SUMIF(75:75,I14,76:76)-SUMIF(75:75,C14,76:76)+100</f>
        <v>100</v>
      </c>
      <c r="K14" s="581"/>
      <c r="L14" s="2142"/>
      <c r="M14" s="2134"/>
      <c r="N14" s="2134"/>
      <c r="O14" s="2134"/>
      <c r="P14" s="3703"/>
      <c r="Q14" s="1149">
        <f t="shared" si="6"/>
        <v>111</v>
      </c>
      <c r="R14" s="1567" t="s">
        <v>8</v>
      </c>
      <c r="S14" s="1568">
        <f t="shared" si="0"/>
        <v>100</v>
      </c>
      <c r="T14" s="1567" t="s">
        <v>8</v>
      </c>
      <c r="U14" s="1568">
        <f t="shared" si="1"/>
        <v>100</v>
      </c>
      <c r="V14" s="1567" t="s">
        <v>8</v>
      </c>
      <c r="W14" s="1568">
        <f t="shared" si="2"/>
        <v>100</v>
      </c>
      <c r="X14" s="1569"/>
      <c r="Y14" s="3649"/>
      <c r="Z14" s="1148">
        <f t="shared" si="7"/>
        <v>111</v>
      </c>
      <c r="AA14" s="1570">
        <f t="shared" si="3"/>
        <v>1</v>
      </c>
      <c r="AB14" s="1570">
        <f t="shared" si="4"/>
        <v>1</v>
      </c>
      <c r="AC14" s="1570">
        <f t="shared" si="5"/>
        <v>1</v>
      </c>
    </row>
    <row r="15" spans="1:29" ht="15">
      <c r="A15" s="2934" t="s">
        <v>2756</v>
      </c>
      <c r="B15" s="547" t="s">
        <v>543</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737" t="s">
        <v>541</v>
      </c>
      <c r="Q15" s="1571" t="str">
        <f t="shared" si="6"/>
        <v>办公集聚程度</v>
      </c>
      <c r="R15" s="1572" t="s">
        <v>8</v>
      </c>
      <c r="S15" s="1573">
        <f t="shared" si="0"/>
        <v>100</v>
      </c>
      <c r="T15" s="1572" t="s">
        <v>8</v>
      </c>
      <c r="U15" s="1573">
        <f t="shared" si="1"/>
        <v>100</v>
      </c>
      <c r="V15" s="1572" t="s">
        <v>8</v>
      </c>
      <c r="W15" s="1573">
        <f t="shared" si="2"/>
        <v>100</v>
      </c>
      <c r="X15" s="1566"/>
      <c r="Y15" s="3737" t="s">
        <v>541</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738"/>
      <c r="Q16" s="1571"/>
      <c r="R16" s="1572"/>
      <c r="S16" s="1573"/>
      <c r="T16" s="1572"/>
      <c r="U16" s="1573"/>
      <c r="V16" s="1572"/>
      <c r="W16" s="1573"/>
      <c r="X16" s="1566"/>
      <c r="Y16" s="3738"/>
      <c r="Z16" s="1574"/>
      <c r="AA16" s="1575">
        <v>1</v>
      </c>
      <c r="AB16" s="1575">
        <v>1</v>
      </c>
      <c r="AC16" s="1575">
        <v>1</v>
      </c>
    </row>
    <row r="17" spans="1:29" ht="99.75">
      <c r="A17" s="532"/>
      <c r="B17" s="560" t="s">
        <v>296</v>
      </c>
      <c r="C17" s="573" t="str">
        <f>估价对象房地状况!C6</f>
        <v>估价对象周边路网密集度一般、公共交通通达情况一般、停车便捷程度一般，综合评价交通便捷度一般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738"/>
      <c r="Q17" s="1571" t="str">
        <f>B17</f>
        <v>交通便捷度</v>
      </c>
      <c r="R17" s="1572" t="s">
        <v>8</v>
      </c>
      <c r="S17" s="1573">
        <f>F17</f>
        <v>100</v>
      </c>
      <c r="T17" s="1572" t="s">
        <v>8</v>
      </c>
      <c r="U17" s="1573">
        <f>H17</f>
        <v>100</v>
      </c>
      <c r="V17" s="1572" t="s">
        <v>8</v>
      </c>
      <c r="W17" s="1573">
        <f>J17</f>
        <v>100</v>
      </c>
      <c r="X17" s="1566"/>
      <c r="Y17" s="3738"/>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738"/>
      <c r="Q18" s="1571"/>
      <c r="R18" s="1572"/>
      <c r="S18" s="1573"/>
      <c r="T18" s="1572"/>
      <c r="U18" s="1573"/>
      <c r="V18" s="1572"/>
      <c r="W18" s="1573"/>
      <c r="X18" s="1566"/>
      <c r="Y18" s="3738"/>
      <c r="Z18" s="1574"/>
      <c r="AA18" s="1575">
        <v>1</v>
      </c>
      <c r="AB18" s="1575">
        <v>1</v>
      </c>
      <c r="AC18" s="1575">
        <v>1</v>
      </c>
    </row>
    <row r="19" spans="1:29" ht="71.25">
      <c r="A19" s="532"/>
      <c r="B19" s="2627" t="s">
        <v>2548</v>
      </c>
      <c r="C19" s="573" t="str">
        <f>估价对象房地状况!C7</f>
        <v>估价对象所在区域公共配套设施齐备情况一般，有雅庭小学、龙溪二中</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738"/>
      <c r="Q19" s="1571" t="str">
        <f>B19</f>
        <v>公共配套设施</v>
      </c>
      <c r="R19" s="1572" t="s">
        <v>8</v>
      </c>
      <c r="S19" s="1573">
        <f>F19</f>
        <v>100</v>
      </c>
      <c r="T19" s="1572" t="s">
        <v>8</v>
      </c>
      <c r="U19" s="1573">
        <f>H19</f>
        <v>100</v>
      </c>
      <c r="V19" s="1572" t="s">
        <v>8</v>
      </c>
      <c r="W19" s="1573">
        <f>J19</f>
        <v>100</v>
      </c>
      <c r="X19" s="1566"/>
      <c r="Y19" s="3738"/>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738"/>
      <c r="Q20" s="1571"/>
      <c r="R20" s="1572"/>
      <c r="S20" s="1573"/>
      <c r="T20" s="1572"/>
      <c r="U20" s="1573"/>
      <c r="V20" s="1572"/>
      <c r="W20" s="1573"/>
      <c r="X20" s="1566"/>
      <c r="Y20" s="3738"/>
      <c r="Z20" s="1574"/>
      <c r="AA20" s="1575">
        <v>1</v>
      </c>
      <c r="AB20" s="1575">
        <v>1</v>
      </c>
      <c r="AC20" s="1575">
        <v>1</v>
      </c>
    </row>
    <row r="21" spans="1:29" ht="42.75">
      <c r="A21" s="532"/>
      <c r="B21" s="2615" t="s">
        <v>2560</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738"/>
      <c r="Q21" s="2603" t="str">
        <f>B21</f>
        <v>基础设施水平</v>
      </c>
      <c r="R21" s="1572" t="s">
        <v>8</v>
      </c>
      <c r="S21" s="1573">
        <f>F21</f>
        <v>100</v>
      </c>
      <c r="T21" s="1572" t="s">
        <v>8</v>
      </c>
      <c r="U21" s="1573">
        <f>H21</f>
        <v>100</v>
      </c>
      <c r="V21" s="1572" t="s">
        <v>8</v>
      </c>
      <c r="W21" s="1573">
        <f>J21</f>
        <v>100</v>
      </c>
      <c r="X21" s="2605"/>
      <c r="Y21" s="3738"/>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738"/>
      <c r="Q22" s="2603"/>
      <c r="R22" s="1572"/>
      <c r="S22" s="1573"/>
      <c r="T22" s="1572"/>
      <c r="U22" s="1573"/>
      <c r="V22" s="1572"/>
      <c r="W22" s="1573"/>
      <c r="X22" s="2605"/>
      <c r="Y22" s="3738"/>
      <c r="Z22" s="2604"/>
      <c r="AA22" s="1575">
        <v>1</v>
      </c>
      <c r="AB22" s="1575">
        <v>1</v>
      </c>
      <c r="AC22" s="1575">
        <v>1</v>
      </c>
    </row>
    <row r="23" spans="1:29" ht="99.75">
      <c r="A23" s="532"/>
      <c r="B23" s="560" t="s">
        <v>779</v>
      </c>
      <c r="C23" s="573" t="str">
        <f>估价对象房地状况!C9</f>
        <v>区域自然环境：周边绿化条件较好，有水系；人文环境：缺乏图书馆、剧院等设施；综合评价环境状况较差</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738"/>
      <c r="Q23" s="1571" t="str">
        <f>B23</f>
        <v>环境质量</v>
      </c>
      <c r="R23" s="1572" t="s">
        <v>8</v>
      </c>
      <c r="S23" s="1573">
        <f>F23</f>
        <v>100</v>
      </c>
      <c r="T23" s="1572" t="s">
        <v>8</v>
      </c>
      <c r="U23" s="1573">
        <f>H23</f>
        <v>100</v>
      </c>
      <c r="V23" s="1572" t="s">
        <v>8</v>
      </c>
      <c r="W23" s="1573">
        <f>J23</f>
        <v>100</v>
      </c>
      <c r="X23" s="1566"/>
      <c r="Y23" s="3738"/>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738"/>
      <c r="Q24" s="1571"/>
      <c r="R24" s="1572"/>
      <c r="S24" s="1573"/>
      <c r="T24" s="1572"/>
      <c r="U24" s="1573"/>
      <c r="V24" s="1572"/>
      <c r="W24" s="1573"/>
      <c r="X24" s="1566"/>
      <c r="Y24" s="3738"/>
      <c r="Z24" s="1574"/>
      <c r="AA24" s="1575">
        <v>1</v>
      </c>
      <c r="AB24" s="1575">
        <v>1</v>
      </c>
      <c r="AC24" s="1575">
        <v>1</v>
      </c>
    </row>
    <row r="25" spans="1:29" ht="27">
      <c r="A25" s="515"/>
      <c r="B25" s="560" t="s">
        <v>549</v>
      </c>
      <c r="C25" s="910"/>
      <c r="D25" s="540">
        <v>100</v>
      </c>
      <c r="E25" s="539"/>
      <c r="F25" s="540">
        <f>SUMIF(87:87,E26,88:88)-SUMIF(87:87,C26,88:88)+100</f>
        <v>100</v>
      </c>
      <c r="G25" s="910"/>
      <c r="H25" s="540">
        <f>SUMIF(87:87,G26,88:88)-SUMIF(87:87,C26,88:88)+100</f>
        <v>100</v>
      </c>
      <c r="I25" s="539"/>
      <c r="J25" s="540">
        <f>SUMIF(87:87,I26,88:88)-SUMIF(87:87,C26,88:88)+100</f>
        <v>100</v>
      </c>
      <c r="K25" s="897"/>
      <c r="L25" s="2142"/>
      <c r="M25" s="2134"/>
      <c r="N25" s="2134"/>
      <c r="O25" s="2134"/>
      <c r="P25" s="3738"/>
      <c r="Q25" s="1571" t="str">
        <f>B25</f>
        <v>毗邻道路的类型与等级</v>
      </c>
      <c r="R25" s="1572" t="s">
        <v>8</v>
      </c>
      <c r="S25" s="1573">
        <f>F25</f>
        <v>100</v>
      </c>
      <c r="T25" s="1572" t="s">
        <v>8</v>
      </c>
      <c r="U25" s="1573">
        <f>H25</f>
        <v>100</v>
      </c>
      <c r="V25" s="1572" t="s">
        <v>8</v>
      </c>
      <c r="W25" s="1573">
        <f>J25</f>
        <v>100</v>
      </c>
      <c r="X25" s="1566"/>
      <c r="Y25" s="3738"/>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2"/>
      <c r="M26" s="2134"/>
      <c r="N26" s="2134"/>
      <c r="O26" s="2134"/>
      <c r="P26" s="3738"/>
      <c r="Q26" s="1571"/>
      <c r="R26" s="1572"/>
      <c r="S26" s="1573"/>
      <c r="T26" s="1572"/>
      <c r="U26" s="1573"/>
      <c r="V26" s="1572"/>
      <c r="W26" s="1573"/>
      <c r="X26" s="1566"/>
      <c r="Y26" s="3738"/>
      <c r="Z26" s="1574"/>
      <c r="AA26" s="1575">
        <v>1</v>
      </c>
      <c r="AB26" s="1575">
        <v>1</v>
      </c>
      <c r="AC26" s="1575">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738"/>
      <c r="Q27" s="1571" t="str">
        <f t="shared" ref="Q27:Q47" si="11">B27</f>
        <v>楼层</v>
      </c>
      <c r="R27" s="1572" t="s">
        <v>8</v>
      </c>
      <c r="S27" s="1573">
        <f>F27</f>
        <v>100</v>
      </c>
      <c r="T27" s="1572" t="s">
        <v>8</v>
      </c>
      <c r="U27" s="1573">
        <f>H27</f>
        <v>100</v>
      </c>
      <c r="V27" s="1572" t="s">
        <v>8</v>
      </c>
      <c r="W27" s="1573">
        <f>J27</f>
        <v>100</v>
      </c>
      <c r="X27" s="1566"/>
      <c r="Y27" s="3738"/>
      <c r="Z27" s="1574" t="str">
        <f>Q27</f>
        <v>楼层</v>
      </c>
      <c r="AA27" s="1575">
        <f t="shared" si="3"/>
        <v>1</v>
      </c>
      <c r="AB27" s="1575">
        <f t="shared" si="4"/>
        <v>1</v>
      </c>
      <c r="AC27" s="1575">
        <f t="shared" si="5"/>
        <v>1</v>
      </c>
    </row>
    <row r="28" spans="1:29" s="1218" customFormat="1" ht="15">
      <c r="A28" s="536"/>
      <c r="B28" s="560" t="s">
        <v>780</v>
      </c>
      <c r="C28" s="911"/>
      <c r="D28" s="875">
        <v>100</v>
      </c>
      <c r="E28" s="900"/>
      <c r="F28" s="875">
        <f>SUMIF(91:91,E28,92:92)-SUMIF(91:91,C28,92:92)+100</f>
        <v>100</v>
      </c>
      <c r="G28" s="911"/>
      <c r="H28" s="875">
        <f>SUMIF(91:91,G28,92:92)-SUMIF(91:91,C28,92:92)+100</f>
        <v>100</v>
      </c>
      <c r="I28" s="900"/>
      <c r="J28" s="875">
        <f>SUMIF(91:91,I28,92:92)-SUMIF(91:91,C28,92:92)+100</f>
        <v>100</v>
      </c>
      <c r="K28" s="584"/>
      <c r="L28" s="2135"/>
      <c r="M28" s="2136"/>
      <c r="N28" s="2136"/>
      <c r="O28" s="2136"/>
      <c r="P28" s="3738"/>
      <c r="Q28" s="1149" t="str">
        <f t="shared" si="11"/>
        <v>朝向</v>
      </c>
      <c r="R28" s="1567" t="s">
        <v>8</v>
      </c>
      <c r="S28" s="1568">
        <f>F28</f>
        <v>100</v>
      </c>
      <c r="T28" s="1567" t="s">
        <v>8</v>
      </c>
      <c r="U28" s="1568">
        <f>H28</f>
        <v>100</v>
      </c>
      <c r="V28" s="1567" t="s">
        <v>8</v>
      </c>
      <c r="W28" s="1568">
        <f>J28</f>
        <v>100</v>
      </c>
      <c r="X28" s="1569"/>
      <c r="Y28" s="3738"/>
      <c r="Z28" s="1148" t="str">
        <f>Q28</f>
        <v>朝向</v>
      </c>
      <c r="AA28" s="1575">
        <f>D28/F28</f>
        <v>1</v>
      </c>
      <c r="AB28" s="1575">
        <f>D28/H28</f>
        <v>1</v>
      </c>
      <c r="AC28" s="1575">
        <f>D28/J28</f>
        <v>1</v>
      </c>
    </row>
    <row r="29" spans="1:29" ht="15">
      <c r="A29" s="532"/>
      <c r="B29" s="585">
        <v>111</v>
      </c>
      <c r="C29" s="910"/>
      <c r="D29" s="540">
        <v>100</v>
      </c>
      <c r="E29" s="528"/>
      <c r="F29" s="540">
        <f>SUMIF(93:93,E29,94:94)-SUMIF(93:93,C29,94:94)+100</f>
        <v>100</v>
      </c>
      <c r="G29" s="908"/>
      <c r="H29" s="540">
        <f>SUMIF(93:93,G29,94:94)-SUMIF(93:93,C29,94:94)+100</f>
        <v>100</v>
      </c>
      <c r="I29" s="528"/>
      <c r="J29" s="540">
        <f>SUMIF(93:93,I29,94:94)-SUMIF(93:93,C29,94:94)+100</f>
        <v>100</v>
      </c>
      <c r="K29" s="581"/>
      <c r="L29" s="2142"/>
      <c r="M29" s="2134"/>
      <c r="N29" s="2134"/>
      <c r="O29" s="2134"/>
      <c r="P29" s="3738"/>
      <c r="Q29" s="1571">
        <f t="shared" si="11"/>
        <v>111</v>
      </c>
      <c r="R29" s="1572" t="s">
        <v>8</v>
      </c>
      <c r="S29" s="1573">
        <f t="shared" ref="S29:S47" si="12">F29</f>
        <v>100</v>
      </c>
      <c r="T29" s="1572" t="s">
        <v>8</v>
      </c>
      <c r="U29" s="1573">
        <f t="shared" ref="U29:U47" si="13">H29</f>
        <v>100</v>
      </c>
      <c r="V29" s="1572" t="s">
        <v>8</v>
      </c>
      <c r="W29" s="1573">
        <f t="shared" ref="W29:W47" si="14">J29</f>
        <v>100</v>
      </c>
      <c r="X29" s="1566"/>
      <c r="Y29" s="3738"/>
      <c r="Z29" s="1574">
        <f t="shared" ref="Z29:Z47" si="15">Q29</f>
        <v>111</v>
      </c>
      <c r="AA29" s="1575">
        <f t="shared" si="3"/>
        <v>1</v>
      </c>
      <c r="AB29" s="1575">
        <f t="shared" si="4"/>
        <v>1</v>
      </c>
      <c r="AC29" s="1575">
        <f t="shared" si="5"/>
        <v>1</v>
      </c>
    </row>
    <row r="30" spans="1:29" ht="15">
      <c r="A30" s="532"/>
      <c r="B30" s="585">
        <v>111</v>
      </c>
      <c r="C30" s="910"/>
      <c r="D30" s="540">
        <v>100</v>
      </c>
      <c r="E30" s="528"/>
      <c r="F30" s="540">
        <f>SUMIF(95:95,E30,96:96)-SUMIF(95:95,C30,96:96)+100</f>
        <v>100</v>
      </c>
      <c r="G30" s="908"/>
      <c r="H30" s="540">
        <f>SUMIF(95:95,G30,96:96)-SUMIF(95:95,C30,96:96)+100</f>
        <v>100</v>
      </c>
      <c r="I30" s="528"/>
      <c r="J30" s="540">
        <f>SUMIF(95:95,I30,96:96)-SUMIF(95:95,C30,96:96)+100</f>
        <v>100</v>
      </c>
      <c r="K30" s="581"/>
      <c r="L30" s="2142"/>
      <c r="M30" s="2134"/>
      <c r="N30" s="2134"/>
      <c r="O30" s="2134"/>
      <c r="P30" s="3738"/>
      <c r="Q30" s="1571">
        <f t="shared" si="11"/>
        <v>111</v>
      </c>
      <c r="R30" s="1572" t="s">
        <v>8</v>
      </c>
      <c r="S30" s="1573">
        <f t="shared" si="12"/>
        <v>100</v>
      </c>
      <c r="T30" s="1572" t="s">
        <v>8</v>
      </c>
      <c r="U30" s="1573">
        <f t="shared" si="13"/>
        <v>100</v>
      </c>
      <c r="V30" s="1572" t="s">
        <v>8</v>
      </c>
      <c r="W30" s="1573">
        <f t="shared" si="14"/>
        <v>100</v>
      </c>
      <c r="X30" s="1566"/>
      <c r="Y30" s="3738"/>
      <c r="Z30" s="1574">
        <f t="shared" si="15"/>
        <v>111</v>
      </c>
      <c r="AA30" s="1575">
        <f t="shared" si="3"/>
        <v>1</v>
      </c>
      <c r="AB30" s="1575">
        <f t="shared" si="4"/>
        <v>1</v>
      </c>
      <c r="AC30" s="1575">
        <f t="shared" si="5"/>
        <v>1</v>
      </c>
    </row>
    <row r="31" spans="1:29" ht="15">
      <c r="A31" s="532"/>
      <c r="B31" s="585">
        <v>111</v>
      </c>
      <c r="C31" s="910"/>
      <c r="D31" s="540">
        <v>100</v>
      </c>
      <c r="E31" s="528"/>
      <c r="F31" s="540">
        <f>SUMIF(97:97,E31,98:98)-SUMIF(97:97,C31,98:98)+100</f>
        <v>100</v>
      </c>
      <c r="G31" s="908"/>
      <c r="H31" s="540">
        <f>SUMIF(97:97,G31,98:98)-SUMIF(97:97,C31,98:98)+100</f>
        <v>100</v>
      </c>
      <c r="I31" s="528"/>
      <c r="J31" s="540">
        <f>SUMIF(97:97,I31,98:98)-SUMIF(97:97,C31,98:98)+100</f>
        <v>100</v>
      </c>
      <c r="K31" s="581"/>
      <c r="L31" s="2142"/>
      <c r="M31" s="2134"/>
      <c r="N31" s="2134"/>
      <c r="O31" s="2134"/>
      <c r="P31" s="3738"/>
      <c r="Q31" s="1571">
        <f t="shared" si="11"/>
        <v>111</v>
      </c>
      <c r="R31" s="1572" t="s">
        <v>8</v>
      </c>
      <c r="S31" s="1573">
        <f t="shared" si="12"/>
        <v>100</v>
      </c>
      <c r="T31" s="1572" t="s">
        <v>8</v>
      </c>
      <c r="U31" s="1573">
        <f t="shared" si="13"/>
        <v>100</v>
      </c>
      <c r="V31" s="1572" t="s">
        <v>8</v>
      </c>
      <c r="W31" s="1573">
        <f t="shared" si="14"/>
        <v>100</v>
      </c>
      <c r="X31" s="1566"/>
      <c r="Y31" s="3738"/>
      <c r="Z31" s="1574">
        <f t="shared" si="15"/>
        <v>111</v>
      </c>
      <c r="AA31" s="1575">
        <f t="shared" si="3"/>
        <v>1</v>
      </c>
      <c r="AB31" s="1575">
        <f t="shared" si="4"/>
        <v>1</v>
      </c>
      <c r="AC31" s="1575">
        <f t="shared" si="5"/>
        <v>1</v>
      </c>
    </row>
    <row r="32" spans="1:29" ht="15.75" thickBot="1">
      <c r="A32" s="543"/>
      <c r="B32" s="912">
        <v>111</v>
      </c>
      <c r="C32" s="913"/>
      <c r="D32" s="546">
        <v>100</v>
      </c>
      <c r="E32" s="909"/>
      <c r="F32" s="546">
        <f>SUMIF(99:99,E32,100:100)-SUMIF(99:99,C32,100:100)+100</f>
        <v>100</v>
      </c>
      <c r="G32" s="908"/>
      <c r="H32" s="546">
        <f>SUMIF(99:99,G32,100:100)-SUMIF(99:99,C32,100:100)+100</f>
        <v>100</v>
      </c>
      <c r="I32" s="528"/>
      <c r="J32" s="546">
        <f>SUMIF(99:99,I32,100:100)-SUMIF(99:99,C32,100:100)+100</f>
        <v>100</v>
      </c>
      <c r="K32" s="581"/>
      <c r="L32" s="2142"/>
      <c r="M32" s="2134"/>
      <c r="N32" s="2134"/>
      <c r="O32" s="2134"/>
      <c r="P32" s="3738"/>
      <c r="Q32" s="1571">
        <f t="shared" si="11"/>
        <v>111</v>
      </c>
      <c r="R32" s="1572" t="s">
        <v>8</v>
      </c>
      <c r="S32" s="1573">
        <f t="shared" si="12"/>
        <v>100</v>
      </c>
      <c r="T32" s="1572" t="s">
        <v>8</v>
      </c>
      <c r="U32" s="1573">
        <f t="shared" si="13"/>
        <v>100</v>
      </c>
      <c r="V32" s="1572" t="s">
        <v>8</v>
      </c>
      <c r="W32" s="1573">
        <f t="shared" si="14"/>
        <v>100</v>
      </c>
      <c r="X32" s="1566"/>
      <c r="Y32" s="3738"/>
      <c r="Z32" s="1574">
        <f t="shared" si="15"/>
        <v>111</v>
      </c>
      <c r="AA32" s="1575">
        <f t="shared" si="3"/>
        <v>1</v>
      </c>
      <c r="AB32" s="1575">
        <f t="shared" si="4"/>
        <v>1</v>
      </c>
      <c r="AC32" s="1575">
        <f t="shared" si="5"/>
        <v>1</v>
      </c>
    </row>
    <row r="33" spans="1:29" ht="15">
      <c r="A33" s="2932" t="s">
        <v>2757</v>
      </c>
      <c r="B33" s="172" t="s">
        <v>781</v>
      </c>
      <c r="C33" s="914"/>
      <c r="D33" s="597">
        <v>100</v>
      </c>
      <c r="E33" s="914"/>
      <c r="F33" s="575">
        <f>SUMIF(101:101,E33,102:102)-SUMIF(101:101,C33,102:102)+100</f>
        <v>100</v>
      </c>
      <c r="G33" s="914"/>
      <c r="H33" s="540">
        <f>SUMIF(101:101,G33,102:102)-SUMIF(101:101,C33,102:102)+100</f>
        <v>100</v>
      </c>
      <c r="I33" s="914"/>
      <c r="J33" s="597">
        <f>SUMIF(101:101,I33,102:102)-SUMIF(101:101,C33,102:102)+100</f>
        <v>100</v>
      </c>
      <c r="K33" s="584"/>
      <c r="L33" s="2142"/>
      <c r="M33" s="2134"/>
      <c r="N33" s="2134"/>
      <c r="O33" s="2134"/>
      <c r="P33" s="3739" t="s">
        <v>551</v>
      </c>
      <c r="Q33" s="1571" t="str">
        <f t="shared" si="11"/>
        <v>建筑类型</v>
      </c>
      <c r="R33" s="1572" t="s">
        <v>8</v>
      </c>
      <c r="S33" s="1573">
        <f t="shared" si="12"/>
        <v>100</v>
      </c>
      <c r="T33" s="1572" t="s">
        <v>8</v>
      </c>
      <c r="U33" s="1573">
        <f t="shared" si="13"/>
        <v>100</v>
      </c>
      <c r="V33" s="1572" t="s">
        <v>8</v>
      </c>
      <c r="W33" s="1573">
        <f t="shared" si="14"/>
        <v>100</v>
      </c>
      <c r="X33" s="1566"/>
      <c r="Y33" s="3740" t="s">
        <v>551</v>
      </c>
      <c r="Z33" s="1574" t="str">
        <f t="shared" si="15"/>
        <v>建筑类型</v>
      </c>
      <c r="AA33" s="1575">
        <f t="shared" si="3"/>
        <v>1</v>
      </c>
      <c r="AB33" s="1575">
        <f t="shared" si="4"/>
        <v>1</v>
      </c>
      <c r="AC33" s="1575">
        <f t="shared" si="5"/>
        <v>1</v>
      </c>
    </row>
    <row r="34" spans="1:29" s="1337" customFormat="1" ht="15">
      <c r="A34" s="603"/>
      <c r="B34" s="527" t="s">
        <v>727</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740"/>
      <c r="Q34" s="1604" t="str">
        <f t="shared" si="11"/>
        <v>项目建筑规模</v>
      </c>
      <c r="R34" s="1576" t="s">
        <v>8</v>
      </c>
      <c r="S34" s="1577" t="e">
        <f t="shared" si="12"/>
        <v>#N/A</v>
      </c>
      <c r="T34" s="1576" t="s">
        <v>8</v>
      </c>
      <c r="U34" s="1577" t="e">
        <f t="shared" si="13"/>
        <v>#N/A</v>
      </c>
      <c r="V34" s="1576" t="s">
        <v>8</v>
      </c>
      <c r="W34" s="1577" t="e">
        <f t="shared" si="14"/>
        <v>#N/A</v>
      </c>
      <c r="X34" s="1578"/>
      <c r="Y34" s="3740"/>
      <c r="Z34" s="1579" t="str">
        <f t="shared" si="15"/>
        <v>项目建筑规模</v>
      </c>
      <c r="AA34" s="1575" t="e">
        <f t="shared" si="3"/>
        <v>#N/A</v>
      </c>
      <c r="AB34" s="1575" t="e">
        <f t="shared" si="4"/>
        <v>#N/A</v>
      </c>
      <c r="AC34" s="1575"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740"/>
      <c r="Q35" s="1571" t="str">
        <f t="shared" si="11"/>
        <v>建筑结构</v>
      </c>
      <c r="R35" s="1572" t="s">
        <v>8</v>
      </c>
      <c r="S35" s="1573">
        <f t="shared" si="12"/>
        <v>100</v>
      </c>
      <c r="T35" s="1572" t="s">
        <v>8</v>
      </c>
      <c r="U35" s="1573">
        <f t="shared" si="13"/>
        <v>100</v>
      </c>
      <c r="V35" s="1572" t="s">
        <v>8</v>
      </c>
      <c r="W35" s="1573">
        <f t="shared" si="14"/>
        <v>100</v>
      </c>
      <c r="X35" s="1566"/>
      <c r="Y35" s="3740"/>
      <c r="Z35" s="1574" t="str">
        <f t="shared" si="15"/>
        <v>建筑结构</v>
      </c>
      <c r="AA35" s="1575">
        <f t="shared" si="3"/>
        <v>1</v>
      </c>
      <c r="AB35" s="1575">
        <f t="shared" si="4"/>
        <v>1</v>
      </c>
      <c r="AC35" s="1575">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740"/>
      <c r="Q36" s="1571" t="str">
        <f t="shared" si="11"/>
        <v>公共部分装修</v>
      </c>
      <c r="R36" s="1572" t="s">
        <v>8</v>
      </c>
      <c r="S36" s="1573">
        <f t="shared" si="12"/>
        <v>100</v>
      </c>
      <c r="T36" s="1572" t="s">
        <v>8</v>
      </c>
      <c r="U36" s="1573">
        <f t="shared" si="13"/>
        <v>100</v>
      </c>
      <c r="V36" s="1572" t="s">
        <v>8</v>
      </c>
      <c r="W36" s="1573">
        <f t="shared" si="14"/>
        <v>100</v>
      </c>
      <c r="X36" s="1566"/>
      <c r="Y36" s="3740"/>
      <c r="Z36" s="1574" t="str">
        <f t="shared" si="15"/>
        <v>公共部分装修</v>
      </c>
      <c r="AA36" s="1575">
        <f t="shared" si="3"/>
        <v>1</v>
      </c>
      <c r="AB36" s="1575">
        <f t="shared" si="4"/>
        <v>1</v>
      </c>
      <c r="AC36" s="1575">
        <f t="shared" si="5"/>
        <v>1</v>
      </c>
    </row>
    <row r="37" spans="1:29" ht="15">
      <c r="A37" s="594"/>
      <c r="B37" s="527" t="s">
        <v>765</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740"/>
      <c r="Q37" s="1571" t="str">
        <f t="shared" si="11"/>
        <v>成新度</v>
      </c>
      <c r="R37" s="1572" t="s">
        <v>8</v>
      </c>
      <c r="S37" s="1573" t="e">
        <f t="shared" si="12"/>
        <v>#N/A</v>
      </c>
      <c r="T37" s="1572" t="s">
        <v>8</v>
      </c>
      <c r="U37" s="1573" t="e">
        <f t="shared" si="13"/>
        <v>#N/A</v>
      </c>
      <c r="V37" s="1572" t="s">
        <v>8</v>
      </c>
      <c r="W37" s="1573" t="e">
        <f t="shared" si="14"/>
        <v>#N/A</v>
      </c>
      <c r="X37" s="1566"/>
      <c r="Y37" s="3740"/>
      <c r="Z37" s="1574" t="str">
        <f t="shared" si="15"/>
        <v>成新度</v>
      </c>
      <c r="AA37" s="1575" t="e">
        <f t="shared" si="3"/>
        <v>#N/A</v>
      </c>
      <c r="AB37" s="1575" t="e">
        <f t="shared" si="4"/>
        <v>#N/A</v>
      </c>
      <c r="AC37" s="1575" t="e">
        <f t="shared" si="5"/>
        <v>#N/A</v>
      </c>
    </row>
    <row r="38" spans="1:29" s="1218"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740"/>
      <c r="Q38" s="1149" t="str">
        <f t="shared" si="11"/>
        <v>写字楼等级</v>
      </c>
      <c r="R38" s="1567" t="s">
        <v>8</v>
      </c>
      <c r="S38" s="1568">
        <f t="shared" si="12"/>
        <v>100</v>
      </c>
      <c r="T38" s="1567" t="s">
        <v>8</v>
      </c>
      <c r="U38" s="1568">
        <f t="shared" si="13"/>
        <v>100</v>
      </c>
      <c r="V38" s="1567" t="s">
        <v>8</v>
      </c>
      <c r="W38" s="1568">
        <f t="shared" si="14"/>
        <v>100</v>
      </c>
      <c r="X38" s="1569"/>
      <c r="Y38" s="3740"/>
      <c r="Z38" s="1148" t="str">
        <f t="shared" si="15"/>
        <v>写字楼等级</v>
      </c>
      <c r="AA38" s="1570">
        <f t="shared" si="3"/>
        <v>1</v>
      </c>
      <c r="AB38" s="1570">
        <f t="shared" si="4"/>
        <v>1</v>
      </c>
      <c r="AC38" s="1570">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740" t="s">
        <v>551</v>
      </c>
      <c r="Q39" s="1571" t="str">
        <f t="shared" si="11"/>
        <v>物业管理</v>
      </c>
      <c r="R39" s="1572" t="s">
        <v>8</v>
      </c>
      <c r="S39" s="1573">
        <f t="shared" si="12"/>
        <v>100</v>
      </c>
      <c r="T39" s="1572" t="s">
        <v>8</v>
      </c>
      <c r="U39" s="1573">
        <f t="shared" si="13"/>
        <v>100</v>
      </c>
      <c r="V39" s="1572" t="s">
        <v>8</v>
      </c>
      <c r="W39" s="1573">
        <f t="shared" si="14"/>
        <v>100</v>
      </c>
      <c r="X39" s="1566"/>
      <c r="Y39" s="3740" t="s">
        <v>551</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740"/>
      <c r="Q40" s="1571" t="str">
        <f t="shared" si="11"/>
        <v>市政基础设施</v>
      </c>
      <c r="R40" s="1572" t="s">
        <v>8</v>
      </c>
      <c r="S40" s="1573">
        <f t="shared" si="12"/>
        <v>100</v>
      </c>
      <c r="T40" s="1572" t="s">
        <v>8</v>
      </c>
      <c r="U40" s="1573">
        <f t="shared" si="13"/>
        <v>100</v>
      </c>
      <c r="V40" s="1572" t="s">
        <v>8</v>
      </c>
      <c r="W40" s="1573">
        <f t="shared" si="14"/>
        <v>100</v>
      </c>
      <c r="X40" s="1566"/>
      <c r="Y40" s="3740"/>
      <c r="Z40" s="1574" t="str">
        <f t="shared" si="15"/>
        <v>市政基础设施</v>
      </c>
      <c r="AA40" s="1575">
        <f t="shared" si="3"/>
        <v>1</v>
      </c>
      <c r="AB40" s="1575">
        <f t="shared" si="4"/>
        <v>1</v>
      </c>
      <c r="AC40" s="1575">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740"/>
      <c r="Q41" s="1571" t="str">
        <f t="shared" si="11"/>
        <v>层高</v>
      </c>
      <c r="R41" s="1572" t="s">
        <v>8</v>
      </c>
      <c r="S41" s="1573">
        <f t="shared" si="12"/>
        <v>100</v>
      </c>
      <c r="T41" s="1572" t="s">
        <v>8</v>
      </c>
      <c r="U41" s="1573">
        <f t="shared" si="13"/>
        <v>100</v>
      </c>
      <c r="V41" s="1572" t="s">
        <v>8</v>
      </c>
      <c r="W41" s="1573">
        <f t="shared" si="14"/>
        <v>100</v>
      </c>
      <c r="X41" s="1566"/>
      <c r="Y41" s="3740"/>
      <c r="Z41" s="1574" t="str">
        <f t="shared" si="15"/>
        <v>层高</v>
      </c>
      <c r="AA41" s="1575">
        <f t="shared" si="3"/>
        <v>1</v>
      </c>
      <c r="AB41" s="1575">
        <f t="shared" si="4"/>
        <v>1</v>
      </c>
      <c r="AC41" s="1575">
        <f t="shared" si="5"/>
        <v>1</v>
      </c>
    </row>
    <row r="42" spans="1:29" s="1337" customFormat="1" ht="15">
      <c r="A42" s="603"/>
      <c r="B42" s="902"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740"/>
      <c r="Q42" s="1604" t="str">
        <f t="shared" si="11"/>
        <v>单套建筑面积</v>
      </c>
      <c r="R42" s="1576" t="s">
        <v>8</v>
      </c>
      <c r="S42" s="1577">
        <f t="shared" si="12"/>
        <v>100</v>
      </c>
      <c r="T42" s="1576" t="s">
        <v>8</v>
      </c>
      <c r="U42" s="1577">
        <f t="shared" si="13"/>
        <v>100</v>
      </c>
      <c r="V42" s="1576" t="s">
        <v>8</v>
      </c>
      <c r="W42" s="1577">
        <f t="shared" si="14"/>
        <v>100</v>
      </c>
      <c r="X42" s="1578"/>
      <c r="Y42" s="3740"/>
      <c r="Z42" s="1579" t="str">
        <f t="shared" si="15"/>
        <v>单套建筑面积</v>
      </c>
      <c r="AA42" s="1575">
        <f t="shared" si="3"/>
        <v>1</v>
      </c>
      <c r="AB42" s="1575">
        <f t="shared" si="4"/>
        <v>1</v>
      </c>
      <c r="AC42" s="1575">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740"/>
      <c r="Q43" s="1571" t="str">
        <f t="shared" si="11"/>
        <v>内部装修</v>
      </c>
      <c r="R43" s="1572" t="s">
        <v>8</v>
      </c>
      <c r="S43" s="1573">
        <f t="shared" si="12"/>
        <v>100</v>
      </c>
      <c r="T43" s="1572" t="s">
        <v>8</v>
      </c>
      <c r="U43" s="1573">
        <f t="shared" si="13"/>
        <v>100</v>
      </c>
      <c r="V43" s="1572" t="s">
        <v>8</v>
      </c>
      <c r="W43" s="1573">
        <f t="shared" si="14"/>
        <v>100</v>
      </c>
      <c r="X43" s="1566"/>
      <c r="Y43" s="3740"/>
      <c r="Z43" s="1574" t="str">
        <f t="shared" si="15"/>
        <v>内部装修</v>
      </c>
      <c r="AA43" s="1575">
        <f t="shared" si="3"/>
        <v>1</v>
      </c>
      <c r="AB43" s="1575">
        <f t="shared" si="4"/>
        <v>1</v>
      </c>
      <c r="AC43" s="1575">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740"/>
      <c r="Q44" s="1571" t="str">
        <f t="shared" si="11"/>
        <v>内部装修维护情况</v>
      </c>
      <c r="R44" s="1572" t="s">
        <v>8</v>
      </c>
      <c r="S44" s="1573">
        <f t="shared" si="12"/>
        <v>100</v>
      </c>
      <c r="T44" s="1572" t="s">
        <v>8</v>
      </c>
      <c r="U44" s="1573">
        <f t="shared" si="13"/>
        <v>100</v>
      </c>
      <c r="V44" s="1572" t="s">
        <v>8</v>
      </c>
      <c r="W44" s="1573">
        <f t="shared" si="14"/>
        <v>100</v>
      </c>
      <c r="X44" s="1566"/>
      <c r="Y44" s="3740"/>
      <c r="Z44" s="1574" t="str">
        <f t="shared" si="15"/>
        <v>内部装修维护情况</v>
      </c>
      <c r="AA44" s="1575">
        <f t="shared" si="3"/>
        <v>1</v>
      </c>
      <c r="AB44" s="1575">
        <f t="shared" si="4"/>
        <v>1</v>
      </c>
      <c r="AC44" s="1575">
        <f t="shared" si="5"/>
        <v>1</v>
      </c>
    </row>
    <row r="45" spans="1:29" s="1218"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740"/>
      <c r="Q45" s="1149">
        <f t="shared" si="11"/>
        <v>111</v>
      </c>
      <c r="R45" s="1567" t="s">
        <v>8</v>
      </c>
      <c r="S45" s="1568">
        <f t="shared" si="12"/>
        <v>100</v>
      </c>
      <c r="T45" s="1567" t="s">
        <v>8</v>
      </c>
      <c r="U45" s="1568">
        <f t="shared" si="13"/>
        <v>100</v>
      </c>
      <c r="V45" s="1567" t="s">
        <v>8</v>
      </c>
      <c r="W45" s="1568">
        <f t="shared" si="14"/>
        <v>100</v>
      </c>
      <c r="X45" s="1569"/>
      <c r="Y45" s="3740"/>
      <c r="Z45" s="1148">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740"/>
      <c r="Q46" s="1571">
        <f t="shared" si="11"/>
        <v>111</v>
      </c>
      <c r="R46" s="1572" t="s">
        <v>8</v>
      </c>
      <c r="S46" s="1573">
        <f t="shared" si="12"/>
        <v>100</v>
      </c>
      <c r="T46" s="1572" t="s">
        <v>8</v>
      </c>
      <c r="U46" s="1573">
        <f t="shared" si="13"/>
        <v>100</v>
      </c>
      <c r="V46" s="1572" t="s">
        <v>8</v>
      </c>
      <c r="W46" s="1573">
        <f t="shared" si="14"/>
        <v>100</v>
      </c>
      <c r="X46" s="1566"/>
      <c r="Y46" s="3740"/>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796"/>
      <c r="Q47" s="1571">
        <f t="shared" si="11"/>
        <v>111</v>
      </c>
      <c r="R47" s="1572" t="s">
        <v>8</v>
      </c>
      <c r="S47" s="1573">
        <f t="shared" si="12"/>
        <v>100</v>
      </c>
      <c r="T47" s="1572" t="s">
        <v>8</v>
      </c>
      <c r="U47" s="1573">
        <f t="shared" si="13"/>
        <v>100</v>
      </c>
      <c r="V47" s="1572" t="s">
        <v>8</v>
      </c>
      <c r="W47" s="1573">
        <f t="shared" si="14"/>
        <v>100</v>
      </c>
      <c r="X47" s="1566"/>
      <c r="Y47" s="3796"/>
      <c r="Z47" s="1574">
        <f t="shared" si="15"/>
        <v>111</v>
      </c>
      <c r="AA47" s="1575">
        <f t="shared" si="3"/>
        <v>1</v>
      </c>
      <c r="AB47" s="1575">
        <f t="shared" si="4"/>
        <v>1</v>
      </c>
      <c r="AC47" s="1575">
        <f t="shared" si="5"/>
        <v>1</v>
      </c>
    </row>
    <row r="48" spans="1:29" ht="15">
      <c r="A48" s="607" t="s">
        <v>737</v>
      </c>
      <c r="B48" s="886"/>
      <c r="C48" s="2651" t="s">
        <v>1</v>
      </c>
      <c r="D48" s="2652"/>
      <c r="E48" s="2653"/>
      <c r="F48" s="2654"/>
      <c r="G48" s="2655"/>
      <c r="H48" s="2656"/>
      <c r="I48" s="2653"/>
      <c r="J48" s="2656"/>
      <c r="K48" s="1610"/>
      <c r="L48" s="2144"/>
      <c r="M48" s="2134"/>
      <c r="N48" s="2134"/>
      <c r="O48" s="2134"/>
      <c r="P48" s="3701" t="str">
        <f>A48</f>
        <v>成交单价（元/平方米）</v>
      </c>
      <c r="Q48" s="3703"/>
      <c r="R48" s="3795">
        <f>E48</f>
        <v>0</v>
      </c>
      <c r="S48" s="3795"/>
      <c r="T48" s="3795">
        <f>G48</f>
        <v>0</v>
      </c>
      <c r="U48" s="3795"/>
      <c r="V48" s="3795">
        <f>I48</f>
        <v>0</v>
      </c>
      <c r="W48" s="3795"/>
      <c r="X48" s="1558"/>
      <c r="Y48" s="1580"/>
      <c r="Z48" s="1558"/>
      <c r="AA48" s="1558"/>
      <c r="AB48" s="1558"/>
      <c r="AC48" s="1558"/>
    </row>
    <row r="49" spans="1:29" ht="15.75" thickBot="1">
      <c r="A49" s="615" t="s">
        <v>2762</v>
      </c>
      <c r="B49" s="887"/>
      <c r="C49" s="2657" t="e">
        <f>R50</f>
        <v>#DIV/0!</v>
      </c>
      <c r="D49" s="2658"/>
      <c r="E49" s="2659" t="e">
        <f>R49</f>
        <v>#DIV/0!</v>
      </c>
      <c r="F49" s="2659"/>
      <c r="G49" s="2657" t="e">
        <f>T49</f>
        <v>#DIV/0!</v>
      </c>
      <c r="H49" s="2658"/>
      <c r="I49" s="2659" t="e">
        <f>V49</f>
        <v>#DIV/0!</v>
      </c>
      <c r="J49" s="2658"/>
      <c r="K49" s="1611"/>
      <c r="L49" s="2144"/>
      <c r="M49" s="2134"/>
      <c r="N49" s="2134"/>
      <c r="O49" s="2134"/>
      <c r="P49" s="3701" t="str">
        <f>A49</f>
        <v>比较价格（元/平方米）</v>
      </c>
      <c r="Q49" s="3703"/>
      <c r="R49" s="3795" t="e">
        <f>IF(F1="售价",ROUND(PRODUCT(R48,AA7:AA47),0),ROUND(PRODUCT(R48,AA7:AA47),1))</f>
        <v>#DIV/0!</v>
      </c>
      <c r="S49" s="3795"/>
      <c r="T49" s="3795" t="e">
        <f>IF(F1="售价",ROUND(PRODUCT(T48,AB7:AB47),0),ROUND(PRODUCT(T48,AB7:AB47),1))</f>
        <v>#DIV/0!</v>
      </c>
      <c r="U49" s="3795"/>
      <c r="V49" s="3795" t="e">
        <f>IF(F1="售价",ROUND(PRODUCT(V48,AC7:AC47),0),ROUND(PRODUCT(V48,AC7:AC47),1))</f>
        <v>#DIV/0!</v>
      </c>
      <c r="W49" s="3795"/>
      <c r="X49" s="1558"/>
      <c r="Y49" s="1558"/>
      <c r="Z49" s="1558"/>
      <c r="AA49" s="1558"/>
      <c r="AB49" s="1558"/>
      <c r="AC49" s="1558"/>
    </row>
    <row r="50" spans="1:29" ht="15.75" thickBot="1">
      <c r="A50" s="621" t="s">
        <v>2931</v>
      </c>
      <c r="B50" s="622"/>
      <c r="C50" s="2660" t="e">
        <f>R50</f>
        <v>#DIV/0!</v>
      </c>
      <c r="D50" s="2660"/>
      <c r="E50" s="2660"/>
      <c r="F50" s="2660"/>
      <c r="G50" s="2660"/>
      <c r="H50" s="2660"/>
      <c r="I50" s="2660"/>
      <c r="J50" s="2660"/>
      <c r="K50" s="1612"/>
      <c r="L50" s="2144"/>
      <c r="M50" s="2134"/>
      <c r="N50" s="2134"/>
      <c r="O50" s="2134"/>
      <c r="P50" s="3828" t="str">
        <f>A50</f>
        <v>估价对象XX用房的比较价格（楼面单价，元/平方米）</v>
      </c>
      <c r="Q50" s="3701"/>
      <c r="R50" s="3794" t="e">
        <f>IF(F1="售价",ROUND(AVERAGE(R49:V49),0),ROUND(AVERAGE(R49:V49),1))</f>
        <v>#DIV/0!</v>
      </c>
      <c r="S50" s="3794"/>
      <c r="T50" s="3794"/>
      <c r="U50" s="3794"/>
      <c r="V50" s="3794"/>
      <c r="W50" s="3794"/>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575</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5" t="s">
        <v>530</v>
      </c>
      <c r="B59" s="646"/>
      <c r="C59" s="2827" t="str">
        <f>YEAR(C7)&amp;"-"&amp;MONTH(C7)</f>
        <v>2018-2</v>
      </c>
      <c r="D59" s="2829">
        <f>EDATE(C59,-1)</f>
        <v>43101</v>
      </c>
      <c r="E59" s="2829">
        <f t="shared" ref="E59:O59" si="16">EDATE(D59,-1)</f>
        <v>43070</v>
      </c>
      <c r="F59" s="2829">
        <f t="shared" si="16"/>
        <v>43040</v>
      </c>
      <c r="G59" s="2829">
        <f t="shared" si="16"/>
        <v>43009</v>
      </c>
      <c r="H59" s="2829">
        <f t="shared" si="16"/>
        <v>42979</v>
      </c>
      <c r="I59" s="2829">
        <f t="shared" si="16"/>
        <v>42948</v>
      </c>
      <c r="J59" s="2829">
        <f t="shared" si="16"/>
        <v>42917</v>
      </c>
      <c r="K59" s="2829">
        <f t="shared" si="16"/>
        <v>42887</v>
      </c>
      <c r="L59" s="2829">
        <f t="shared" si="16"/>
        <v>42856</v>
      </c>
      <c r="M59" s="2829">
        <f t="shared" si="16"/>
        <v>42826</v>
      </c>
      <c r="N59" s="2829">
        <f t="shared" si="16"/>
        <v>42795</v>
      </c>
      <c r="O59" s="2829">
        <f t="shared" si="16"/>
        <v>42767</v>
      </c>
      <c r="P59" s="2211"/>
      <c r="Q59" s="2161"/>
      <c r="R59" s="2161"/>
      <c r="S59" s="2161"/>
      <c r="T59" s="2161"/>
      <c r="U59" s="2161"/>
      <c r="V59" s="2161"/>
      <c r="W59" s="2161"/>
      <c r="X59" s="2161"/>
      <c r="Y59" s="2161"/>
      <c r="Z59" s="2161"/>
      <c r="AA59" s="2161"/>
      <c r="AB59" s="2161"/>
      <c r="AC59" s="2161"/>
    </row>
    <row r="60" spans="1:29" s="1218"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8"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8"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2560</v>
      </c>
      <c r="C83" s="2622" t="s">
        <v>2561</v>
      </c>
      <c r="D83" s="2622" t="s">
        <v>2562</v>
      </c>
      <c r="E83" s="2622" t="s">
        <v>2563</v>
      </c>
      <c r="F83" s="2622" t="s">
        <v>2564</v>
      </c>
      <c r="G83" s="2622" t="s">
        <v>2565</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3"/>
      <c r="I84" s="933"/>
      <c r="J84" s="933"/>
      <c r="K84" s="933"/>
      <c r="L84" s="933"/>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9"/>
      <c r="B87" s="673" t="s">
        <v>786</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5" t="s">
        <v>788</v>
      </c>
      <c r="C119" s="718"/>
      <c r="D119" s="718"/>
      <c r="E119" s="718"/>
      <c r="F119" s="718"/>
      <c r="G119" s="718"/>
      <c r="H119" s="718"/>
      <c r="I119" s="718"/>
      <c r="J119" s="718"/>
      <c r="K119" s="718"/>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503" t="s">
        <v>789</v>
      </c>
      <c r="C1" s="504" t="s">
        <v>721</v>
      </c>
      <c r="D1" s="849"/>
      <c r="E1" s="506"/>
      <c r="F1" s="2832"/>
      <c r="G1" s="1600" t="s">
        <v>722</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4"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522</v>
      </c>
      <c r="B4" s="513"/>
      <c r="C4" s="3709" t="s">
        <v>523</v>
      </c>
      <c r="D4" s="3710"/>
      <c r="E4" s="3743" t="s">
        <v>524</v>
      </c>
      <c r="F4" s="3744"/>
      <c r="G4" s="3709" t="s">
        <v>525</v>
      </c>
      <c r="H4" s="3710"/>
      <c r="I4" s="3709" t="s">
        <v>526</v>
      </c>
      <c r="J4" s="3710"/>
      <c r="K4" s="514" t="s">
        <v>527</v>
      </c>
      <c r="L4" s="2133"/>
      <c r="M4" s="2134"/>
      <c r="N4" s="2134"/>
      <c r="O4" s="2134"/>
      <c r="P4" s="3711" t="s">
        <v>528</v>
      </c>
      <c r="Q4" s="3712"/>
      <c r="R4" s="3717" t="s">
        <v>524</v>
      </c>
      <c r="S4" s="3718"/>
      <c r="T4" s="3717" t="s">
        <v>525</v>
      </c>
      <c r="U4" s="3718"/>
      <c r="V4" s="3704" t="s">
        <v>526</v>
      </c>
      <c r="W4" s="3704"/>
      <c r="X4" s="1566"/>
      <c r="Y4" s="3717" t="s">
        <v>528</v>
      </c>
      <c r="Z4" s="3718"/>
      <c r="AA4" s="3706" t="s">
        <v>524</v>
      </c>
      <c r="AB4" s="3707" t="s">
        <v>525</v>
      </c>
      <c r="AC4" s="3706" t="s">
        <v>526</v>
      </c>
    </row>
    <row r="5" spans="1:29" ht="15">
      <c r="A5" s="515"/>
      <c r="B5" s="516"/>
      <c r="C5" s="3725" t="s">
        <v>2925</v>
      </c>
      <c r="D5" s="3726"/>
      <c r="E5" s="3745" t="s">
        <v>2926</v>
      </c>
      <c r="F5" s="3746"/>
      <c r="G5" s="3725" t="s">
        <v>2927</v>
      </c>
      <c r="H5" s="3726"/>
      <c r="I5" s="3725" t="s">
        <v>2928</v>
      </c>
      <c r="J5" s="3726"/>
      <c r="K5" s="514"/>
      <c r="L5" s="2133"/>
      <c r="M5" s="2134"/>
      <c r="N5" s="2134"/>
      <c r="O5" s="2134"/>
      <c r="P5" s="3713"/>
      <c r="Q5" s="3714"/>
      <c r="R5" s="3719"/>
      <c r="S5" s="3720"/>
      <c r="T5" s="3719"/>
      <c r="U5" s="3720"/>
      <c r="V5" s="3704"/>
      <c r="W5" s="3704"/>
      <c r="X5" s="1566"/>
      <c r="Y5" s="3719"/>
      <c r="Z5" s="3720"/>
      <c r="AA5" s="3707"/>
      <c r="AB5" s="3707"/>
      <c r="AC5" s="3707"/>
    </row>
    <row r="6" spans="1:29" ht="15.75" thickBot="1">
      <c r="A6" s="517"/>
      <c r="B6" s="518"/>
      <c r="C6" s="3723" t="s">
        <v>2929</v>
      </c>
      <c r="D6" s="3724"/>
      <c r="E6" s="3741" t="s">
        <v>2929</v>
      </c>
      <c r="F6" s="3742"/>
      <c r="G6" s="3723" t="s">
        <v>2929</v>
      </c>
      <c r="H6" s="3724"/>
      <c r="I6" s="3723" t="s">
        <v>2929</v>
      </c>
      <c r="J6" s="3724"/>
      <c r="K6" s="514" t="s">
        <v>529</v>
      </c>
      <c r="L6" s="2133"/>
      <c r="M6" s="2134"/>
      <c r="N6" s="2134"/>
      <c r="O6" s="2134"/>
      <c r="P6" s="3715"/>
      <c r="Q6" s="3716"/>
      <c r="R6" s="3719"/>
      <c r="S6" s="3720"/>
      <c r="T6" s="3721"/>
      <c r="U6" s="3722"/>
      <c r="V6" s="3704"/>
      <c r="W6" s="3704"/>
      <c r="X6" s="1566"/>
      <c r="Y6" s="3721"/>
      <c r="Z6" s="3722"/>
      <c r="AA6" s="3708"/>
      <c r="AB6" s="3708"/>
      <c r="AC6" s="3708"/>
    </row>
    <row r="7" spans="1:29" s="1218" customFormat="1" ht="15.75" thickBot="1">
      <c r="A7" s="2936"/>
      <c r="B7" s="2943" t="s">
        <v>530</v>
      </c>
      <c r="C7" s="519">
        <f>'数据-取费表'!B2</f>
        <v>43138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34" t="s">
        <v>531</v>
      </c>
      <c r="Q7" s="3736"/>
      <c r="R7" s="1567" t="s">
        <v>8</v>
      </c>
      <c r="S7" s="1568">
        <f t="shared" ref="S7:S15" si="0">F7</f>
        <v>0</v>
      </c>
      <c r="T7" s="1567" t="s">
        <v>8</v>
      </c>
      <c r="U7" s="1568">
        <f t="shared" ref="U7:U15" si="1">H7</f>
        <v>0</v>
      </c>
      <c r="V7" s="1567" t="s">
        <v>8</v>
      </c>
      <c r="W7" s="1568">
        <f t="shared" ref="W7:W15" si="2">J7</f>
        <v>0</v>
      </c>
      <c r="X7" s="1569"/>
      <c r="Y7" s="3734" t="s">
        <v>531</v>
      </c>
      <c r="Z7" s="3735"/>
      <c r="AA7" s="1570" t="e">
        <f>D7/F7</f>
        <v>#DIV/0!</v>
      </c>
      <c r="AB7" s="1570" t="e">
        <f>D7/H7</f>
        <v>#DIV/0!</v>
      </c>
      <c r="AC7" s="1570" t="e">
        <f>D7/J7</f>
        <v>#DIV/0!</v>
      </c>
    </row>
    <row r="8" spans="1:29" s="1218" customFormat="1" ht="15.75" thickBot="1">
      <c r="A8" s="2937"/>
      <c r="B8" s="2944"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34" t="s">
        <v>534</v>
      </c>
      <c r="Q8" s="3735"/>
      <c r="R8" s="1567" t="s">
        <v>8</v>
      </c>
      <c r="S8" s="1568">
        <f t="shared" si="0"/>
        <v>0</v>
      </c>
      <c r="T8" s="1567" t="s">
        <v>8</v>
      </c>
      <c r="U8" s="1568">
        <f t="shared" si="1"/>
        <v>0</v>
      </c>
      <c r="V8" s="1567" t="s">
        <v>8</v>
      </c>
      <c r="W8" s="1568">
        <f t="shared" si="2"/>
        <v>0</v>
      </c>
      <c r="X8" s="1569"/>
      <c r="Y8" s="3734" t="s">
        <v>534</v>
      </c>
      <c r="Z8" s="3735"/>
      <c r="AA8" s="1570" t="e">
        <f t="shared" ref="AA8:AA40" si="3">D8/F8</f>
        <v>#DIV/0!</v>
      </c>
      <c r="AB8" s="1570" t="e">
        <f t="shared" ref="AB8:AB40" si="4">D8/H8</f>
        <v>#DIV/0!</v>
      </c>
      <c r="AC8" s="1570" t="e">
        <f t="shared" ref="AC8:AC40" si="5">D8/J8</f>
        <v>#DIV/0!</v>
      </c>
    </row>
    <row r="9" spans="1:29" s="1218" customFormat="1" ht="15">
      <c r="A9" s="2938"/>
      <c r="B9" s="2945"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703" t="s">
        <v>536</v>
      </c>
      <c r="Q9" s="1149" t="str">
        <f t="shared" ref="Q9:Q15" si="6">B9</f>
        <v>用途</v>
      </c>
      <c r="R9" s="1567" t="s">
        <v>8</v>
      </c>
      <c r="S9" s="1568">
        <f t="shared" si="0"/>
        <v>100</v>
      </c>
      <c r="T9" s="1567" t="s">
        <v>8</v>
      </c>
      <c r="U9" s="1568">
        <f t="shared" si="1"/>
        <v>100</v>
      </c>
      <c r="V9" s="1567" t="s">
        <v>8</v>
      </c>
      <c r="W9" s="1568">
        <f t="shared" si="2"/>
        <v>100</v>
      </c>
      <c r="X9" s="1569"/>
      <c r="Y9" s="3649" t="s">
        <v>537</v>
      </c>
      <c r="Z9" s="1148" t="str">
        <f t="shared" ref="Z9:Z15" si="7">Q9</f>
        <v>用途</v>
      </c>
      <c r="AA9" s="1570">
        <f t="shared" si="3"/>
        <v>1</v>
      </c>
      <c r="AB9" s="1570">
        <f t="shared" si="4"/>
        <v>1</v>
      </c>
      <c r="AC9" s="1570">
        <f t="shared" si="5"/>
        <v>1</v>
      </c>
    </row>
    <row r="10" spans="1:29" s="1336" customFormat="1" ht="27">
      <c r="A10" s="2939"/>
      <c r="B10" s="2944"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703"/>
      <c r="Q10" s="1149" t="str">
        <f t="shared" si="6"/>
        <v>土地使用年限（年）</v>
      </c>
      <c r="R10" s="1567" t="s">
        <v>8</v>
      </c>
      <c r="S10" s="1568">
        <f t="shared" si="0"/>
        <v>100</v>
      </c>
      <c r="T10" s="1567" t="s">
        <v>8</v>
      </c>
      <c r="U10" s="1568">
        <f t="shared" si="1"/>
        <v>100</v>
      </c>
      <c r="V10" s="1567" t="s">
        <v>8</v>
      </c>
      <c r="W10" s="1568">
        <f t="shared" si="2"/>
        <v>100</v>
      </c>
      <c r="X10" s="1569"/>
      <c r="Y10" s="3649"/>
      <c r="Z10" s="1148" t="str">
        <f t="shared" si="7"/>
        <v>土地使用年限（年）</v>
      </c>
      <c r="AA10" s="1570">
        <f t="shared" si="3"/>
        <v>1</v>
      </c>
      <c r="AB10" s="1570">
        <f t="shared" si="4"/>
        <v>1</v>
      </c>
      <c r="AC10" s="1570">
        <f t="shared" si="5"/>
        <v>1</v>
      </c>
    </row>
    <row r="11" spans="1:29" ht="15">
      <c r="A11" s="2940"/>
      <c r="B11" s="2944"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703"/>
      <c r="Q11" s="1149" t="str">
        <f t="shared" si="6"/>
        <v>容积率</v>
      </c>
      <c r="R11" s="1567" t="s">
        <v>8</v>
      </c>
      <c r="S11" s="1568" t="e">
        <f t="shared" si="0"/>
        <v>#N/A</v>
      </c>
      <c r="T11" s="1567" t="s">
        <v>8</v>
      </c>
      <c r="U11" s="1568" t="e">
        <f t="shared" si="1"/>
        <v>#N/A</v>
      </c>
      <c r="V11" s="1567" t="s">
        <v>8</v>
      </c>
      <c r="W11" s="1568" t="e">
        <f t="shared" si="2"/>
        <v>#N/A</v>
      </c>
      <c r="X11" s="1569"/>
      <c r="Y11" s="3649"/>
      <c r="Z11" s="1148" t="str">
        <f t="shared" si="7"/>
        <v>容积率</v>
      </c>
      <c r="AA11" s="1570" t="e">
        <f t="shared" si="3"/>
        <v>#N/A</v>
      </c>
      <c r="AB11" s="1570" t="e">
        <f t="shared" si="4"/>
        <v>#N/A</v>
      </c>
      <c r="AC11" s="1570" t="e">
        <f t="shared" si="5"/>
        <v>#N/A</v>
      </c>
    </row>
    <row r="12" spans="1:29" s="1218" customFormat="1" ht="15">
      <c r="A12" s="2941"/>
      <c r="B12" s="2947">
        <v>111</v>
      </c>
      <c r="C12" s="528"/>
      <c r="D12" s="538">
        <v>100</v>
      </c>
      <c r="E12" s="539"/>
      <c r="F12" s="255">
        <f>SUMIF(64:64,E12,65:65)-SUMIF(64:64,C12,65:65)+100</f>
        <v>100</v>
      </c>
      <c r="G12" s="918"/>
      <c r="H12" s="255">
        <f>SUMIF(64:64,G12,65:65)-SUMIF(64:64,C12,65:65)+100</f>
        <v>100</v>
      </c>
      <c r="I12" s="879"/>
      <c r="J12" s="255">
        <f>SUMIF(64:64,I12,65:65)-SUMIF(64:64,C12,65:65)+100</f>
        <v>100</v>
      </c>
      <c r="K12" s="581"/>
      <c r="L12" s="2135"/>
      <c r="M12" s="2136"/>
      <c r="N12" s="2136"/>
      <c r="O12" s="2137"/>
      <c r="P12" s="3703"/>
      <c r="Q12" s="1149">
        <f t="shared" si="6"/>
        <v>111</v>
      </c>
      <c r="R12" s="1567" t="s">
        <v>8</v>
      </c>
      <c r="S12" s="1568">
        <f t="shared" si="0"/>
        <v>100</v>
      </c>
      <c r="T12" s="1567" t="s">
        <v>8</v>
      </c>
      <c r="U12" s="1568">
        <f t="shared" si="1"/>
        <v>100</v>
      </c>
      <c r="V12" s="1567" t="s">
        <v>8</v>
      </c>
      <c r="W12" s="1568">
        <f t="shared" si="2"/>
        <v>100</v>
      </c>
      <c r="X12" s="1569"/>
      <c r="Y12" s="3649"/>
      <c r="Z12" s="1148">
        <f t="shared" si="7"/>
        <v>111</v>
      </c>
      <c r="AA12" s="1570">
        <f>D12/F12</f>
        <v>1</v>
      </c>
      <c r="AB12" s="1570">
        <f>D12/H12</f>
        <v>1</v>
      </c>
      <c r="AC12" s="1570">
        <f>D12/J12</f>
        <v>1</v>
      </c>
    </row>
    <row r="13" spans="1:29" ht="15">
      <c r="A13" s="2941"/>
      <c r="B13" s="2947">
        <v>111</v>
      </c>
      <c r="C13" s="539"/>
      <c r="D13" s="540">
        <v>100</v>
      </c>
      <c r="E13" s="539"/>
      <c r="F13" s="255">
        <f>SUMIF(66:66,E13,67:67)-SUMIF(66:66,C13,67:67)+100</f>
        <v>100</v>
      </c>
      <c r="G13" s="918"/>
      <c r="H13" s="540">
        <f>SUMIF(66:66,G13,67:67)-SUMIF(66:66,C13,67:67)+100</f>
        <v>100</v>
      </c>
      <c r="I13" s="879"/>
      <c r="J13" s="540">
        <f>SUMIF(66:66,I13,67:67)-SUMIF(66:66,C13,67:67)+100</f>
        <v>100</v>
      </c>
      <c r="K13" s="581"/>
      <c r="L13" s="2142"/>
      <c r="M13" s="2134"/>
      <c r="N13" s="2134"/>
      <c r="O13" s="2141"/>
      <c r="P13" s="3703"/>
      <c r="Q13" s="1149">
        <f t="shared" si="6"/>
        <v>111</v>
      </c>
      <c r="R13" s="1567" t="s">
        <v>8</v>
      </c>
      <c r="S13" s="1568">
        <f t="shared" si="0"/>
        <v>100</v>
      </c>
      <c r="T13" s="1567" t="s">
        <v>8</v>
      </c>
      <c r="U13" s="1568">
        <f t="shared" si="1"/>
        <v>100</v>
      </c>
      <c r="V13" s="1567" t="s">
        <v>8</v>
      </c>
      <c r="W13" s="1568">
        <f t="shared" si="2"/>
        <v>100</v>
      </c>
      <c r="X13" s="1569"/>
      <c r="Y13" s="3649"/>
      <c r="Z13" s="1148">
        <f t="shared" si="7"/>
        <v>111</v>
      </c>
      <c r="AA13" s="1570">
        <f t="shared" si="3"/>
        <v>1</v>
      </c>
      <c r="AB13" s="1570">
        <f t="shared" si="4"/>
        <v>1</v>
      </c>
      <c r="AC13" s="1570">
        <f t="shared" si="5"/>
        <v>1</v>
      </c>
    </row>
    <row r="14" spans="1:29" ht="15.75" thickBot="1">
      <c r="A14" s="2942"/>
      <c r="B14" s="2948">
        <v>111</v>
      </c>
      <c r="C14" s="545"/>
      <c r="D14" s="546">
        <v>100</v>
      </c>
      <c r="E14" s="545"/>
      <c r="F14" s="546">
        <f>SUMIF(68:68,E14,69:69)-SUMIF(68:68,C14,69:69)+100</f>
        <v>100</v>
      </c>
      <c r="G14" s="918"/>
      <c r="H14" s="546">
        <f>SUMIF(68:68,G14,69:69)-SUMIF(68:68,C14,69:69)+100</f>
        <v>100</v>
      </c>
      <c r="I14" s="879"/>
      <c r="J14" s="546">
        <f>SUMIF(68:68,I14,69:69)-SUMIF(68:68,C14,69:69)+100</f>
        <v>100</v>
      </c>
      <c r="K14" s="581"/>
      <c r="L14" s="2142"/>
      <c r="M14" s="2134"/>
      <c r="N14" s="2134"/>
      <c r="O14" s="2141"/>
      <c r="P14" s="3703"/>
      <c r="Q14" s="1149">
        <f t="shared" si="6"/>
        <v>111</v>
      </c>
      <c r="R14" s="1567" t="s">
        <v>8</v>
      </c>
      <c r="S14" s="1568">
        <f t="shared" si="0"/>
        <v>100</v>
      </c>
      <c r="T14" s="1567" t="s">
        <v>8</v>
      </c>
      <c r="U14" s="1568">
        <f t="shared" si="1"/>
        <v>100</v>
      </c>
      <c r="V14" s="1567" t="s">
        <v>8</v>
      </c>
      <c r="W14" s="1568">
        <f t="shared" si="2"/>
        <v>100</v>
      </c>
      <c r="X14" s="1569"/>
      <c r="Y14" s="3649"/>
      <c r="Z14" s="1148">
        <f t="shared" si="7"/>
        <v>111</v>
      </c>
      <c r="AA14" s="1570">
        <f t="shared" si="3"/>
        <v>1</v>
      </c>
      <c r="AB14" s="1570">
        <f t="shared" si="4"/>
        <v>1</v>
      </c>
      <c r="AC14" s="1570">
        <f t="shared" si="5"/>
        <v>1</v>
      </c>
    </row>
    <row r="15" spans="1:29" ht="57">
      <c r="A15" s="2934" t="s">
        <v>2756</v>
      </c>
      <c r="B15" s="166" t="s">
        <v>790</v>
      </c>
      <c r="C15" s="919"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737" t="s">
        <v>541</v>
      </c>
      <c r="Q15" s="1571" t="str">
        <f t="shared" si="6"/>
        <v>产业集聚程度</v>
      </c>
      <c r="R15" s="1572" t="s">
        <v>8</v>
      </c>
      <c r="S15" s="1573">
        <f t="shared" si="0"/>
        <v>100</v>
      </c>
      <c r="T15" s="1572" t="s">
        <v>8</v>
      </c>
      <c r="U15" s="1573">
        <f t="shared" si="1"/>
        <v>100</v>
      </c>
      <c r="V15" s="1572" t="s">
        <v>8</v>
      </c>
      <c r="W15" s="1573">
        <f t="shared" si="2"/>
        <v>100</v>
      </c>
      <c r="X15" s="1566"/>
      <c r="Y15" s="3737" t="s">
        <v>541</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738"/>
      <c r="Q16" s="1571"/>
      <c r="R16" s="1572"/>
      <c r="S16" s="1573"/>
      <c r="T16" s="1572"/>
      <c r="U16" s="1573"/>
      <c r="V16" s="1572"/>
      <c r="W16" s="1573"/>
      <c r="X16" s="1566"/>
      <c r="Y16" s="3738"/>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738"/>
      <c r="Q17" s="1571" t="str">
        <f>B17</f>
        <v>交通便捷度</v>
      </c>
      <c r="R17" s="1572" t="s">
        <v>8</v>
      </c>
      <c r="S17" s="1573">
        <f>F17</f>
        <v>100</v>
      </c>
      <c r="T17" s="1572" t="s">
        <v>8</v>
      </c>
      <c r="U17" s="1573">
        <f>H17</f>
        <v>100</v>
      </c>
      <c r="V17" s="1572" t="s">
        <v>8</v>
      </c>
      <c r="W17" s="1573">
        <f>J17</f>
        <v>100</v>
      </c>
      <c r="X17" s="1566"/>
      <c r="Y17" s="373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738"/>
      <c r="Q18" s="1571"/>
      <c r="R18" s="1572"/>
      <c r="S18" s="1573"/>
      <c r="T18" s="1572"/>
      <c r="U18" s="1573"/>
      <c r="V18" s="1572"/>
      <c r="W18" s="1573"/>
      <c r="X18" s="1566"/>
      <c r="Y18" s="3738"/>
      <c r="Z18" s="1574"/>
      <c r="AA18" s="1575">
        <v>1</v>
      </c>
      <c r="AB18" s="1575">
        <v>1</v>
      </c>
      <c r="AC18" s="1575">
        <v>1</v>
      </c>
    </row>
    <row r="19" spans="1:29" ht="42.75">
      <c r="A19" s="532"/>
      <c r="B19" s="2627"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738"/>
      <c r="Q19" s="1571" t="str">
        <f>B19</f>
        <v>公共配套设施</v>
      </c>
      <c r="R19" s="1572" t="s">
        <v>8</v>
      </c>
      <c r="S19" s="1573">
        <f>F19</f>
        <v>100</v>
      </c>
      <c r="T19" s="1572" t="s">
        <v>8</v>
      </c>
      <c r="U19" s="1573">
        <f>H19</f>
        <v>100</v>
      </c>
      <c r="V19" s="1572" t="s">
        <v>8</v>
      </c>
      <c r="W19" s="1573">
        <f>J19</f>
        <v>100</v>
      </c>
      <c r="X19" s="1566"/>
      <c r="Y19" s="3738"/>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738"/>
      <c r="Q20" s="1571"/>
      <c r="R20" s="1572"/>
      <c r="S20" s="1573"/>
      <c r="T20" s="1572"/>
      <c r="U20" s="1573"/>
      <c r="V20" s="1572"/>
      <c r="W20" s="1573"/>
      <c r="X20" s="1566"/>
      <c r="Y20" s="3738"/>
      <c r="Z20" s="1574"/>
      <c r="AA20" s="1575">
        <v>1</v>
      </c>
      <c r="AB20" s="1575">
        <v>1</v>
      </c>
      <c r="AC20" s="1575">
        <v>1</v>
      </c>
    </row>
    <row r="21" spans="1:29" ht="28.5">
      <c r="A21" s="532"/>
      <c r="B21" s="2615"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738"/>
      <c r="Q21" s="2603" t="str">
        <f>B21</f>
        <v>基础设施水平</v>
      </c>
      <c r="R21" s="1572" t="s">
        <v>8</v>
      </c>
      <c r="S21" s="1573">
        <f>F21</f>
        <v>100</v>
      </c>
      <c r="T21" s="1572" t="s">
        <v>8</v>
      </c>
      <c r="U21" s="1573">
        <f>H21</f>
        <v>100</v>
      </c>
      <c r="V21" s="1572" t="s">
        <v>8</v>
      </c>
      <c r="W21" s="1573">
        <f>J21</f>
        <v>100</v>
      </c>
      <c r="X21" s="2605"/>
      <c r="Y21" s="3738"/>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738"/>
      <c r="Q22" s="2603"/>
      <c r="R22" s="1572"/>
      <c r="S22" s="1573"/>
      <c r="T22" s="1572"/>
      <c r="U22" s="1573"/>
      <c r="V22" s="1572"/>
      <c r="W22" s="1573"/>
      <c r="X22" s="2605"/>
      <c r="Y22" s="3738"/>
      <c r="Z22" s="2604"/>
      <c r="AA22" s="1575">
        <v>1</v>
      </c>
      <c r="AB22" s="1575">
        <v>1</v>
      </c>
      <c r="AC22" s="1575">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738"/>
      <c r="Q23" s="1571" t="str">
        <f>B23</f>
        <v>环境质量</v>
      </c>
      <c r="R23" s="1572" t="s">
        <v>8</v>
      </c>
      <c r="S23" s="1573">
        <f>F23</f>
        <v>100</v>
      </c>
      <c r="T23" s="1572" t="s">
        <v>8</v>
      </c>
      <c r="U23" s="1573">
        <f>H23</f>
        <v>100</v>
      </c>
      <c r="V23" s="1572" t="s">
        <v>8</v>
      </c>
      <c r="W23" s="1573">
        <f>J23</f>
        <v>100</v>
      </c>
      <c r="X23" s="1566"/>
      <c r="Y23" s="3738"/>
      <c r="Z23" s="1574" t="str">
        <f>Q23</f>
        <v>环境质量</v>
      </c>
      <c r="AA23" s="1575">
        <f t="shared" si="3"/>
        <v>1</v>
      </c>
      <c r="AB23" s="1575">
        <f t="shared" si="4"/>
        <v>1</v>
      </c>
      <c r="AC23" s="1575">
        <f t="shared" si="5"/>
        <v>1</v>
      </c>
    </row>
    <row r="24" spans="1:29" ht="15">
      <c r="A24" s="532"/>
      <c r="B24" s="920"/>
      <c r="C24" s="576"/>
      <c r="D24" s="555"/>
      <c r="E24" s="556"/>
      <c r="F24" s="557"/>
      <c r="G24" s="558"/>
      <c r="H24" s="555"/>
      <c r="I24" s="556"/>
      <c r="J24" s="555"/>
      <c r="K24" s="898"/>
      <c r="L24" s="2142"/>
      <c r="M24" s="2134"/>
      <c r="N24" s="2134"/>
      <c r="O24" s="2141"/>
      <c r="P24" s="3738"/>
      <c r="Q24" s="1571"/>
      <c r="R24" s="1572"/>
      <c r="S24" s="1573"/>
      <c r="T24" s="1572"/>
      <c r="U24" s="1573"/>
      <c r="V24" s="1572"/>
      <c r="W24" s="1573"/>
      <c r="X24" s="1566"/>
      <c r="Y24" s="3738"/>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738"/>
      <c r="Q25" s="1571">
        <f>B25</f>
        <v>111</v>
      </c>
      <c r="R25" s="1572" t="s">
        <v>8</v>
      </c>
      <c r="S25" s="1573">
        <f>F25</f>
        <v>100</v>
      </c>
      <c r="T25" s="1572" t="s">
        <v>8</v>
      </c>
      <c r="U25" s="1573">
        <f>H25</f>
        <v>100</v>
      </c>
      <c r="V25" s="1572" t="s">
        <v>8</v>
      </c>
      <c r="W25" s="1573">
        <f>J25</f>
        <v>100</v>
      </c>
      <c r="X25" s="1566"/>
      <c r="Y25" s="3738"/>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738"/>
      <c r="Q26" s="1571">
        <f t="shared" ref="Q26:Q40" si="11">B26</f>
        <v>111</v>
      </c>
      <c r="R26" s="1572" t="s">
        <v>8</v>
      </c>
      <c r="S26" s="1573">
        <f>F26</f>
        <v>100</v>
      </c>
      <c r="T26" s="1572" t="s">
        <v>8</v>
      </c>
      <c r="U26" s="1573">
        <f>H26</f>
        <v>100</v>
      </c>
      <c r="V26" s="1572" t="s">
        <v>8</v>
      </c>
      <c r="W26" s="1573">
        <f>J26</f>
        <v>100</v>
      </c>
      <c r="X26" s="1566"/>
      <c r="Y26" s="3738"/>
      <c r="Z26" s="1574">
        <f>Q26</f>
        <v>111</v>
      </c>
      <c r="AA26" s="1575">
        <f t="shared" si="3"/>
        <v>1</v>
      </c>
      <c r="AB26" s="1575">
        <f t="shared" si="4"/>
        <v>1</v>
      </c>
      <c r="AC26" s="1575">
        <f t="shared" si="5"/>
        <v>1</v>
      </c>
    </row>
    <row r="27" spans="1:29" s="1218"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738"/>
      <c r="Q27" s="1149">
        <f t="shared" si="11"/>
        <v>111</v>
      </c>
      <c r="R27" s="1567" t="s">
        <v>8</v>
      </c>
      <c r="S27" s="1568">
        <f>F27</f>
        <v>100</v>
      </c>
      <c r="T27" s="1567" t="s">
        <v>8</v>
      </c>
      <c r="U27" s="1568">
        <f>H27</f>
        <v>100</v>
      </c>
      <c r="V27" s="1567" t="s">
        <v>8</v>
      </c>
      <c r="W27" s="1568">
        <f>J27</f>
        <v>100</v>
      </c>
      <c r="X27" s="1569"/>
      <c r="Y27" s="3738"/>
      <c r="Z27" s="1148">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738"/>
      <c r="Q28" s="1571">
        <f t="shared" si="11"/>
        <v>111</v>
      </c>
      <c r="R28" s="1572" t="s">
        <v>8</v>
      </c>
      <c r="S28" s="1573">
        <f t="shared" ref="S28:S40" si="12">F28</f>
        <v>100</v>
      </c>
      <c r="T28" s="1572" t="s">
        <v>8</v>
      </c>
      <c r="U28" s="1573">
        <f t="shared" ref="U28:U40" si="13">H28</f>
        <v>100</v>
      </c>
      <c r="V28" s="1572" t="s">
        <v>8</v>
      </c>
      <c r="W28" s="1573">
        <f t="shared" ref="W28:W40" si="14">J28</f>
        <v>100</v>
      </c>
      <c r="X28" s="1566"/>
      <c r="Y28" s="3738"/>
      <c r="Z28" s="1574">
        <f t="shared" ref="Z28:Z40" si="15">Q28</f>
        <v>111</v>
      </c>
      <c r="AA28" s="1575">
        <f t="shared" si="3"/>
        <v>1</v>
      </c>
      <c r="AB28" s="1575">
        <f t="shared" si="4"/>
        <v>1</v>
      </c>
      <c r="AC28" s="1575">
        <f t="shared" si="5"/>
        <v>1</v>
      </c>
    </row>
    <row r="29" spans="1:29" ht="15">
      <c r="A29" s="2932" t="s">
        <v>2757</v>
      </c>
      <c r="B29" s="172" t="s">
        <v>781</v>
      </c>
      <c r="C29" s="914"/>
      <c r="D29" s="597">
        <v>100</v>
      </c>
      <c r="E29" s="914"/>
      <c r="F29" s="575">
        <f>SUMIF(88:88,E29,89:89)-SUMIF(88:88,C29,89:89)+100</f>
        <v>100</v>
      </c>
      <c r="G29" s="914"/>
      <c r="H29" s="540">
        <f>SUMIF(88:88,G29,89:89)-SUMIF(88:88,C29,89:89)+100</f>
        <v>100</v>
      </c>
      <c r="I29" s="914"/>
      <c r="J29" s="597">
        <f>SUMIF(88:88,I29,89:89)-SUMIF(88:88,C29,89:89)+100</f>
        <v>100</v>
      </c>
      <c r="K29" s="584"/>
      <c r="L29" s="2142"/>
      <c r="M29" s="2134"/>
      <c r="N29" s="2134"/>
      <c r="O29" s="2141"/>
      <c r="P29" s="3739" t="s">
        <v>551</v>
      </c>
      <c r="Q29" s="1571" t="str">
        <f t="shared" si="11"/>
        <v>建筑类型</v>
      </c>
      <c r="R29" s="1572" t="s">
        <v>8</v>
      </c>
      <c r="S29" s="1573">
        <f t="shared" si="12"/>
        <v>100</v>
      </c>
      <c r="T29" s="1572" t="s">
        <v>8</v>
      </c>
      <c r="U29" s="1573">
        <f t="shared" si="13"/>
        <v>100</v>
      </c>
      <c r="V29" s="1572" t="s">
        <v>8</v>
      </c>
      <c r="W29" s="1573">
        <f t="shared" si="14"/>
        <v>100</v>
      </c>
      <c r="X29" s="1566"/>
      <c r="Y29" s="3740" t="s">
        <v>551</v>
      </c>
      <c r="Z29" s="1574" t="str">
        <f t="shared" si="15"/>
        <v>建筑类型</v>
      </c>
      <c r="AA29" s="1575">
        <f t="shared" si="3"/>
        <v>1</v>
      </c>
      <c r="AB29" s="1575">
        <f t="shared" si="4"/>
        <v>1</v>
      </c>
      <c r="AC29" s="1575">
        <f t="shared" si="5"/>
        <v>1</v>
      </c>
    </row>
    <row r="30" spans="1:29" s="1337" customFormat="1" ht="15">
      <c r="A30" s="603"/>
      <c r="B30" s="527" t="s">
        <v>727</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740"/>
      <c r="Q30" s="1604" t="str">
        <f t="shared" si="11"/>
        <v>项目建筑规模</v>
      </c>
      <c r="R30" s="1576" t="s">
        <v>8</v>
      </c>
      <c r="S30" s="1577" t="e">
        <f t="shared" si="12"/>
        <v>#N/A</v>
      </c>
      <c r="T30" s="1576" t="s">
        <v>8</v>
      </c>
      <c r="U30" s="1577" t="e">
        <f t="shared" si="13"/>
        <v>#N/A</v>
      </c>
      <c r="V30" s="1576" t="s">
        <v>8</v>
      </c>
      <c r="W30" s="1577" t="e">
        <f t="shared" si="14"/>
        <v>#N/A</v>
      </c>
      <c r="X30" s="1578"/>
      <c r="Y30" s="3740"/>
      <c r="Z30" s="1579" t="str">
        <f t="shared" si="15"/>
        <v>项目建筑规模</v>
      </c>
      <c r="AA30" s="1575" t="e">
        <f t="shared" si="3"/>
        <v>#N/A</v>
      </c>
      <c r="AB30" s="1575" t="e">
        <f t="shared" si="4"/>
        <v>#N/A</v>
      </c>
      <c r="AC30" s="1575"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740"/>
      <c r="Q31" s="1571" t="str">
        <f t="shared" si="11"/>
        <v>建筑结构</v>
      </c>
      <c r="R31" s="1572" t="s">
        <v>8</v>
      </c>
      <c r="S31" s="1573">
        <f t="shared" si="12"/>
        <v>100</v>
      </c>
      <c r="T31" s="1572" t="s">
        <v>8</v>
      </c>
      <c r="U31" s="1573">
        <f t="shared" si="13"/>
        <v>100</v>
      </c>
      <c r="V31" s="1572" t="s">
        <v>8</v>
      </c>
      <c r="W31" s="1573">
        <f t="shared" si="14"/>
        <v>100</v>
      </c>
      <c r="X31" s="1566"/>
      <c r="Y31" s="3740"/>
      <c r="Z31" s="1574" t="str">
        <f t="shared" si="15"/>
        <v>建筑结构</v>
      </c>
      <c r="AA31" s="1575">
        <f t="shared" si="3"/>
        <v>1</v>
      </c>
      <c r="AB31" s="1575">
        <f t="shared" si="4"/>
        <v>1</v>
      </c>
      <c r="AC31" s="1575">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740"/>
      <c r="Q32" s="1571" t="str">
        <f t="shared" si="11"/>
        <v>公共部分装修</v>
      </c>
      <c r="R32" s="1572" t="s">
        <v>8</v>
      </c>
      <c r="S32" s="1573">
        <f t="shared" si="12"/>
        <v>100</v>
      </c>
      <c r="T32" s="1572" t="s">
        <v>8</v>
      </c>
      <c r="U32" s="1573">
        <f t="shared" si="13"/>
        <v>100</v>
      </c>
      <c r="V32" s="1572" t="s">
        <v>8</v>
      </c>
      <c r="W32" s="1573">
        <f t="shared" si="14"/>
        <v>100</v>
      </c>
      <c r="X32" s="1566"/>
      <c r="Y32" s="3740"/>
      <c r="Z32" s="1574" t="str">
        <f t="shared" si="15"/>
        <v>公共部分装修</v>
      </c>
      <c r="AA32" s="1575">
        <f t="shared" si="3"/>
        <v>1</v>
      </c>
      <c r="AB32" s="1575">
        <f t="shared" si="4"/>
        <v>1</v>
      </c>
      <c r="AC32" s="1575">
        <f t="shared" si="5"/>
        <v>1</v>
      </c>
    </row>
    <row r="33" spans="1:29" ht="15">
      <c r="A33" s="594"/>
      <c r="B33" s="527" t="s">
        <v>765</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740"/>
      <c r="Q33" s="1571" t="str">
        <f t="shared" si="11"/>
        <v>成新度</v>
      </c>
      <c r="R33" s="1572" t="s">
        <v>8</v>
      </c>
      <c r="S33" s="1573" t="e">
        <f t="shared" si="12"/>
        <v>#N/A</v>
      </c>
      <c r="T33" s="1572" t="s">
        <v>8</v>
      </c>
      <c r="U33" s="1573" t="e">
        <f t="shared" si="13"/>
        <v>#N/A</v>
      </c>
      <c r="V33" s="1572" t="s">
        <v>8</v>
      </c>
      <c r="W33" s="1573" t="e">
        <f t="shared" si="14"/>
        <v>#N/A</v>
      </c>
      <c r="X33" s="1566"/>
      <c r="Y33" s="3740"/>
      <c r="Z33" s="1574" t="str">
        <f t="shared" si="15"/>
        <v>成新度</v>
      </c>
      <c r="AA33" s="1575" t="e">
        <f t="shared" si="3"/>
        <v>#N/A</v>
      </c>
      <c r="AB33" s="1575" t="e">
        <f t="shared" si="4"/>
        <v>#N/A</v>
      </c>
      <c r="AC33" s="1575" t="e">
        <f t="shared" si="5"/>
        <v>#N/A</v>
      </c>
    </row>
    <row r="34" spans="1:29" s="1218"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740"/>
      <c r="Q34" s="1149" t="str">
        <f t="shared" si="11"/>
        <v>物业管理</v>
      </c>
      <c r="R34" s="1567" t="s">
        <v>8</v>
      </c>
      <c r="S34" s="1568">
        <f t="shared" si="12"/>
        <v>100</v>
      </c>
      <c r="T34" s="1567" t="s">
        <v>8</v>
      </c>
      <c r="U34" s="1568">
        <f t="shared" si="13"/>
        <v>100</v>
      </c>
      <c r="V34" s="1567" t="s">
        <v>8</v>
      </c>
      <c r="W34" s="1568">
        <f t="shared" si="14"/>
        <v>100</v>
      </c>
      <c r="X34" s="1569"/>
      <c r="Y34" s="3740"/>
      <c r="Z34" s="1148"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740" t="s">
        <v>551</v>
      </c>
      <c r="Q35" s="1571" t="str">
        <f t="shared" si="11"/>
        <v>市政基础设施</v>
      </c>
      <c r="R35" s="1572" t="s">
        <v>8</v>
      </c>
      <c r="S35" s="1573">
        <f t="shared" si="12"/>
        <v>100</v>
      </c>
      <c r="T35" s="1572" t="s">
        <v>8</v>
      </c>
      <c r="U35" s="1573">
        <f t="shared" si="13"/>
        <v>100</v>
      </c>
      <c r="V35" s="1572" t="s">
        <v>8</v>
      </c>
      <c r="W35" s="1573">
        <f t="shared" si="14"/>
        <v>100</v>
      </c>
      <c r="X35" s="1566"/>
      <c r="Y35" s="3740" t="s">
        <v>551</v>
      </c>
      <c r="Z35" s="1574" t="str">
        <f t="shared" si="15"/>
        <v>市政基础设施</v>
      </c>
      <c r="AA35" s="1575">
        <f t="shared" si="3"/>
        <v>1</v>
      </c>
      <c r="AB35" s="1575">
        <f t="shared" si="4"/>
        <v>1</v>
      </c>
      <c r="AC35" s="1575">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740"/>
      <c r="Q36" s="1571" t="str">
        <f t="shared" si="11"/>
        <v>内部装修</v>
      </c>
      <c r="R36" s="1572" t="s">
        <v>8</v>
      </c>
      <c r="S36" s="1573">
        <f t="shared" si="12"/>
        <v>100</v>
      </c>
      <c r="T36" s="1572" t="s">
        <v>8</v>
      </c>
      <c r="U36" s="1573">
        <f t="shared" si="13"/>
        <v>100</v>
      </c>
      <c r="V36" s="1572" t="s">
        <v>8</v>
      </c>
      <c r="W36" s="1573">
        <f t="shared" si="14"/>
        <v>100</v>
      </c>
      <c r="X36" s="1566"/>
      <c r="Y36" s="3740"/>
      <c r="Z36" s="1574" t="str">
        <f t="shared" si="15"/>
        <v>内部装修</v>
      </c>
      <c r="AA36" s="1575">
        <f t="shared" si="3"/>
        <v>1</v>
      </c>
      <c r="AB36" s="1575">
        <f t="shared" si="4"/>
        <v>1</v>
      </c>
      <c r="AC36" s="1575">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740"/>
      <c r="Q37" s="1571" t="str">
        <f t="shared" si="11"/>
        <v>内部装修状况</v>
      </c>
      <c r="R37" s="1572" t="s">
        <v>8</v>
      </c>
      <c r="S37" s="1573">
        <f t="shared" si="12"/>
        <v>100</v>
      </c>
      <c r="T37" s="1572" t="s">
        <v>8</v>
      </c>
      <c r="U37" s="1573">
        <f t="shared" si="13"/>
        <v>100</v>
      </c>
      <c r="V37" s="1572" t="s">
        <v>8</v>
      </c>
      <c r="W37" s="1573">
        <f t="shared" si="14"/>
        <v>100</v>
      </c>
      <c r="X37" s="1566"/>
      <c r="Y37" s="3740"/>
      <c r="Z37" s="1574" t="str">
        <f t="shared" si="15"/>
        <v>内部装修状况</v>
      </c>
      <c r="AA37" s="1575">
        <f t="shared" si="3"/>
        <v>1</v>
      </c>
      <c r="AB37" s="1575">
        <f t="shared" si="4"/>
        <v>1</v>
      </c>
      <c r="AC37" s="1575">
        <f t="shared" si="5"/>
        <v>1</v>
      </c>
    </row>
    <row r="38" spans="1:29" s="1337"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740"/>
      <c r="Q38" s="1604">
        <f t="shared" si="11"/>
        <v>111</v>
      </c>
      <c r="R38" s="1576" t="s">
        <v>8</v>
      </c>
      <c r="S38" s="1577">
        <f t="shared" si="12"/>
        <v>100</v>
      </c>
      <c r="T38" s="1576" t="s">
        <v>8</v>
      </c>
      <c r="U38" s="1577">
        <f t="shared" si="13"/>
        <v>100</v>
      </c>
      <c r="V38" s="1576" t="s">
        <v>8</v>
      </c>
      <c r="W38" s="1577">
        <f t="shared" si="14"/>
        <v>100</v>
      </c>
      <c r="X38" s="1578"/>
      <c r="Y38" s="3740"/>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740"/>
      <c r="Q39" s="1571">
        <f t="shared" si="11"/>
        <v>111</v>
      </c>
      <c r="R39" s="1572" t="s">
        <v>8</v>
      </c>
      <c r="S39" s="1573">
        <f t="shared" si="12"/>
        <v>100</v>
      </c>
      <c r="T39" s="1572" t="s">
        <v>8</v>
      </c>
      <c r="U39" s="1573">
        <f t="shared" si="13"/>
        <v>100</v>
      </c>
      <c r="V39" s="1572" t="s">
        <v>8</v>
      </c>
      <c r="W39" s="1573">
        <f t="shared" si="14"/>
        <v>100</v>
      </c>
      <c r="X39" s="1566"/>
      <c r="Y39" s="3740"/>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796"/>
      <c r="Q40" s="1571">
        <f t="shared" si="11"/>
        <v>111</v>
      </c>
      <c r="R40" s="1572" t="s">
        <v>8</v>
      </c>
      <c r="S40" s="1573">
        <f t="shared" si="12"/>
        <v>100</v>
      </c>
      <c r="T40" s="1572" t="s">
        <v>8</v>
      </c>
      <c r="U40" s="1573">
        <f t="shared" si="13"/>
        <v>100</v>
      </c>
      <c r="V40" s="1572" t="s">
        <v>8</v>
      </c>
      <c r="W40" s="1573">
        <f t="shared" si="14"/>
        <v>100</v>
      </c>
      <c r="X40" s="1566"/>
      <c r="Y40" s="3796"/>
      <c r="Z40" s="1574">
        <f t="shared" si="15"/>
        <v>111</v>
      </c>
      <c r="AA40" s="1575">
        <f t="shared" si="3"/>
        <v>1</v>
      </c>
      <c r="AB40" s="1575">
        <f t="shared" si="4"/>
        <v>1</v>
      </c>
      <c r="AC40" s="1575">
        <f t="shared" si="5"/>
        <v>1</v>
      </c>
    </row>
    <row r="41" spans="1:29" ht="15">
      <c r="A41" s="607" t="s">
        <v>737</v>
      </c>
      <c r="B41" s="886"/>
      <c r="C41" s="2651" t="s">
        <v>1</v>
      </c>
      <c r="D41" s="2652"/>
      <c r="E41" s="2653"/>
      <c r="F41" s="2654"/>
      <c r="G41" s="2655"/>
      <c r="H41" s="2656"/>
      <c r="I41" s="2653"/>
      <c r="J41" s="2656"/>
      <c r="K41" s="1610"/>
      <c r="L41" s="2144"/>
      <c r="M41" s="2145"/>
      <c r="N41" s="2134"/>
      <c r="O41" s="2145"/>
      <c r="P41" s="3703" t="str">
        <f>A41</f>
        <v>成交单价（元/平方米）</v>
      </c>
      <c r="Q41" s="3703"/>
      <c r="R41" s="3795">
        <f>E41</f>
        <v>0</v>
      </c>
      <c r="S41" s="3795"/>
      <c r="T41" s="3795">
        <f>G41</f>
        <v>0</v>
      </c>
      <c r="U41" s="3795"/>
      <c r="V41" s="3795">
        <f>I41</f>
        <v>0</v>
      </c>
      <c r="W41" s="3795"/>
      <c r="X41" s="1558"/>
      <c r="Y41" s="1580"/>
      <c r="Z41" s="1558"/>
      <c r="AA41" s="1558"/>
      <c r="AB41" s="1558"/>
      <c r="AC41" s="1558"/>
    </row>
    <row r="42" spans="1:29" ht="15.75" thickBot="1">
      <c r="A42" s="615" t="s">
        <v>2762</v>
      </c>
      <c r="B42" s="887"/>
      <c r="C42" s="2657" t="e">
        <f>R43</f>
        <v>#DIV/0!</v>
      </c>
      <c r="D42" s="2658"/>
      <c r="E42" s="2659" t="e">
        <f>R42</f>
        <v>#DIV/0!</v>
      </c>
      <c r="F42" s="2659"/>
      <c r="G42" s="2657" t="e">
        <f>T42</f>
        <v>#DIV/0!</v>
      </c>
      <c r="H42" s="2658"/>
      <c r="I42" s="2659" t="e">
        <f>V42</f>
        <v>#DIV/0!</v>
      </c>
      <c r="J42" s="2658"/>
      <c r="K42" s="1611"/>
      <c r="L42" s="2144"/>
      <c r="M42" s="2145"/>
      <c r="N42" s="2134"/>
      <c r="O42" s="2145"/>
      <c r="P42" s="3703" t="str">
        <f>A42</f>
        <v>比较价格（元/平方米）</v>
      </c>
      <c r="Q42" s="3703"/>
      <c r="R42" s="3795" t="e">
        <f>IF(F1="售价",ROUND(PRODUCT(R41,AA7:AA40),0),ROUND(PRODUCT(R41,AA7:AA40),1))</f>
        <v>#DIV/0!</v>
      </c>
      <c r="S42" s="3795"/>
      <c r="T42" s="3795" t="e">
        <f>IF(F1="售价",ROUND(PRODUCT(T41,AB7:AB40),0),ROUND(PRODUCT(T41,AB7:AB40),1))</f>
        <v>#DIV/0!</v>
      </c>
      <c r="U42" s="3795"/>
      <c r="V42" s="3795" t="e">
        <f>IF(F1="售价",ROUND(PRODUCT(V41,AC7:AC40),0),ROUND(PRODUCT(V41,AC7:AC40),1))</f>
        <v>#DIV/0!</v>
      </c>
      <c r="W42" s="3795"/>
      <c r="X42" s="1558"/>
      <c r="Y42" s="1558"/>
      <c r="Z42" s="1558"/>
      <c r="AA42" s="1558"/>
      <c r="AB42" s="1558"/>
      <c r="AC42" s="1558"/>
    </row>
    <row r="43" spans="1:29" ht="15.75" thickBot="1">
      <c r="A43" s="621" t="s">
        <v>2931</v>
      </c>
      <c r="B43" s="622"/>
      <c r="C43" s="2660" t="e">
        <f>R43</f>
        <v>#DIV/0!</v>
      </c>
      <c r="D43" s="2660"/>
      <c r="E43" s="2660"/>
      <c r="F43" s="2660"/>
      <c r="G43" s="2660"/>
      <c r="H43" s="2660"/>
      <c r="I43" s="2660"/>
      <c r="J43" s="2660"/>
      <c r="K43" s="1612"/>
      <c r="L43" s="2144"/>
      <c r="M43" s="2145"/>
      <c r="N43" s="2145"/>
      <c r="O43" s="2145"/>
      <c r="P43" s="3700" t="str">
        <f>A43</f>
        <v>估价对象XX用房的比较价格（楼面单价，元/平方米）</v>
      </c>
      <c r="Q43" s="3701"/>
      <c r="R43" s="3794" t="e">
        <f>IF(F1="售价",ROUND(AVERAGE(R42:V42),0),ROUND(AVERAGE(R42:V42),1))</f>
        <v>#DIV/0!</v>
      </c>
      <c r="S43" s="3794"/>
      <c r="T43" s="3794"/>
      <c r="U43" s="3794"/>
      <c r="V43" s="3794"/>
      <c r="W43" s="3794"/>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575</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5" t="s">
        <v>530</v>
      </c>
      <c r="B52" s="646"/>
      <c r="C52" s="2827" t="str">
        <f>YEAR(C7)&amp;"-"&amp;MONTH(C7)</f>
        <v>2018-2</v>
      </c>
      <c r="D52" s="2829">
        <f>EDATE(C52,-1)</f>
        <v>43101</v>
      </c>
      <c r="E52" s="2829">
        <f t="shared" ref="E52:O52" si="16">EDATE(D52,-1)</f>
        <v>43070</v>
      </c>
      <c r="F52" s="2829">
        <f t="shared" si="16"/>
        <v>43040</v>
      </c>
      <c r="G52" s="2829">
        <f t="shared" si="16"/>
        <v>43009</v>
      </c>
      <c r="H52" s="2829">
        <f t="shared" si="16"/>
        <v>42979</v>
      </c>
      <c r="I52" s="2829">
        <f t="shared" si="16"/>
        <v>42948</v>
      </c>
      <c r="J52" s="2829">
        <f t="shared" si="16"/>
        <v>42917</v>
      </c>
      <c r="K52" s="2829">
        <f t="shared" si="16"/>
        <v>42887</v>
      </c>
      <c r="L52" s="2829">
        <f t="shared" si="16"/>
        <v>42856</v>
      </c>
      <c r="M52" s="2829">
        <f t="shared" si="16"/>
        <v>42826</v>
      </c>
      <c r="N52" s="2829">
        <f t="shared" si="16"/>
        <v>42795</v>
      </c>
      <c r="O52" s="2829">
        <f t="shared" si="16"/>
        <v>42767</v>
      </c>
      <c r="P52" s="2160"/>
      <c r="Q52" s="2161"/>
      <c r="R52" s="2161"/>
      <c r="S52" s="2161"/>
      <c r="T52" s="2161"/>
      <c r="U52" s="2161"/>
      <c r="V52" s="2161"/>
      <c r="W52" s="2161"/>
      <c r="X52" s="2161"/>
      <c r="Y52" s="2161"/>
      <c r="Z52" s="2161"/>
      <c r="AA52" s="2161"/>
      <c r="AB52" s="2161"/>
      <c r="AC52" s="2161"/>
    </row>
    <row r="53" spans="1:29" s="1218"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8"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8"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2560</v>
      </c>
      <c r="C76" s="2622" t="s">
        <v>2561</v>
      </c>
      <c r="D76" s="2622" t="s">
        <v>2562</v>
      </c>
      <c r="E76" s="2622" t="s">
        <v>2563</v>
      </c>
      <c r="F76" s="2622" t="s">
        <v>2564</v>
      </c>
      <c r="G76" s="2622" t="s">
        <v>2565</v>
      </c>
      <c r="H76" s="933"/>
      <c r="I76" s="933"/>
      <c r="J76" s="933"/>
      <c r="K76" s="933"/>
      <c r="L76" s="933"/>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5"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75">
      <c r="A4" s="1791" t="str">
        <f>"受贵公司委托，我公司对"&amp;项目基本情况!K2&amp;项目基本情况!B9&amp;"进行了预评估。"</f>
        <v>受贵公司委托，我公司对广东省惠州市博罗县龙溪镇宫庭村南水园（土名）441322021003GB00392W00000000、441322021003GB00393W00000000、441322021003GB01260W00000000号共计三宗住宅、商业、地下车库用地出让国有建设用地使用权抵押价格进行了预评估。</v>
      </c>
    </row>
    <row r="5" spans="1:4" ht="18.75">
      <c r="A5" s="1794" t="s">
        <v>1906</v>
      </c>
    </row>
    <row r="6" spans="1:4" ht="13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惠州市红升房地产开发有限公司使用的、位于广东省惠州市博罗县龙溪镇宫庭村南水园（土名）441322021003GB00392W00000000、441322021003GB00393W00000000、441322021003GB01260W00000000号共计三宗住宅、商业、地下车库用地出让国有建设用地使用权。根据《国有土地使用证》[粤（2016）博罗县不动产权第0000002、0000003、0000005号]，估价对象（分摊）出让国有建设用地使用权面积为74806平方米。根据《项目总指标》，估价对象规划建筑面积为358341平方米。</v>
      </c>
    </row>
    <row r="7" spans="1:4" ht="56.25">
      <c r="A7" s="1795" t="s">
        <v>2749</v>
      </c>
    </row>
    <row r="8" spans="1:4" ht="18.75">
      <c r="A8" s="1794" t="s">
        <v>1907</v>
      </c>
    </row>
    <row r="9" spans="1:4" ht="75">
      <c r="A9" s="179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2018年2月7日（评估专业人员勘察现场之日）</v>
      </c>
    </row>
    <row r="12" spans="1:4" ht="18.75">
      <c r="A12" s="1797" t="s">
        <v>2026</v>
      </c>
    </row>
    <row r="13" spans="1:4" ht="18.75">
      <c r="A13" s="1791" t="s">
        <v>2939</v>
      </c>
    </row>
    <row r="14" spans="1:4" ht="37.5">
      <c r="A14" s="1791" t="str">
        <f>"根据"&amp;项目基本情况!F12&amp;"，本次评估估价对象证载（地类）用途为"&amp;项目基本情况!B12&amp;"。"</f>
        <v>根据《国有土地使用证》[粤（2016）博罗县不动产权第0000002、0000003、0000005号]，本次评估估价对象证载（地类）用途为城镇住宅用地。</v>
      </c>
      <c r="C14" s="1781"/>
      <c r="D14" s="1782"/>
    </row>
    <row r="15" spans="1:4" ht="56.2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根据《项目总指标》，估价对象土地规划用途为住宅、商业、地下车库，上述用途符合《国有土地使用证》证载地类范围。本次评估设定用途为住宅、商业、地下车库。</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根据《国有土地使用证》[粤（2016）博罗县不动产权第0000002、0000003、0000005号]，估价对象（分摊）出让国有建设用地使用权面积为74806平方米。根据《项目总指标》，估价对象规划建筑面积为358341平方米。</v>
      </c>
    </row>
    <row r="21" spans="1:1" ht="18.75">
      <c r="A21" s="1791" t="s">
        <v>2075</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粤（2016）博罗县不动产权第0000002、0000003、0000005号]、《项目总指标》，土地终止日期为住宅2081年12月31日、商业2051年12月31日车库2061年12月31日。截至估价期日，出让国有建设用地使用权剩余土地使用年限为住宅63.9年、商业33.9年、地下车库43.9年。</v>
      </c>
    </row>
    <row r="23" spans="1:1" ht="37.5">
      <c r="A23" s="1791" t="str">
        <f>IF(项目基本情况!B16="出让","本次评估设定估价对象剩余土地使用年限为"&amp;项目基本情况!D20&amp;"。","")</f>
        <v>本次评估设定估价对象剩余土地使用年限为住宅63.9年、商业33.9年、地下车库43.9年。</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住宅63.9年、商业33.9年、地下车库43.9年的出让国有建设用地使用权价格。</v>
      </c>
    </row>
    <row r="26" spans="1:1" ht="56.25">
      <c r="A26" s="1791"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921"/>
      <c r="C1" s="504" t="s">
        <v>793</v>
      </c>
      <c r="D1" s="849"/>
      <c r="E1" s="506"/>
      <c r="F1" s="2832"/>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796</v>
      </c>
      <c r="B3" s="510" t="e">
        <f>IF(B37="元/平方米",C39,ROUND(B2*10000/D3,0))</f>
        <v>#DIV/0!</v>
      </c>
      <c r="C3" s="852" t="s">
        <v>797</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709" t="s">
        <v>799</v>
      </c>
      <c r="D4" s="3710"/>
      <c r="E4" s="3709" t="s">
        <v>800</v>
      </c>
      <c r="F4" s="3710"/>
      <c r="G4" s="3709" t="s">
        <v>801</v>
      </c>
      <c r="H4" s="3710"/>
      <c r="I4" s="3709" t="s">
        <v>802</v>
      </c>
      <c r="J4" s="3710"/>
      <c r="K4" s="514" t="s">
        <v>803</v>
      </c>
      <c r="L4" s="2133"/>
      <c r="M4" s="2134"/>
      <c r="N4" s="2134"/>
      <c r="O4" s="2134"/>
      <c r="P4" s="3711" t="s">
        <v>804</v>
      </c>
      <c r="Q4" s="3712"/>
      <c r="R4" s="3717" t="s">
        <v>800</v>
      </c>
      <c r="S4" s="3718"/>
      <c r="T4" s="3717" t="s">
        <v>801</v>
      </c>
      <c r="U4" s="3718"/>
      <c r="V4" s="3704" t="s">
        <v>802</v>
      </c>
      <c r="W4" s="3704"/>
      <c r="X4" s="1566"/>
      <c r="Y4" s="3717" t="s">
        <v>804</v>
      </c>
      <c r="Z4" s="3718"/>
      <c r="AA4" s="3706" t="s">
        <v>800</v>
      </c>
      <c r="AB4" s="3707" t="s">
        <v>801</v>
      </c>
      <c r="AC4" s="3706" t="s">
        <v>802</v>
      </c>
    </row>
    <row r="5" spans="1:29" ht="15">
      <c r="A5" s="515"/>
      <c r="B5" s="516"/>
      <c r="C5" s="3725" t="s">
        <v>2925</v>
      </c>
      <c r="D5" s="3726"/>
      <c r="E5" s="3725" t="s">
        <v>2926</v>
      </c>
      <c r="F5" s="3726"/>
      <c r="G5" s="3725" t="s">
        <v>2927</v>
      </c>
      <c r="H5" s="3726"/>
      <c r="I5" s="3725" t="s">
        <v>2928</v>
      </c>
      <c r="J5" s="3726"/>
      <c r="K5" s="514"/>
      <c r="L5" s="2133"/>
      <c r="M5" s="2134"/>
      <c r="N5" s="2134"/>
      <c r="O5" s="2134"/>
      <c r="P5" s="3713"/>
      <c r="Q5" s="3714"/>
      <c r="R5" s="3719"/>
      <c r="S5" s="3720"/>
      <c r="T5" s="3719"/>
      <c r="U5" s="3720"/>
      <c r="V5" s="3704"/>
      <c r="W5" s="3704"/>
      <c r="X5" s="1566"/>
      <c r="Y5" s="3719"/>
      <c r="Z5" s="3720"/>
      <c r="AA5" s="3707"/>
      <c r="AB5" s="3707"/>
      <c r="AC5" s="3707"/>
    </row>
    <row r="6" spans="1:29" ht="15.75" thickBot="1">
      <c r="A6" s="517"/>
      <c r="B6" s="518"/>
      <c r="C6" s="3723" t="s">
        <v>2929</v>
      </c>
      <c r="D6" s="3724"/>
      <c r="E6" s="3727" t="s">
        <v>2929</v>
      </c>
      <c r="F6" s="3728"/>
      <c r="G6" s="3723" t="s">
        <v>2929</v>
      </c>
      <c r="H6" s="3724"/>
      <c r="I6" s="3723" t="s">
        <v>2929</v>
      </c>
      <c r="J6" s="3724"/>
      <c r="K6" s="514" t="s">
        <v>529</v>
      </c>
      <c r="L6" s="2133"/>
      <c r="M6" s="2134"/>
      <c r="N6" s="2134"/>
      <c r="O6" s="2134"/>
      <c r="P6" s="3715"/>
      <c r="Q6" s="3716"/>
      <c r="R6" s="3719"/>
      <c r="S6" s="3720"/>
      <c r="T6" s="3721"/>
      <c r="U6" s="3722"/>
      <c r="V6" s="3704"/>
      <c r="W6" s="3704"/>
      <c r="X6" s="1566"/>
      <c r="Y6" s="3721"/>
      <c r="Z6" s="3722"/>
      <c r="AA6" s="3708"/>
      <c r="AB6" s="3708"/>
      <c r="AC6" s="3708"/>
    </row>
    <row r="7" spans="1:29" s="1218" customFormat="1" ht="15.75" thickBot="1">
      <c r="A7" s="2936"/>
      <c r="B7" s="2943" t="s">
        <v>530</v>
      </c>
      <c r="C7" s="519">
        <f>'数据-取费表'!B2</f>
        <v>43138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34" t="s">
        <v>531</v>
      </c>
      <c r="Q7" s="3736"/>
      <c r="R7" s="1567" t="s">
        <v>8</v>
      </c>
      <c r="S7" s="1568">
        <f t="shared" ref="S7:S14" si="0">F7</f>
        <v>0</v>
      </c>
      <c r="T7" s="1567" t="s">
        <v>8</v>
      </c>
      <c r="U7" s="1568">
        <f t="shared" ref="U7:U14" si="1">H7</f>
        <v>0</v>
      </c>
      <c r="V7" s="1567" t="s">
        <v>8</v>
      </c>
      <c r="W7" s="1568">
        <f t="shared" ref="W7:W14" si="2">J7</f>
        <v>0</v>
      </c>
      <c r="X7" s="1569"/>
      <c r="Y7" s="3734" t="s">
        <v>531</v>
      </c>
      <c r="Z7" s="3735"/>
      <c r="AA7" s="1570" t="e">
        <f>D7/F7</f>
        <v>#DIV/0!</v>
      </c>
      <c r="AB7" s="1570" t="e">
        <f>D7/H7</f>
        <v>#DIV/0!</v>
      </c>
      <c r="AC7" s="1570" t="e">
        <f>D7/J7</f>
        <v>#DIV/0!</v>
      </c>
    </row>
    <row r="8" spans="1:29" s="1218" customFormat="1" ht="15.75" thickBot="1">
      <c r="A8" s="2937"/>
      <c r="B8" s="2944"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34" t="s">
        <v>534</v>
      </c>
      <c r="Q8" s="3735"/>
      <c r="R8" s="1567" t="s">
        <v>8</v>
      </c>
      <c r="S8" s="1568">
        <f t="shared" si="0"/>
        <v>0</v>
      </c>
      <c r="T8" s="1567" t="s">
        <v>8</v>
      </c>
      <c r="U8" s="1568">
        <f t="shared" si="1"/>
        <v>0</v>
      </c>
      <c r="V8" s="1567" t="s">
        <v>8</v>
      </c>
      <c r="W8" s="1568">
        <f t="shared" si="2"/>
        <v>0</v>
      </c>
      <c r="X8" s="1569"/>
      <c r="Y8" s="3734" t="s">
        <v>534</v>
      </c>
      <c r="Z8" s="3735"/>
      <c r="AA8" s="1570" t="e">
        <f t="shared" ref="AA8:AA36" si="3">D8/F8</f>
        <v>#DIV/0!</v>
      </c>
      <c r="AB8" s="1570" t="e">
        <f t="shared" ref="AB8:AB36" si="4">D8/H8</f>
        <v>#DIV/0!</v>
      </c>
      <c r="AC8" s="1570" t="e">
        <f t="shared" ref="AC8:AC36" si="5">D8/J8</f>
        <v>#DIV/0!</v>
      </c>
    </row>
    <row r="9" spans="1:29" s="1218" customFormat="1" ht="15">
      <c r="A9" s="2938"/>
      <c r="B9" s="2945"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703" t="s">
        <v>536</v>
      </c>
      <c r="Q9" s="1149" t="str">
        <f t="shared" ref="Q9:Q14" si="6">B9</f>
        <v>用途</v>
      </c>
      <c r="R9" s="1567" t="s">
        <v>8</v>
      </c>
      <c r="S9" s="1568">
        <f t="shared" si="0"/>
        <v>100</v>
      </c>
      <c r="T9" s="1567" t="s">
        <v>8</v>
      </c>
      <c r="U9" s="1568">
        <f t="shared" si="1"/>
        <v>100</v>
      </c>
      <c r="V9" s="1567" t="s">
        <v>8</v>
      </c>
      <c r="W9" s="1568">
        <f t="shared" si="2"/>
        <v>100</v>
      </c>
      <c r="X9" s="1569"/>
      <c r="Y9" s="3649" t="s">
        <v>537</v>
      </c>
      <c r="Z9" s="1148" t="str">
        <f t="shared" ref="Z9:Z14" si="7">Q9</f>
        <v>用途</v>
      </c>
      <c r="AA9" s="1570">
        <f t="shared" si="3"/>
        <v>1</v>
      </c>
      <c r="AB9" s="1570">
        <f t="shared" si="4"/>
        <v>1</v>
      </c>
      <c r="AC9" s="1570">
        <f t="shared" si="5"/>
        <v>1</v>
      </c>
    </row>
    <row r="10" spans="1:29" s="1336" customFormat="1" ht="27">
      <c r="A10" s="2939"/>
      <c r="B10" s="2944"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703"/>
      <c r="Q10" s="1149" t="str">
        <f t="shared" si="6"/>
        <v>土地使用年限（年）</v>
      </c>
      <c r="R10" s="1567" t="s">
        <v>8</v>
      </c>
      <c r="S10" s="1568">
        <f t="shared" si="0"/>
        <v>100</v>
      </c>
      <c r="T10" s="1567" t="s">
        <v>8</v>
      </c>
      <c r="U10" s="1568">
        <f t="shared" si="1"/>
        <v>100</v>
      </c>
      <c r="V10" s="1567" t="s">
        <v>8</v>
      </c>
      <c r="W10" s="1568">
        <f t="shared" si="2"/>
        <v>100</v>
      </c>
      <c r="X10" s="1569"/>
      <c r="Y10" s="3649"/>
      <c r="Z10" s="1148"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703"/>
      <c r="Q11" s="1149">
        <f t="shared" si="6"/>
        <v>111</v>
      </c>
      <c r="R11" s="1567" t="s">
        <v>8</v>
      </c>
      <c r="S11" s="1568">
        <f t="shared" si="0"/>
        <v>100</v>
      </c>
      <c r="T11" s="1567" t="s">
        <v>8</v>
      </c>
      <c r="U11" s="1568">
        <f t="shared" si="1"/>
        <v>100</v>
      </c>
      <c r="V11" s="1567" t="s">
        <v>8</v>
      </c>
      <c r="W11" s="1568">
        <f t="shared" si="2"/>
        <v>100</v>
      </c>
      <c r="X11" s="1569"/>
      <c r="Y11" s="3649"/>
      <c r="Z11" s="1148">
        <f t="shared" si="7"/>
        <v>111</v>
      </c>
      <c r="AA11" s="1570">
        <f t="shared" si="3"/>
        <v>1</v>
      </c>
      <c r="AB11" s="1570">
        <f t="shared" si="4"/>
        <v>1</v>
      </c>
      <c r="AC11" s="1570">
        <f t="shared" si="5"/>
        <v>1</v>
      </c>
    </row>
    <row r="12" spans="1:29" s="1218"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703"/>
      <c r="Q12" s="1149">
        <f t="shared" si="6"/>
        <v>111</v>
      </c>
      <c r="R12" s="1567" t="s">
        <v>8</v>
      </c>
      <c r="S12" s="1568">
        <f t="shared" si="0"/>
        <v>100</v>
      </c>
      <c r="T12" s="1567" t="s">
        <v>8</v>
      </c>
      <c r="U12" s="1568">
        <f t="shared" si="1"/>
        <v>100</v>
      </c>
      <c r="V12" s="1567" t="s">
        <v>8</v>
      </c>
      <c r="W12" s="1568">
        <f t="shared" si="2"/>
        <v>100</v>
      </c>
      <c r="X12" s="1569"/>
      <c r="Y12" s="3649"/>
      <c r="Z12" s="1148">
        <f t="shared" si="7"/>
        <v>111</v>
      </c>
      <c r="AA12" s="1570">
        <f>D12/F12</f>
        <v>1</v>
      </c>
      <c r="AB12" s="1570">
        <f>D12/H12</f>
        <v>1</v>
      </c>
      <c r="AC12" s="1570">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703"/>
      <c r="Q13" s="1149">
        <f t="shared" si="6"/>
        <v>111</v>
      </c>
      <c r="R13" s="1567" t="s">
        <v>8</v>
      </c>
      <c r="S13" s="1568">
        <f t="shared" si="0"/>
        <v>100</v>
      </c>
      <c r="T13" s="1567" t="s">
        <v>8</v>
      </c>
      <c r="U13" s="1568">
        <f t="shared" si="1"/>
        <v>100</v>
      </c>
      <c r="V13" s="1567" t="s">
        <v>8</v>
      </c>
      <c r="W13" s="1568">
        <f t="shared" si="2"/>
        <v>100</v>
      </c>
      <c r="X13" s="1569"/>
      <c r="Y13" s="3649"/>
      <c r="Z13" s="1148">
        <f t="shared" si="7"/>
        <v>111</v>
      </c>
      <c r="AA13" s="1570">
        <f t="shared" si="3"/>
        <v>1</v>
      </c>
      <c r="AB13" s="1570">
        <f t="shared" si="4"/>
        <v>1</v>
      </c>
      <c r="AC13" s="1570">
        <f t="shared" si="5"/>
        <v>1</v>
      </c>
    </row>
    <row r="14" spans="1:29" ht="99.75">
      <c r="A14" s="2934" t="s">
        <v>2756</v>
      </c>
      <c r="B14" s="547" t="s">
        <v>544</v>
      </c>
      <c r="C14" s="919" t="str">
        <f>IF(B1="工业",估价对象房地状况!G4,估价对象房地状况!C6)</f>
        <v>估价对象周边路网密集度一般、公共交通通达情况一般、停车便捷程度一般，综合评价交通便捷度一般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737" t="s">
        <v>541</v>
      </c>
      <c r="Q14" s="1571" t="str">
        <f t="shared" si="6"/>
        <v>交通便捷度</v>
      </c>
      <c r="R14" s="1572" t="s">
        <v>8</v>
      </c>
      <c r="S14" s="1573">
        <f t="shared" si="0"/>
        <v>100</v>
      </c>
      <c r="T14" s="1572" t="s">
        <v>8</v>
      </c>
      <c r="U14" s="1573">
        <f t="shared" si="1"/>
        <v>100</v>
      </c>
      <c r="V14" s="1572" t="s">
        <v>8</v>
      </c>
      <c r="W14" s="1573">
        <f t="shared" si="2"/>
        <v>100</v>
      </c>
      <c r="X14" s="1566"/>
      <c r="Y14" s="3737" t="s">
        <v>541</v>
      </c>
      <c r="Z14" s="1574" t="str">
        <f t="shared" si="7"/>
        <v>交通便捷度</v>
      </c>
      <c r="AA14" s="1575">
        <f t="shared" si="3"/>
        <v>1</v>
      </c>
      <c r="AB14" s="1575">
        <f t="shared" si="4"/>
        <v>1</v>
      </c>
      <c r="AC14" s="1575">
        <f t="shared" si="5"/>
        <v>1</v>
      </c>
    </row>
    <row r="15" spans="1:29" ht="15">
      <c r="A15" s="515"/>
      <c r="B15" s="922"/>
      <c r="C15" s="576"/>
      <c r="D15" s="555"/>
      <c r="E15" s="576"/>
      <c r="F15" s="557"/>
      <c r="G15" s="576"/>
      <c r="H15" s="559"/>
      <c r="I15" s="576"/>
      <c r="J15" s="555"/>
      <c r="K15" s="898"/>
      <c r="L15" s="2142"/>
      <c r="M15" s="2134"/>
      <c r="N15" s="2134"/>
      <c r="O15" s="2141"/>
      <c r="P15" s="3738"/>
      <c r="Q15" s="1571"/>
      <c r="R15" s="1572"/>
      <c r="S15" s="1573"/>
      <c r="T15" s="1572"/>
      <c r="U15" s="1573"/>
      <c r="V15" s="1572"/>
      <c r="W15" s="1573"/>
      <c r="X15" s="1566"/>
      <c r="Y15" s="3738"/>
      <c r="Z15" s="1574"/>
      <c r="AA15" s="1575">
        <v>1</v>
      </c>
      <c r="AB15" s="1575">
        <v>1</v>
      </c>
      <c r="AC15" s="1575">
        <v>1</v>
      </c>
    </row>
    <row r="16" spans="1:29" ht="71.25">
      <c r="A16" s="515"/>
      <c r="B16" s="2627" t="s">
        <v>2548</v>
      </c>
      <c r="C16" s="872" t="str">
        <f>IF(B1="工业",估价对象房地状况!G5,估价对象房地状况!C7)</f>
        <v>估价对象所在区域公共配套设施齐备情况一般，有雅庭小学、龙溪二中</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738"/>
      <c r="Q16" s="1571" t="str">
        <f>B16</f>
        <v>公共配套设施</v>
      </c>
      <c r="R16" s="1572" t="s">
        <v>8</v>
      </c>
      <c r="S16" s="1573">
        <f>F16</f>
        <v>100</v>
      </c>
      <c r="T16" s="1572" t="s">
        <v>8</v>
      </c>
      <c r="U16" s="1573">
        <f>H16</f>
        <v>100</v>
      </c>
      <c r="V16" s="1572" t="s">
        <v>8</v>
      </c>
      <c r="W16" s="1573">
        <f>J16</f>
        <v>100</v>
      </c>
      <c r="X16" s="1566"/>
      <c r="Y16" s="3738"/>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2"/>
      <c r="M17" s="2134"/>
      <c r="N17" s="2134"/>
      <c r="O17" s="2141"/>
      <c r="P17" s="3738"/>
      <c r="Q17" s="1571"/>
      <c r="R17" s="1572"/>
      <c r="S17" s="1573"/>
      <c r="T17" s="1572"/>
      <c r="U17" s="1573"/>
      <c r="V17" s="1572"/>
      <c r="W17" s="1573"/>
      <c r="X17" s="1566"/>
      <c r="Y17" s="3738"/>
      <c r="Z17" s="1574"/>
      <c r="AA17" s="1575">
        <v>1</v>
      </c>
      <c r="AB17" s="1575">
        <v>1</v>
      </c>
      <c r="AC17" s="1575">
        <v>1</v>
      </c>
    </row>
    <row r="18" spans="1:29" ht="42.75">
      <c r="A18" s="515"/>
      <c r="B18" s="2615" t="s">
        <v>2560</v>
      </c>
      <c r="C18" s="872" t="str">
        <f>IF(B1="工业",估价对象房地状况!G6,估价对象房地状况!C8)</f>
        <v>估价对象所在区域基础设施水平达到六通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738"/>
      <c r="Q18" s="2603" t="str">
        <f>B18</f>
        <v>基础设施水平</v>
      </c>
      <c r="R18" s="1572" t="s">
        <v>8</v>
      </c>
      <c r="S18" s="1573">
        <f>F18</f>
        <v>100</v>
      </c>
      <c r="T18" s="1572" t="s">
        <v>8</v>
      </c>
      <c r="U18" s="1573">
        <f>H18</f>
        <v>100</v>
      </c>
      <c r="V18" s="1572" t="s">
        <v>8</v>
      </c>
      <c r="W18" s="1573">
        <f>J18</f>
        <v>100</v>
      </c>
      <c r="X18" s="2605"/>
      <c r="Y18" s="3738"/>
      <c r="Z18" s="2604"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26"/>
      <c r="L19" s="2142"/>
      <c r="M19" s="2134"/>
      <c r="N19" s="2134"/>
      <c r="O19" s="2141"/>
      <c r="P19" s="3738"/>
      <c r="Q19" s="2603"/>
      <c r="R19" s="1572"/>
      <c r="S19" s="1573"/>
      <c r="T19" s="1572"/>
      <c r="U19" s="1573"/>
      <c r="V19" s="1572"/>
      <c r="W19" s="1573"/>
      <c r="X19" s="2605"/>
      <c r="Y19" s="3738"/>
      <c r="Z19" s="2604"/>
      <c r="AA19" s="1575">
        <v>1</v>
      </c>
      <c r="AB19" s="1575">
        <v>1</v>
      </c>
      <c r="AC19" s="1575">
        <v>1</v>
      </c>
    </row>
    <row r="20" spans="1:29" ht="99.75">
      <c r="A20" s="515"/>
      <c r="B20" s="560" t="s">
        <v>805</v>
      </c>
      <c r="C20" s="872" t="str">
        <f>IF(B1="工业",估价对象房地状况!G7,估价对象房地状况!C9)</f>
        <v>区域自然环境：周边绿化条件较好，有水系；人文环境：缺乏图书馆、剧院等设施；综合评价环境状况较差</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738"/>
      <c r="Q20" s="1571" t="str">
        <f>B20</f>
        <v>自然及人文环境</v>
      </c>
      <c r="R20" s="1572" t="s">
        <v>8</v>
      </c>
      <c r="S20" s="1573">
        <f>F20</f>
        <v>100</v>
      </c>
      <c r="T20" s="1572" t="s">
        <v>8</v>
      </c>
      <c r="U20" s="1573">
        <f>H20</f>
        <v>100</v>
      </c>
      <c r="V20" s="1572" t="s">
        <v>8</v>
      </c>
      <c r="W20" s="1573">
        <f>J20</f>
        <v>100</v>
      </c>
      <c r="X20" s="1566"/>
      <c r="Y20" s="3738"/>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2"/>
      <c r="M21" s="2134"/>
      <c r="N21" s="2134"/>
      <c r="O21" s="2141"/>
      <c r="P21" s="3738"/>
      <c r="Q21" s="1571"/>
      <c r="R21" s="1572"/>
      <c r="S21" s="1573"/>
      <c r="T21" s="1572"/>
      <c r="U21" s="1573"/>
      <c r="V21" s="1572"/>
      <c r="W21" s="1573"/>
      <c r="X21" s="1566"/>
      <c r="Y21" s="3738"/>
      <c r="Z21" s="1574"/>
      <c r="AA21" s="1575">
        <v>1</v>
      </c>
      <c r="AB21" s="1575">
        <v>1</v>
      </c>
      <c r="AC21" s="1575">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738"/>
      <c r="Q22" s="1571" t="str">
        <f>B22</f>
        <v>楼层</v>
      </c>
      <c r="R22" s="1572" t="s">
        <v>8</v>
      </c>
      <c r="S22" s="1573">
        <f>F22</f>
        <v>100</v>
      </c>
      <c r="T22" s="1572" t="s">
        <v>8</v>
      </c>
      <c r="U22" s="1573">
        <f>H22</f>
        <v>100</v>
      </c>
      <c r="V22" s="1572" t="s">
        <v>8</v>
      </c>
      <c r="W22" s="1573">
        <f>J22</f>
        <v>100</v>
      </c>
      <c r="X22" s="1566"/>
      <c r="Y22" s="3738"/>
      <c r="Z22" s="1574" t="str">
        <f>Q22</f>
        <v>楼层</v>
      </c>
      <c r="AA22" s="1575">
        <f t="shared" si="3"/>
        <v>1</v>
      </c>
      <c r="AB22" s="1575">
        <f t="shared" si="4"/>
        <v>1</v>
      </c>
      <c r="AC22" s="1575">
        <f t="shared" si="5"/>
        <v>1</v>
      </c>
    </row>
    <row r="23" spans="1:29" ht="15">
      <c r="A23" s="515"/>
      <c r="B23" s="923">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738"/>
      <c r="Q23" s="1571">
        <f>B23</f>
        <v>111</v>
      </c>
      <c r="R23" s="1572" t="s">
        <v>8</v>
      </c>
      <c r="S23" s="1573">
        <f>F23</f>
        <v>100</v>
      </c>
      <c r="T23" s="1572" t="s">
        <v>8</v>
      </c>
      <c r="U23" s="1573">
        <f>H23</f>
        <v>100</v>
      </c>
      <c r="V23" s="1572" t="s">
        <v>8</v>
      </c>
      <c r="W23" s="1573">
        <f>J23</f>
        <v>100</v>
      </c>
      <c r="X23" s="1566"/>
      <c r="Y23" s="3738"/>
      <c r="Z23" s="1574">
        <f>Q23</f>
        <v>111</v>
      </c>
      <c r="AA23" s="1575">
        <f t="shared" si="3"/>
        <v>1</v>
      </c>
      <c r="AB23" s="1575">
        <f t="shared" si="4"/>
        <v>1</v>
      </c>
      <c r="AC23" s="1575">
        <f t="shared" si="5"/>
        <v>1</v>
      </c>
    </row>
    <row r="24" spans="1:29" ht="15">
      <c r="A24" s="515"/>
      <c r="B24" s="923">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738"/>
      <c r="Q24" s="1571">
        <f t="shared" ref="Q24:Q36" si="11">B24</f>
        <v>111</v>
      </c>
      <c r="R24" s="1572" t="s">
        <v>8</v>
      </c>
      <c r="S24" s="1573">
        <f>F24</f>
        <v>100</v>
      </c>
      <c r="T24" s="1572" t="s">
        <v>8</v>
      </c>
      <c r="U24" s="1573">
        <f>H24</f>
        <v>100</v>
      </c>
      <c r="V24" s="1572" t="s">
        <v>8</v>
      </c>
      <c r="W24" s="1573">
        <f>J24</f>
        <v>100</v>
      </c>
      <c r="X24" s="1566"/>
      <c r="Y24" s="3738"/>
      <c r="Z24" s="1574">
        <f>Q24</f>
        <v>111</v>
      </c>
      <c r="AA24" s="1575">
        <f t="shared" si="3"/>
        <v>1</v>
      </c>
      <c r="AB24" s="1575">
        <f t="shared" si="4"/>
        <v>1</v>
      </c>
      <c r="AC24" s="1575">
        <f t="shared" si="5"/>
        <v>1</v>
      </c>
    </row>
    <row r="25" spans="1:29" s="1218" customFormat="1" ht="15.75" thickBot="1">
      <c r="A25" s="577"/>
      <c r="B25" s="912">
        <v>111</v>
      </c>
      <c r="C25" s="545"/>
      <c r="D25" s="924">
        <v>100</v>
      </c>
      <c r="E25" s="909"/>
      <c r="F25" s="925">
        <f>SUMIF(77:77,E25,78:78)-SUMIF(77:77,C25,78:78)+100</f>
        <v>100</v>
      </c>
      <c r="G25" s="909"/>
      <c r="H25" s="924">
        <f>SUMIF(77:77,G25,78:78)-SUMIF(77:77,C25,78:78)+100</f>
        <v>100</v>
      </c>
      <c r="I25" s="909"/>
      <c r="J25" s="924">
        <f>SUMIF(77:77,I25,78:78)-SUMIF(77:77,C25,78:78)+100</f>
        <v>100</v>
      </c>
      <c r="K25" s="581"/>
      <c r="L25" s="2135"/>
      <c r="M25" s="2136"/>
      <c r="N25" s="2136"/>
      <c r="O25" s="2137"/>
      <c r="P25" s="3738"/>
      <c r="Q25" s="1149">
        <f t="shared" si="11"/>
        <v>111</v>
      </c>
      <c r="R25" s="1567" t="s">
        <v>8</v>
      </c>
      <c r="S25" s="1568">
        <f>F25</f>
        <v>100</v>
      </c>
      <c r="T25" s="1567" t="s">
        <v>8</v>
      </c>
      <c r="U25" s="1568">
        <f>H25</f>
        <v>100</v>
      </c>
      <c r="V25" s="1567" t="s">
        <v>8</v>
      </c>
      <c r="W25" s="1568">
        <f>J25</f>
        <v>100</v>
      </c>
      <c r="X25" s="1569"/>
      <c r="Y25" s="3738"/>
      <c r="Z25" s="1148">
        <f>Q25</f>
        <v>111</v>
      </c>
      <c r="AA25" s="1575">
        <f>D25/F25</f>
        <v>1</v>
      </c>
      <c r="AB25" s="1575">
        <f>D25/H25</f>
        <v>1</v>
      </c>
      <c r="AC25" s="1575">
        <f>D25/J25</f>
        <v>1</v>
      </c>
    </row>
    <row r="26" spans="1:29" ht="15">
      <c r="A26" s="2932" t="s">
        <v>2757</v>
      </c>
      <c r="B26" s="170" t="s">
        <v>807</v>
      </c>
      <c r="C26" s="926">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739"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740" t="s">
        <v>551</v>
      </c>
      <c r="Z26" s="1574" t="str">
        <f t="shared" ref="Z26:Z36" si="15">Q26</f>
        <v>配套类型</v>
      </c>
      <c r="AA26" s="1575">
        <f t="shared" si="3"/>
        <v>1</v>
      </c>
      <c r="AB26" s="1575">
        <f t="shared" si="4"/>
        <v>1</v>
      </c>
      <c r="AC26" s="1575">
        <f t="shared" si="5"/>
        <v>1</v>
      </c>
    </row>
    <row r="27" spans="1:29" s="1337" customFormat="1" ht="15">
      <c r="A27" s="927"/>
      <c r="B27" s="582" t="s">
        <v>808</v>
      </c>
      <c r="C27" s="928"/>
      <c r="D27" s="255">
        <v>100</v>
      </c>
      <c r="E27" s="928"/>
      <c r="F27" s="575">
        <f>SUMIF(81:81,E27,82:82)-SUMIF(81:81,C27,82:82)+100</f>
        <v>100</v>
      </c>
      <c r="G27" s="928"/>
      <c r="H27" s="540">
        <f>SUMIF(81:81,G27,82:82)-SUMIF(81:81,C27,82:82)+100</f>
        <v>100</v>
      </c>
      <c r="I27" s="928"/>
      <c r="J27" s="540">
        <f>SUMIF(81:81,I27,82:82)-SUMIF(81:81,C27,82:82)+100</f>
        <v>100</v>
      </c>
      <c r="K27" s="581"/>
      <c r="L27" s="2140"/>
      <c r="M27" s="2171"/>
      <c r="N27" s="2171"/>
      <c r="O27" s="2143"/>
      <c r="P27" s="3740"/>
      <c r="Q27" s="1604" t="str">
        <f t="shared" si="11"/>
        <v>项目停车位配比</v>
      </c>
      <c r="R27" s="1576" t="s">
        <v>8</v>
      </c>
      <c r="S27" s="1577">
        <f t="shared" si="12"/>
        <v>100</v>
      </c>
      <c r="T27" s="1576" t="s">
        <v>8</v>
      </c>
      <c r="U27" s="1577">
        <f t="shared" si="13"/>
        <v>100</v>
      </c>
      <c r="V27" s="1576" t="s">
        <v>8</v>
      </c>
      <c r="W27" s="1577">
        <f t="shared" si="14"/>
        <v>100</v>
      </c>
      <c r="X27" s="1578"/>
      <c r="Y27" s="3740"/>
      <c r="Z27" s="1579" t="str">
        <f t="shared" si="15"/>
        <v>项目停车位配比</v>
      </c>
      <c r="AA27" s="1575">
        <f t="shared" si="3"/>
        <v>1</v>
      </c>
      <c r="AB27" s="1575">
        <f t="shared" si="4"/>
        <v>1</v>
      </c>
      <c r="AC27" s="1575">
        <f t="shared" si="5"/>
        <v>1</v>
      </c>
    </row>
    <row r="28" spans="1:29" ht="15">
      <c r="A28" s="929"/>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740"/>
      <c r="Q28" s="1571" t="str">
        <f t="shared" si="11"/>
        <v>公共部分装修</v>
      </c>
      <c r="R28" s="1572" t="s">
        <v>8</v>
      </c>
      <c r="S28" s="1573">
        <f t="shared" si="12"/>
        <v>100</v>
      </c>
      <c r="T28" s="1572" t="s">
        <v>8</v>
      </c>
      <c r="U28" s="1573">
        <f t="shared" si="13"/>
        <v>100</v>
      </c>
      <c r="V28" s="1572" t="s">
        <v>8</v>
      </c>
      <c r="W28" s="1573">
        <f t="shared" si="14"/>
        <v>100</v>
      </c>
      <c r="X28" s="1566"/>
      <c r="Y28" s="3740"/>
      <c r="Z28" s="1574" t="str">
        <f t="shared" si="15"/>
        <v>公共部分装修</v>
      </c>
      <c r="AA28" s="1575">
        <f t="shared" si="3"/>
        <v>1</v>
      </c>
      <c r="AB28" s="1575">
        <f t="shared" si="4"/>
        <v>1</v>
      </c>
      <c r="AC28" s="1575">
        <f t="shared" si="5"/>
        <v>1</v>
      </c>
    </row>
    <row r="29" spans="1:29" ht="15">
      <c r="A29" s="929"/>
      <c r="B29" s="582" t="s">
        <v>810</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740"/>
      <c r="Q29" s="1571" t="str">
        <f t="shared" si="11"/>
        <v>成新率</v>
      </c>
      <c r="R29" s="1572" t="s">
        <v>8</v>
      </c>
      <c r="S29" s="1573" t="e">
        <f t="shared" si="12"/>
        <v>#N/A</v>
      </c>
      <c r="T29" s="1572" t="s">
        <v>8</v>
      </c>
      <c r="U29" s="1573" t="e">
        <f t="shared" si="13"/>
        <v>#N/A</v>
      </c>
      <c r="V29" s="1572" t="s">
        <v>8</v>
      </c>
      <c r="W29" s="1573" t="e">
        <f t="shared" si="14"/>
        <v>#N/A</v>
      </c>
      <c r="X29" s="1566"/>
      <c r="Y29" s="3740"/>
      <c r="Z29" s="1574" t="str">
        <f t="shared" si="15"/>
        <v>成新率</v>
      </c>
      <c r="AA29" s="1575" t="e">
        <f t="shared" si="3"/>
        <v>#N/A</v>
      </c>
      <c r="AB29" s="1575" t="e">
        <f t="shared" si="4"/>
        <v>#N/A</v>
      </c>
      <c r="AC29" s="1575" t="e">
        <f t="shared" si="5"/>
        <v>#N/A</v>
      </c>
    </row>
    <row r="30" spans="1:29" ht="15">
      <c r="A30" s="929"/>
      <c r="B30" s="582" t="s">
        <v>811</v>
      </c>
      <c r="C30" s="930"/>
      <c r="D30" s="540">
        <v>100</v>
      </c>
      <c r="E30" s="930"/>
      <c r="F30" s="575">
        <f>SUMIF(88:88,E30,89:89)-SUMIF(88:88,C30,89:89)+100</f>
        <v>100</v>
      </c>
      <c r="G30" s="930"/>
      <c r="H30" s="540">
        <f>SUMIF(88:88,E30,89:89)-SUMIF(88:88,C30,89:89)+100</f>
        <v>100</v>
      </c>
      <c r="I30" s="930"/>
      <c r="J30" s="540">
        <f>SUMIF(88:88,E30,89:89)-SUMIF(88:88,C30,89:89)+100</f>
        <v>100</v>
      </c>
      <c r="K30" s="584"/>
      <c r="L30" s="2142"/>
      <c r="M30" s="2134"/>
      <c r="N30" s="2134"/>
      <c r="O30" s="2141"/>
      <c r="P30" s="3740"/>
      <c r="Q30" s="1571" t="str">
        <f t="shared" si="11"/>
        <v>物业等级</v>
      </c>
      <c r="R30" s="1572" t="s">
        <v>8</v>
      </c>
      <c r="S30" s="1573">
        <f t="shared" si="12"/>
        <v>100</v>
      </c>
      <c r="T30" s="1572" t="s">
        <v>8</v>
      </c>
      <c r="U30" s="1573">
        <f t="shared" si="13"/>
        <v>100</v>
      </c>
      <c r="V30" s="1572" t="s">
        <v>8</v>
      </c>
      <c r="W30" s="1573">
        <f t="shared" si="14"/>
        <v>100</v>
      </c>
      <c r="X30" s="1566"/>
      <c r="Y30" s="3740"/>
      <c r="Z30" s="1574" t="str">
        <f t="shared" si="15"/>
        <v>物业等级</v>
      </c>
      <c r="AA30" s="1575">
        <f t="shared" si="3"/>
        <v>1</v>
      </c>
      <c r="AB30" s="1575">
        <f t="shared" si="4"/>
        <v>1</v>
      </c>
      <c r="AC30" s="1575">
        <f t="shared" si="5"/>
        <v>1</v>
      </c>
    </row>
    <row r="31" spans="1:29" s="1218" customFormat="1" ht="15">
      <c r="A31" s="931"/>
      <c r="B31" s="582" t="s">
        <v>812</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740"/>
      <c r="Q31" s="1149" t="str">
        <f t="shared" si="11"/>
        <v>停车位面积</v>
      </c>
      <c r="R31" s="1567" t="s">
        <v>8</v>
      </c>
      <c r="S31" s="1568" t="e">
        <f t="shared" si="12"/>
        <v>#N/A</v>
      </c>
      <c r="T31" s="1567" t="s">
        <v>8</v>
      </c>
      <c r="U31" s="1568" t="e">
        <f t="shared" si="13"/>
        <v>#N/A</v>
      </c>
      <c r="V31" s="1567" t="s">
        <v>8</v>
      </c>
      <c r="W31" s="1568" t="e">
        <f t="shared" si="14"/>
        <v>#N/A</v>
      </c>
      <c r="X31" s="1569"/>
      <c r="Y31" s="3740"/>
      <c r="Z31" s="1148" t="str">
        <f t="shared" si="15"/>
        <v>停车位面积</v>
      </c>
      <c r="AA31" s="1570" t="e">
        <f t="shared" si="3"/>
        <v>#N/A</v>
      </c>
      <c r="AB31" s="1570" t="e">
        <f t="shared" si="4"/>
        <v>#N/A</v>
      </c>
      <c r="AC31" s="1570" t="e">
        <f t="shared" si="5"/>
        <v>#N/A</v>
      </c>
    </row>
    <row r="32" spans="1:29" ht="15">
      <c r="A32" s="929"/>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740" t="s">
        <v>551</v>
      </c>
      <c r="Q32" s="1571" t="str">
        <f t="shared" si="11"/>
        <v>车位类型</v>
      </c>
      <c r="R32" s="1572" t="s">
        <v>8</v>
      </c>
      <c r="S32" s="1573">
        <f t="shared" si="12"/>
        <v>100</v>
      </c>
      <c r="T32" s="1572" t="s">
        <v>8</v>
      </c>
      <c r="U32" s="1573">
        <f t="shared" si="13"/>
        <v>100</v>
      </c>
      <c r="V32" s="1572" t="s">
        <v>8</v>
      </c>
      <c r="W32" s="1573">
        <f t="shared" si="14"/>
        <v>100</v>
      </c>
      <c r="X32" s="1566"/>
      <c r="Y32" s="3740" t="s">
        <v>551</v>
      </c>
      <c r="Z32" s="1574" t="str">
        <f t="shared" si="15"/>
        <v>车位类型</v>
      </c>
      <c r="AA32" s="1575">
        <f t="shared" si="3"/>
        <v>1</v>
      </c>
      <c r="AB32" s="1575">
        <f t="shared" si="4"/>
        <v>1</v>
      </c>
      <c r="AC32" s="1575">
        <f t="shared" si="5"/>
        <v>1</v>
      </c>
    </row>
    <row r="33" spans="1:29" ht="15">
      <c r="A33" s="929"/>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740"/>
      <c r="Q33" s="1571" t="str">
        <f t="shared" si="11"/>
        <v>是否直接入户</v>
      </c>
      <c r="R33" s="1572" t="s">
        <v>8</v>
      </c>
      <c r="S33" s="1573">
        <f t="shared" si="12"/>
        <v>100</v>
      </c>
      <c r="T33" s="1572" t="s">
        <v>8</v>
      </c>
      <c r="U33" s="1573">
        <f t="shared" si="13"/>
        <v>100</v>
      </c>
      <c r="V33" s="1572" t="s">
        <v>8</v>
      </c>
      <c r="W33" s="1573">
        <f t="shared" si="14"/>
        <v>100</v>
      </c>
      <c r="X33" s="1566"/>
      <c r="Y33" s="3740"/>
      <c r="Z33" s="1574" t="str">
        <f t="shared" si="15"/>
        <v>是否直接入户</v>
      </c>
      <c r="AA33" s="1575">
        <f t="shared" si="3"/>
        <v>1</v>
      </c>
      <c r="AB33" s="1575">
        <f t="shared" si="4"/>
        <v>1</v>
      </c>
      <c r="AC33" s="1575">
        <f t="shared" si="5"/>
        <v>1</v>
      </c>
    </row>
    <row r="34" spans="1:29" ht="15">
      <c r="A34" s="929"/>
      <c r="B34" s="923">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740"/>
      <c r="Q34" s="1571">
        <f t="shared" si="11"/>
        <v>111</v>
      </c>
      <c r="R34" s="1572" t="s">
        <v>8</v>
      </c>
      <c r="S34" s="1573">
        <f t="shared" si="12"/>
        <v>100</v>
      </c>
      <c r="T34" s="1572" t="s">
        <v>8</v>
      </c>
      <c r="U34" s="1573">
        <f t="shared" si="13"/>
        <v>100</v>
      </c>
      <c r="V34" s="1572" t="s">
        <v>8</v>
      </c>
      <c r="W34" s="1573">
        <f t="shared" si="14"/>
        <v>100</v>
      </c>
      <c r="X34" s="1566"/>
      <c r="Y34" s="3740"/>
      <c r="Z34" s="1574">
        <f t="shared" si="15"/>
        <v>111</v>
      </c>
      <c r="AA34" s="1575">
        <f t="shared" si="3"/>
        <v>1</v>
      </c>
      <c r="AB34" s="1575">
        <f t="shared" si="4"/>
        <v>1</v>
      </c>
      <c r="AC34" s="1575">
        <f t="shared" si="5"/>
        <v>1</v>
      </c>
    </row>
    <row r="35" spans="1:29" s="1337" customFormat="1" ht="15">
      <c r="A35" s="927"/>
      <c r="B35" s="923">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740"/>
      <c r="Q35" s="1604">
        <f t="shared" si="11"/>
        <v>111</v>
      </c>
      <c r="R35" s="1576" t="s">
        <v>8</v>
      </c>
      <c r="S35" s="1577">
        <f t="shared" si="12"/>
        <v>100</v>
      </c>
      <c r="T35" s="1576" t="s">
        <v>8</v>
      </c>
      <c r="U35" s="1577">
        <f t="shared" si="13"/>
        <v>100</v>
      </c>
      <c r="V35" s="1576" t="s">
        <v>8</v>
      </c>
      <c r="W35" s="1577">
        <f t="shared" si="14"/>
        <v>100</v>
      </c>
      <c r="X35" s="1578"/>
      <c r="Y35" s="3740"/>
      <c r="Z35" s="1579">
        <f t="shared" si="15"/>
        <v>111</v>
      </c>
      <c r="AA35" s="1575">
        <f t="shared" si="3"/>
        <v>1</v>
      </c>
      <c r="AB35" s="1575">
        <f t="shared" si="4"/>
        <v>1</v>
      </c>
      <c r="AC35" s="1575">
        <f t="shared" si="5"/>
        <v>1</v>
      </c>
    </row>
    <row r="36" spans="1:29" ht="15.75" thickBot="1">
      <c r="A36" s="932"/>
      <c r="B36" s="912">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740"/>
      <c r="Q36" s="1571">
        <f t="shared" si="11"/>
        <v>111</v>
      </c>
      <c r="R36" s="1572" t="s">
        <v>8</v>
      </c>
      <c r="S36" s="1573">
        <f t="shared" si="12"/>
        <v>100</v>
      </c>
      <c r="T36" s="1572" t="s">
        <v>8</v>
      </c>
      <c r="U36" s="1573">
        <f t="shared" si="13"/>
        <v>100</v>
      </c>
      <c r="V36" s="1572" t="s">
        <v>8</v>
      </c>
      <c r="W36" s="1573">
        <f t="shared" si="14"/>
        <v>100</v>
      </c>
      <c r="X36" s="1566"/>
      <c r="Y36" s="3740"/>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703" t="str">
        <f>A37</f>
        <v>成交单价</v>
      </c>
      <c r="Q37" s="3703"/>
      <c r="R37" s="3795">
        <f>E37</f>
        <v>0</v>
      </c>
      <c r="S37" s="3795"/>
      <c r="T37" s="3795">
        <f>G37</f>
        <v>0</v>
      </c>
      <c r="U37" s="3795"/>
      <c r="V37" s="3795">
        <f>I37</f>
        <v>0</v>
      </c>
      <c r="W37" s="3795"/>
      <c r="X37" s="1558"/>
      <c r="Y37" s="1580"/>
      <c r="Z37" s="1558"/>
      <c r="AA37" s="1558"/>
      <c r="AB37" s="1558"/>
      <c r="AC37" s="1558"/>
    </row>
    <row r="38" spans="1:29" ht="15.75" thickBot="1">
      <c r="A38" s="615" t="s">
        <v>2762</v>
      </c>
      <c r="B38" s="887"/>
      <c r="C38" s="2657" t="e">
        <f>R39</f>
        <v>#DIV/0!</v>
      </c>
      <c r="D38" s="2658"/>
      <c r="E38" s="2659" t="e">
        <f>R38</f>
        <v>#DIV/0!</v>
      </c>
      <c r="F38" s="2659"/>
      <c r="G38" s="2657" t="e">
        <f>T38</f>
        <v>#DIV/0!</v>
      </c>
      <c r="H38" s="2658"/>
      <c r="I38" s="2659" t="e">
        <f>V38</f>
        <v>#DIV/0!</v>
      </c>
      <c r="J38" s="2658"/>
      <c r="K38" s="1611"/>
      <c r="L38" s="2144"/>
      <c r="M38" s="2145"/>
      <c r="N38" s="2145"/>
      <c r="O38" s="2145"/>
      <c r="P38" s="3703" t="str">
        <f>A38</f>
        <v>比较价格（元/平方米）</v>
      </c>
      <c r="Q38" s="3703"/>
      <c r="R38" s="3795" t="e">
        <f>IF(F1="售价",ROUND(PRODUCT(R37,AA7:AA36),0),ROUND(PRODUCT(R37,AA7:AA36),1))</f>
        <v>#DIV/0!</v>
      </c>
      <c r="S38" s="3795"/>
      <c r="T38" s="3795" t="e">
        <f>IF(F1="售价",ROUND(PRODUCT(T37,AB7:AB36),0),ROUND(PRODUCT(T37,AB7:AB36),1))</f>
        <v>#DIV/0!</v>
      </c>
      <c r="U38" s="3795"/>
      <c r="V38" s="3795" t="e">
        <f>IF(F1="售价",ROUND(PRODUCT(V37,AC7:AC36),0),ROUND(PRODUCT(V37,AC7:AC36),1))</f>
        <v>#DIV/0!</v>
      </c>
      <c r="W38" s="3795"/>
      <c r="X38" s="1558"/>
      <c r="Y38" s="1558"/>
      <c r="Z38" s="1558"/>
      <c r="AA38" s="1558"/>
      <c r="AB38" s="1558"/>
      <c r="AC38" s="1558"/>
    </row>
    <row r="39" spans="1:29" ht="15.75" thickBot="1">
      <c r="A39" s="621" t="s">
        <v>2931</v>
      </c>
      <c r="B39" s="622"/>
      <c r="C39" s="2660" t="e">
        <f>R39</f>
        <v>#DIV/0!</v>
      </c>
      <c r="D39" s="2660"/>
      <c r="E39" s="2660"/>
      <c r="F39" s="2660"/>
      <c r="G39" s="2660"/>
      <c r="H39" s="2660"/>
      <c r="I39" s="2660"/>
      <c r="J39" s="2660"/>
      <c r="K39" s="1612"/>
      <c r="L39" s="2144"/>
      <c r="M39" s="2145"/>
      <c r="N39" s="2145"/>
      <c r="O39" s="2145"/>
      <c r="P39" s="3700" t="str">
        <f>A39</f>
        <v>估价对象XX用房的比较价格（楼面单价，元/平方米）</v>
      </c>
      <c r="Q39" s="3701"/>
      <c r="R39" s="3794" t="e">
        <f>IF(F1="售价",ROUND(AVERAGE(R38:V38),0),ROUND(AVERAGE(R38:V38),1))</f>
        <v>#DIV/0!</v>
      </c>
      <c r="S39" s="3794"/>
      <c r="T39" s="3794"/>
      <c r="U39" s="3794"/>
      <c r="V39" s="3794"/>
      <c r="W39" s="3794"/>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575</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5" t="s">
        <v>530</v>
      </c>
      <c r="B48" s="646"/>
      <c r="C48" s="2827" t="str">
        <f>YEAR(C7)&amp;"-"&amp;MONTH(C7)</f>
        <v>2018-2</v>
      </c>
      <c r="D48" s="2829">
        <f>EDATE(C48,-1)</f>
        <v>43101</v>
      </c>
      <c r="E48" s="2829">
        <f t="shared" ref="E48:O48" si="16">EDATE(D48,-1)</f>
        <v>43070</v>
      </c>
      <c r="F48" s="2829">
        <f t="shared" si="16"/>
        <v>43040</v>
      </c>
      <c r="G48" s="2829">
        <f t="shared" si="16"/>
        <v>43009</v>
      </c>
      <c r="H48" s="2829">
        <f t="shared" si="16"/>
        <v>42979</v>
      </c>
      <c r="I48" s="2829">
        <f t="shared" si="16"/>
        <v>42948</v>
      </c>
      <c r="J48" s="2829">
        <f t="shared" si="16"/>
        <v>42917</v>
      </c>
      <c r="K48" s="2829">
        <f t="shared" si="16"/>
        <v>42887</v>
      </c>
      <c r="L48" s="2829">
        <f t="shared" si="16"/>
        <v>42856</v>
      </c>
      <c r="M48" s="2829">
        <f t="shared" si="16"/>
        <v>42826</v>
      </c>
      <c r="N48" s="2829">
        <f t="shared" si="16"/>
        <v>42795</v>
      </c>
      <c r="O48" s="2829">
        <f t="shared" si="16"/>
        <v>42767</v>
      </c>
      <c r="P48" s="2160"/>
      <c r="Q48" s="2161"/>
      <c r="R48" s="2161"/>
      <c r="S48" s="2161"/>
      <c r="T48" s="2161"/>
      <c r="U48" s="2161"/>
      <c r="V48" s="2161"/>
      <c r="W48" s="2161"/>
      <c r="X48" s="2161"/>
      <c r="Y48" s="2161"/>
      <c r="Z48" s="2161"/>
      <c r="AA48" s="2161"/>
      <c r="AB48" s="2161"/>
      <c r="AC48" s="2161"/>
    </row>
    <row r="49" spans="1:29" s="1218" customFormat="1" ht="15">
      <c r="A49" s="647"/>
      <c r="B49" s="648"/>
      <c r="C49" s="2828">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8"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8"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3">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2560</v>
      </c>
      <c r="C67" s="2622" t="s">
        <v>2561</v>
      </c>
      <c r="D67" s="2622" t="s">
        <v>2562</v>
      </c>
      <c r="E67" s="2622" t="s">
        <v>2563</v>
      </c>
      <c r="F67" s="2622" t="s">
        <v>2564</v>
      </c>
      <c r="G67" s="2622" t="s">
        <v>2565</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3"/>
      <c r="I68" s="933"/>
      <c r="J68" s="933"/>
      <c r="K68" s="933"/>
      <c r="L68" s="933"/>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5">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7"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719</v>
      </c>
      <c r="B1" s="921"/>
      <c r="C1" s="504" t="s">
        <v>793</v>
      </c>
      <c r="D1" s="849"/>
      <c r="E1" s="506"/>
      <c r="F1" s="2832"/>
      <c r="G1" s="1600" t="s">
        <v>794</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795</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798</v>
      </c>
      <c r="B4" s="513"/>
      <c r="C4" s="3709" t="s">
        <v>799</v>
      </c>
      <c r="D4" s="3710"/>
      <c r="E4" s="3743" t="s">
        <v>800</v>
      </c>
      <c r="F4" s="3744"/>
      <c r="G4" s="3709" t="s">
        <v>801</v>
      </c>
      <c r="H4" s="3710"/>
      <c r="I4" s="3709" t="s">
        <v>802</v>
      </c>
      <c r="J4" s="3710"/>
      <c r="K4" s="514" t="s">
        <v>803</v>
      </c>
      <c r="L4" s="2133"/>
      <c r="M4" s="2134"/>
      <c r="N4" s="2134"/>
      <c r="O4" s="2134"/>
      <c r="P4" s="3711" t="s">
        <v>804</v>
      </c>
      <c r="Q4" s="3712"/>
      <c r="R4" s="3717" t="s">
        <v>800</v>
      </c>
      <c r="S4" s="3718"/>
      <c r="T4" s="3717" t="s">
        <v>801</v>
      </c>
      <c r="U4" s="3718"/>
      <c r="V4" s="3704" t="s">
        <v>802</v>
      </c>
      <c r="W4" s="3704"/>
      <c r="X4" s="1566"/>
      <c r="Y4" s="3717" t="s">
        <v>804</v>
      </c>
      <c r="Z4" s="3718"/>
      <c r="AA4" s="3706" t="s">
        <v>800</v>
      </c>
      <c r="AB4" s="3707" t="s">
        <v>801</v>
      </c>
      <c r="AC4" s="3706" t="s">
        <v>802</v>
      </c>
    </row>
    <row r="5" spans="1:29" ht="15">
      <c r="A5" s="515"/>
      <c r="B5" s="516"/>
      <c r="C5" s="3725" t="s">
        <v>2925</v>
      </c>
      <c r="D5" s="3726"/>
      <c r="E5" s="3745" t="s">
        <v>2926</v>
      </c>
      <c r="F5" s="3746"/>
      <c r="G5" s="3725" t="s">
        <v>2927</v>
      </c>
      <c r="H5" s="3726"/>
      <c r="I5" s="3725" t="s">
        <v>2928</v>
      </c>
      <c r="J5" s="3726"/>
      <c r="K5" s="514"/>
      <c r="L5" s="2133"/>
      <c r="M5" s="2134"/>
      <c r="N5" s="2134"/>
      <c r="O5" s="2134"/>
      <c r="P5" s="3713"/>
      <c r="Q5" s="3714"/>
      <c r="R5" s="3719"/>
      <c r="S5" s="3720"/>
      <c r="T5" s="3719"/>
      <c r="U5" s="3720"/>
      <c r="V5" s="3704"/>
      <c r="W5" s="3704"/>
      <c r="X5" s="1566"/>
      <c r="Y5" s="3719"/>
      <c r="Z5" s="3720"/>
      <c r="AA5" s="3707"/>
      <c r="AB5" s="3707"/>
      <c r="AC5" s="3707"/>
    </row>
    <row r="6" spans="1:29" ht="15.75" thickBot="1">
      <c r="A6" s="517"/>
      <c r="B6" s="518"/>
      <c r="C6" s="3723" t="s">
        <v>2929</v>
      </c>
      <c r="D6" s="3724"/>
      <c r="E6" s="3741" t="s">
        <v>2929</v>
      </c>
      <c r="F6" s="3742"/>
      <c r="G6" s="3723" t="s">
        <v>2929</v>
      </c>
      <c r="H6" s="3724"/>
      <c r="I6" s="3723" t="s">
        <v>2929</v>
      </c>
      <c r="J6" s="3724"/>
      <c r="K6" s="514" t="s">
        <v>529</v>
      </c>
      <c r="L6" s="2133"/>
      <c r="M6" s="2134"/>
      <c r="N6" s="2134"/>
      <c r="O6" s="2134"/>
      <c r="P6" s="3715"/>
      <c r="Q6" s="3716"/>
      <c r="R6" s="3719"/>
      <c r="S6" s="3720"/>
      <c r="T6" s="3721"/>
      <c r="U6" s="3722"/>
      <c r="V6" s="3704"/>
      <c r="W6" s="3704"/>
      <c r="X6" s="1566"/>
      <c r="Y6" s="3721"/>
      <c r="Z6" s="3722"/>
      <c r="AA6" s="3708"/>
      <c r="AB6" s="3708"/>
      <c r="AC6" s="3708"/>
    </row>
    <row r="7" spans="1:29" s="1218" customFormat="1" ht="15.75" thickBot="1">
      <c r="A7" s="2936"/>
      <c r="B7" s="2943" t="s">
        <v>530</v>
      </c>
      <c r="C7" s="519">
        <f>'数据-取费表'!B2</f>
        <v>43138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34" t="s">
        <v>531</v>
      </c>
      <c r="Q7" s="3736"/>
      <c r="R7" s="1567" t="s">
        <v>8</v>
      </c>
      <c r="S7" s="1568">
        <f t="shared" ref="S7:S14" si="0">F7</f>
        <v>0</v>
      </c>
      <c r="T7" s="1567" t="s">
        <v>8</v>
      </c>
      <c r="U7" s="1568">
        <f t="shared" ref="U7:U14" si="1">H7</f>
        <v>0</v>
      </c>
      <c r="V7" s="1567" t="s">
        <v>8</v>
      </c>
      <c r="W7" s="1568">
        <f t="shared" ref="W7:W14" si="2">J7</f>
        <v>0</v>
      </c>
      <c r="X7" s="1569"/>
      <c r="Y7" s="3734" t="s">
        <v>531</v>
      </c>
      <c r="Z7" s="3735"/>
      <c r="AA7" s="1570" t="e">
        <f>D7/F7</f>
        <v>#DIV/0!</v>
      </c>
      <c r="AB7" s="1570" t="e">
        <f>D7/H7</f>
        <v>#DIV/0!</v>
      </c>
      <c r="AC7" s="1570" t="e">
        <f>D7/J7</f>
        <v>#DIV/0!</v>
      </c>
    </row>
    <row r="8" spans="1:29" s="1218" customFormat="1" ht="15.75" thickBot="1">
      <c r="A8" s="2937"/>
      <c r="B8" s="2944"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34" t="s">
        <v>534</v>
      </c>
      <c r="Q8" s="3735"/>
      <c r="R8" s="1567" t="s">
        <v>8</v>
      </c>
      <c r="S8" s="1568">
        <f t="shared" si="0"/>
        <v>0</v>
      </c>
      <c r="T8" s="1567" t="s">
        <v>8</v>
      </c>
      <c r="U8" s="1568">
        <f t="shared" si="1"/>
        <v>0</v>
      </c>
      <c r="V8" s="1567" t="s">
        <v>8</v>
      </c>
      <c r="W8" s="1568">
        <f t="shared" si="2"/>
        <v>0</v>
      </c>
      <c r="X8" s="1569"/>
      <c r="Y8" s="3734" t="s">
        <v>534</v>
      </c>
      <c r="Z8" s="3735"/>
      <c r="AA8" s="1570" t="e">
        <f t="shared" ref="AA8:AA34" si="3">D8/F8</f>
        <v>#DIV/0!</v>
      </c>
      <c r="AB8" s="1570" t="e">
        <f t="shared" ref="AB8:AB34" si="4">D8/H8</f>
        <v>#DIV/0!</v>
      </c>
      <c r="AC8" s="1570" t="e">
        <f t="shared" ref="AC8:AC34" si="5">D8/J8</f>
        <v>#DIV/0!</v>
      </c>
    </row>
    <row r="9" spans="1:29" s="1218" customFormat="1" ht="15">
      <c r="A9" s="2938"/>
      <c r="B9" s="2945"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703" t="s">
        <v>536</v>
      </c>
      <c r="Q9" s="1149" t="str">
        <f t="shared" ref="Q9:Q14" si="6">B9</f>
        <v>用途</v>
      </c>
      <c r="R9" s="1567" t="s">
        <v>8</v>
      </c>
      <c r="S9" s="1568">
        <f t="shared" si="0"/>
        <v>100</v>
      </c>
      <c r="T9" s="1567" t="s">
        <v>8</v>
      </c>
      <c r="U9" s="1568">
        <f t="shared" si="1"/>
        <v>100</v>
      </c>
      <c r="V9" s="1567" t="s">
        <v>8</v>
      </c>
      <c r="W9" s="1568">
        <f t="shared" si="2"/>
        <v>100</v>
      </c>
      <c r="X9" s="1569"/>
      <c r="Y9" s="3649" t="s">
        <v>537</v>
      </c>
      <c r="Z9" s="1148" t="str">
        <f t="shared" ref="Z9:Z14" si="7">Q9</f>
        <v>用途</v>
      </c>
      <c r="AA9" s="1570">
        <f t="shared" si="3"/>
        <v>1</v>
      </c>
      <c r="AB9" s="1570">
        <f t="shared" si="4"/>
        <v>1</v>
      </c>
      <c r="AC9" s="1570">
        <f t="shared" si="5"/>
        <v>1</v>
      </c>
    </row>
    <row r="10" spans="1:29" s="1336" customFormat="1" ht="27">
      <c r="A10" s="2939"/>
      <c r="B10" s="2944"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703"/>
      <c r="Q10" s="1149" t="str">
        <f t="shared" si="6"/>
        <v>土地使用年限（年）</v>
      </c>
      <c r="R10" s="1567" t="s">
        <v>8</v>
      </c>
      <c r="S10" s="1568">
        <f t="shared" si="0"/>
        <v>100</v>
      </c>
      <c r="T10" s="1567" t="s">
        <v>8</v>
      </c>
      <c r="U10" s="1568">
        <f t="shared" si="1"/>
        <v>100</v>
      </c>
      <c r="V10" s="1567" t="s">
        <v>8</v>
      </c>
      <c r="W10" s="1568">
        <f t="shared" si="2"/>
        <v>100</v>
      </c>
      <c r="X10" s="1569"/>
      <c r="Y10" s="3649"/>
      <c r="Z10" s="1148" t="str">
        <f t="shared" si="7"/>
        <v>土地使用年限（年）</v>
      </c>
      <c r="AA10" s="1570">
        <f t="shared" si="3"/>
        <v>1</v>
      </c>
      <c r="AB10" s="1570">
        <f t="shared" si="4"/>
        <v>1</v>
      </c>
      <c r="AC10" s="1570">
        <f t="shared" si="5"/>
        <v>1</v>
      </c>
    </row>
    <row r="11" spans="1:29" ht="15">
      <c r="A11" s="2941"/>
      <c r="B11" s="2947">
        <v>111</v>
      </c>
      <c r="C11" s="528"/>
      <c r="D11" s="255">
        <v>100</v>
      </c>
      <c r="E11" s="879"/>
      <c r="F11" s="255">
        <f>SUMIF(55:55,E11,56:56)-SUMIF(55:55,C11,56:56)+100</f>
        <v>100</v>
      </c>
      <c r="G11" s="879"/>
      <c r="H11" s="255">
        <f>SUMIF(55:55,G11,56:56)-SUMIF(55:55,C11,56:56)+100</f>
        <v>100</v>
      </c>
      <c r="I11" s="879"/>
      <c r="J11" s="255">
        <f>SUMIF(55:55,I11,56:56)-SUMIF(55:55,C11,56:56)+100</f>
        <v>100</v>
      </c>
      <c r="K11" s="581"/>
      <c r="L11" s="2140"/>
      <c r="M11" s="2134"/>
      <c r="N11" s="2134"/>
      <c r="O11" s="2141"/>
      <c r="P11" s="3703"/>
      <c r="Q11" s="1149">
        <f t="shared" si="6"/>
        <v>111</v>
      </c>
      <c r="R11" s="1567" t="s">
        <v>8</v>
      </c>
      <c r="S11" s="1568">
        <f t="shared" si="0"/>
        <v>100</v>
      </c>
      <c r="T11" s="1567" t="s">
        <v>8</v>
      </c>
      <c r="U11" s="1568">
        <f t="shared" si="1"/>
        <v>100</v>
      </c>
      <c r="V11" s="1567" t="s">
        <v>8</v>
      </c>
      <c r="W11" s="1568">
        <f t="shared" si="2"/>
        <v>100</v>
      </c>
      <c r="X11" s="1569"/>
      <c r="Y11" s="3649"/>
      <c r="Z11" s="1148">
        <f t="shared" si="7"/>
        <v>111</v>
      </c>
      <c r="AA11" s="1570">
        <f t="shared" si="3"/>
        <v>1</v>
      </c>
      <c r="AB11" s="1570">
        <f t="shared" si="4"/>
        <v>1</v>
      </c>
      <c r="AC11" s="1570">
        <f t="shared" si="5"/>
        <v>1</v>
      </c>
    </row>
    <row r="12" spans="1:29" s="1218" customFormat="1" ht="15">
      <c r="A12" s="2941"/>
      <c r="B12" s="2947">
        <v>111</v>
      </c>
      <c r="C12" s="528"/>
      <c r="D12" s="538">
        <v>100</v>
      </c>
      <c r="E12" s="879"/>
      <c r="F12" s="255">
        <f>SUMIF(57:57,E12,58:58)-SUMIF(57:57,C12,58:58)+100</f>
        <v>100</v>
      </c>
      <c r="G12" s="879"/>
      <c r="H12" s="255">
        <f>SUMIF(57:57,G12,58:58)-SUMIF(57:57,C12,58:58)+100</f>
        <v>100</v>
      </c>
      <c r="I12" s="879"/>
      <c r="J12" s="255">
        <f>SUMIF(57:57,I12,58:58)-SUMIF(57:57,C12,58:58)+100</f>
        <v>100</v>
      </c>
      <c r="K12" s="581"/>
      <c r="L12" s="2135"/>
      <c r="M12" s="2136"/>
      <c r="N12" s="2136"/>
      <c r="O12" s="2137"/>
      <c r="P12" s="3703"/>
      <c r="Q12" s="1149">
        <f t="shared" si="6"/>
        <v>111</v>
      </c>
      <c r="R12" s="1567" t="s">
        <v>8</v>
      </c>
      <c r="S12" s="1568">
        <f t="shared" si="0"/>
        <v>100</v>
      </c>
      <c r="T12" s="1567" t="s">
        <v>8</v>
      </c>
      <c r="U12" s="1568">
        <f t="shared" si="1"/>
        <v>100</v>
      </c>
      <c r="V12" s="1567" t="s">
        <v>8</v>
      </c>
      <c r="W12" s="1568">
        <f t="shared" si="2"/>
        <v>100</v>
      </c>
      <c r="X12" s="1569"/>
      <c r="Y12" s="3649"/>
      <c r="Z12" s="1148">
        <f t="shared" si="7"/>
        <v>111</v>
      </c>
      <c r="AA12" s="1570">
        <f>D12/F12</f>
        <v>1</v>
      </c>
      <c r="AB12" s="1570">
        <f>D12/H12</f>
        <v>1</v>
      </c>
      <c r="AC12" s="1570">
        <f>D12/J12</f>
        <v>1</v>
      </c>
    </row>
    <row r="13" spans="1:29" ht="15.75" thickBot="1">
      <c r="A13" s="2942"/>
      <c r="B13" s="2948">
        <v>111</v>
      </c>
      <c r="C13" s="539"/>
      <c r="D13" s="540">
        <v>100</v>
      </c>
      <c r="E13" s="879"/>
      <c r="F13" s="255">
        <f>SUMIF(59:59,E13,60:60)-SUMIF(59:59,C13,60:60)+100</f>
        <v>100</v>
      </c>
      <c r="G13" s="879"/>
      <c r="H13" s="540">
        <f>SUMIF(59:59,G13,60:60)-SUMIF(59:59,C13,60:60)+100</f>
        <v>100</v>
      </c>
      <c r="I13" s="879"/>
      <c r="J13" s="540">
        <f>SUMIF(59:59,I13,60:60)-SUMIF(59:59,C13,60:60)+100</f>
        <v>100</v>
      </c>
      <c r="K13" s="581"/>
      <c r="L13" s="2142"/>
      <c r="M13" s="2134"/>
      <c r="N13" s="2134"/>
      <c r="O13" s="2141"/>
      <c r="P13" s="3703"/>
      <c r="Q13" s="1149">
        <f t="shared" si="6"/>
        <v>111</v>
      </c>
      <c r="R13" s="1567" t="s">
        <v>8</v>
      </c>
      <c r="S13" s="1568">
        <f t="shared" si="0"/>
        <v>100</v>
      </c>
      <c r="T13" s="1567" t="s">
        <v>8</v>
      </c>
      <c r="U13" s="1568">
        <f t="shared" si="1"/>
        <v>100</v>
      </c>
      <c r="V13" s="1567" t="s">
        <v>8</v>
      </c>
      <c r="W13" s="1568">
        <f t="shared" si="2"/>
        <v>100</v>
      </c>
      <c r="X13" s="1569"/>
      <c r="Y13" s="3649"/>
      <c r="Z13" s="1148">
        <f t="shared" si="7"/>
        <v>111</v>
      </c>
      <c r="AA13" s="1570">
        <f t="shared" si="3"/>
        <v>1</v>
      </c>
      <c r="AB13" s="1570">
        <f t="shared" si="4"/>
        <v>1</v>
      </c>
      <c r="AC13" s="1570">
        <f t="shared" si="5"/>
        <v>1</v>
      </c>
    </row>
    <row r="14" spans="1:29" ht="99.75">
      <c r="A14" s="2934" t="s">
        <v>2756</v>
      </c>
      <c r="B14" s="166" t="s">
        <v>544</v>
      </c>
      <c r="C14" s="919" t="str">
        <f>IF(B1="工业",估价对象房地状况!G4,估价对象房地状况!C6)</f>
        <v>估价对象周边路网密集度一般、公共交通通达情况一般、停车便捷程度一般，综合评价交通便捷度一般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737" t="s">
        <v>541</v>
      </c>
      <c r="Q14" s="1571" t="str">
        <f t="shared" si="6"/>
        <v>交通便捷度</v>
      </c>
      <c r="R14" s="1572" t="s">
        <v>8</v>
      </c>
      <c r="S14" s="1573">
        <f t="shared" si="0"/>
        <v>100</v>
      </c>
      <c r="T14" s="1572" t="s">
        <v>8</v>
      </c>
      <c r="U14" s="1573">
        <f t="shared" si="1"/>
        <v>100</v>
      </c>
      <c r="V14" s="1572" t="s">
        <v>8</v>
      </c>
      <c r="W14" s="1573">
        <f t="shared" si="2"/>
        <v>100</v>
      </c>
      <c r="X14" s="1566"/>
      <c r="Y14" s="3737" t="s">
        <v>541</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738"/>
      <c r="Q15" s="1571"/>
      <c r="R15" s="1572"/>
      <c r="S15" s="1573"/>
      <c r="T15" s="1572"/>
      <c r="U15" s="1573"/>
      <c r="V15" s="1572"/>
      <c r="W15" s="1573"/>
      <c r="X15" s="1566"/>
      <c r="Y15" s="3738"/>
      <c r="Z15" s="1574"/>
      <c r="AA15" s="1575">
        <v>1</v>
      </c>
      <c r="AB15" s="1575">
        <v>1</v>
      </c>
      <c r="AC15" s="1575">
        <v>1</v>
      </c>
    </row>
    <row r="16" spans="1:29" ht="71.25">
      <c r="A16" s="532"/>
      <c r="B16" s="2627" t="s">
        <v>2548</v>
      </c>
      <c r="C16" s="872" t="str">
        <f>IF(B1="工业",估价对象房地状况!G5,估价对象房地状况!C7)</f>
        <v>估价对象所在区域公共配套设施齐备情况一般，有雅庭小学、龙溪二中</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738"/>
      <c r="Q16" s="1571" t="str">
        <f>B16</f>
        <v>公共配套设施</v>
      </c>
      <c r="R16" s="1572" t="s">
        <v>8</v>
      </c>
      <c r="S16" s="1573">
        <f>F16</f>
        <v>100</v>
      </c>
      <c r="T16" s="1572" t="s">
        <v>8</v>
      </c>
      <c r="U16" s="1573">
        <f>H16</f>
        <v>100</v>
      </c>
      <c r="V16" s="1572" t="s">
        <v>8</v>
      </c>
      <c r="W16" s="1573">
        <f>J16</f>
        <v>100</v>
      </c>
      <c r="X16" s="1566"/>
      <c r="Y16" s="3738"/>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738"/>
      <c r="Q17" s="1571"/>
      <c r="R17" s="1572"/>
      <c r="S17" s="1573"/>
      <c r="T17" s="1572"/>
      <c r="U17" s="1573"/>
      <c r="V17" s="1572"/>
      <c r="W17" s="1573"/>
      <c r="X17" s="1566"/>
      <c r="Y17" s="3738"/>
      <c r="Z17" s="1574"/>
      <c r="AA17" s="1575">
        <v>1</v>
      </c>
      <c r="AB17" s="1575">
        <v>1</v>
      </c>
      <c r="AC17" s="1575">
        <v>1</v>
      </c>
    </row>
    <row r="18" spans="1:29" ht="42.75">
      <c r="A18" s="532"/>
      <c r="B18" s="2615" t="s">
        <v>2560</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738"/>
      <c r="Q18" s="2603" t="str">
        <f>B18</f>
        <v>基础设施水平</v>
      </c>
      <c r="R18" s="1572" t="s">
        <v>8</v>
      </c>
      <c r="S18" s="1573">
        <f>F18</f>
        <v>100</v>
      </c>
      <c r="T18" s="1572" t="s">
        <v>8</v>
      </c>
      <c r="U18" s="1573">
        <f>H18</f>
        <v>100</v>
      </c>
      <c r="V18" s="1572" t="s">
        <v>8</v>
      </c>
      <c r="W18" s="1573">
        <f>J18</f>
        <v>100</v>
      </c>
      <c r="X18" s="2605"/>
      <c r="Y18" s="3738"/>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738"/>
      <c r="Q19" s="2603"/>
      <c r="R19" s="1572"/>
      <c r="S19" s="1573"/>
      <c r="T19" s="1572"/>
      <c r="U19" s="1573"/>
      <c r="V19" s="1572"/>
      <c r="W19" s="1573"/>
      <c r="X19" s="2605"/>
      <c r="Y19" s="3738"/>
      <c r="Z19" s="2604"/>
      <c r="AA19" s="1575">
        <v>1</v>
      </c>
      <c r="AB19" s="1575">
        <v>1</v>
      </c>
      <c r="AC19" s="1575">
        <v>1</v>
      </c>
    </row>
    <row r="20" spans="1:29" ht="99.75">
      <c r="A20" s="532"/>
      <c r="B20" s="871" t="s">
        <v>805</v>
      </c>
      <c r="C20" s="872" t="str">
        <f>IF(B1="工业",估价对象房地状况!G7,估价对象房地状况!C9)</f>
        <v>区域自然环境：周边绿化条件较好，有水系；人文环境：缺乏图书馆、剧院等设施；综合评价环境状况较差</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738"/>
      <c r="Q20" s="1571" t="str">
        <f>B20</f>
        <v>自然及人文环境</v>
      </c>
      <c r="R20" s="1572" t="s">
        <v>8</v>
      </c>
      <c r="S20" s="1573">
        <f>F20</f>
        <v>100</v>
      </c>
      <c r="T20" s="1572" t="s">
        <v>8</v>
      </c>
      <c r="U20" s="1573">
        <f>H20</f>
        <v>100</v>
      </c>
      <c r="V20" s="1572" t="s">
        <v>8</v>
      </c>
      <c r="W20" s="1573">
        <f>J20</f>
        <v>100</v>
      </c>
      <c r="X20" s="1566"/>
      <c r="Y20" s="3738"/>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738"/>
      <c r="Q21" s="1571"/>
      <c r="R21" s="1572"/>
      <c r="S21" s="1573"/>
      <c r="T21" s="1572"/>
      <c r="U21" s="1573"/>
      <c r="V21" s="1572"/>
      <c r="W21" s="1573"/>
      <c r="X21" s="1566"/>
      <c r="Y21" s="3738"/>
      <c r="Z21" s="1574"/>
      <c r="AA21" s="1575">
        <v>1</v>
      </c>
      <c r="AB21" s="1575">
        <v>1</v>
      </c>
      <c r="AC21" s="1575">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738"/>
      <c r="Q22" s="1571" t="str">
        <f>B22</f>
        <v>楼层</v>
      </c>
      <c r="R22" s="1572" t="s">
        <v>8</v>
      </c>
      <c r="S22" s="1573">
        <f>F22</f>
        <v>100</v>
      </c>
      <c r="T22" s="1572" t="s">
        <v>8</v>
      </c>
      <c r="U22" s="1573">
        <f>H22</f>
        <v>100</v>
      </c>
      <c r="V22" s="1572" t="s">
        <v>8</v>
      </c>
      <c r="W22" s="1573">
        <f>J22</f>
        <v>100</v>
      </c>
      <c r="X22" s="1566"/>
      <c r="Y22" s="3738"/>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738"/>
      <c r="Q23" s="1571">
        <f>B23</f>
        <v>111</v>
      </c>
      <c r="R23" s="1572" t="s">
        <v>8</v>
      </c>
      <c r="S23" s="1573">
        <f>F23</f>
        <v>100</v>
      </c>
      <c r="T23" s="1572" t="s">
        <v>8</v>
      </c>
      <c r="U23" s="1573">
        <f>H23</f>
        <v>100</v>
      </c>
      <c r="V23" s="1572" t="s">
        <v>8</v>
      </c>
      <c r="W23" s="1573">
        <f>J23</f>
        <v>100</v>
      </c>
      <c r="X23" s="1566"/>
      <c r="Y23" s="3738"/>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738"/>
      <c r="Q24" s="1571">
        <f t="shared" ref="Q24:Q34" si="11">B24</f>
        <v>111</v>
      </c>
      <c r="R24" s="1572" t="s">
        <v>8</v>
      </c>
      <c r="S24" s="1573">
        <f>F24</f>
        <v>100</v>
      </c>
      <c r="T24" s="1572" t="s">
        <v>8</v>
      </c>
      <c r="U24" s="1573">
        <f>H24</f>
        <v>100</v>
      </c>
      <c r="V24" s="1572" t="s">
        <v>8</v>
      </c>
      <c r="W24" s="1573">
        <f>J24</f>
        <v>100</v>
      </c>
      <c r="X24" s="1566"/>
      <c r="Y24" s="3738"/>
      <c r="Z24" s="1574">
        <f>Q24</f>
        <v>111</v>
      </c>
      <c r="AA24" s="1575">
        <f t="shared" si="3"/>
        <v>1</v>
      </c>
      <c r="AB24" s="1575">
        <f t="shared" si="4"/>
        <v>1</v>
      </c>
      <c r="AC24" s="1575">
        <f t="shared" si="5"/>
        <v>1</v>
      </c>
    </row>
    <row r="25" spans="1:29" s="1218" customFormat="1" ht="15.75" thickBot="1">
      <c r="A25" s="536"/>
      <c r="B25" s="537">
        <v>111</v>
      </c>
      <c r="C25" s="938"/>
      <c r="D25" s="939">
        <v>100</v>
      </c>
      <c r="E25" s="938"/>
      <c r="F25" s="940">
        <f>SUMIF(75:75,E25,76:76)-SUMIF(75:75,C25,76:76)+100</f>
        <v>100</v>
      </c>
      <c r="G25" s="938"/>
      <c r="H25" s="939">
        <f>SUMIF(75:75,G25,76:76)-SUMIF(75:75,C25,76:76)+100</f>
        <v>100</v>
      </c>
      <c r="I25" s="938"/>
      <c r="J25" s="939">
        <f>SUMIF(75:75,I25,76:76)-SUMIF(75:75,C25,76:76)+100</f>
        <v>100</v>
      </c>
      <c r="K25" s="581"/>
      <c r="L25" s="2135"/>
      <c r="M25" s="2136"/>
      <c r="N25" s="2136"/>
      <c r="O25" s="2137"/>
      <c r="P25" s="3738"/>
      <c r="Q25" s="1149">
        <f t="shared" si="11"/>
        <v>111</v>
      </c>
      <c r="R25" s="1567" t="s">
        <v>8</v>
      </c>
      <c r="S25" s="1568">
        <f>F25</f>
        <v>100</v>
      </c>
      <c r="T25" s="1567" t="s">
        <v>8</v>
      </c>
      <c r="U25" s="1568">
        <f>H25</f>
        <v>100</v>
      </c>
      <c r="V25" s="1567" t="s">
        <v>8</v>
      </c>
      <c r="W25" s="1568">
        <f>J25</f>
        <v>100</v>
      </c>
      <c r="X25" s="1569"/>
      <c r="Y25" s="3738"/>
      <c r="Z25" s="1148">
        <f>Q25</f>
        <v>111</v>
      </c>
      <c r="AA25" s="1575">
        <f>D25/F25</f>
        <v>1</v>
      </c>
      <c r="AB25" s="1575">
        <f>D25/H25</f>
        <v>1</v>
      </c>
      <c r="AC25" s="1575">
        <f>D25/J25</f>
        <v>1</v>
      </c>
    </row>
    <row r="26" spans="1:29" ht="15">
      <c r="A26" s="2932" t="s">
        <v>2757</v>
      </c>
      <c r="B26" s="172" t="s">
        <v>809</v>
      </c>
      <c r="C26" s="914"/>
      <c r="D26" s="597">
        <v>100</v>
      </c>
      <c r="E26" s="914"/>
      <c r="F26" s="941">
        <f>SUMIF(77:77,E26,78:78)-SUMIF(77:77,C26,78:78)+100</f>
        <v>100</v>
      </c>
      <c r="G26" s="914"/>
      <c r="H26" s="597">
        <f>SUMIF(77:77,G26,78:78)-SUMIF(77:77,C26,78:78)+100</f>
        <v>100</v>
      </c>
      <c r="I26" s="914"/>
      <c r="J26" s="597">
        <f>SUMIF(77:77,I26,78:78)-SUMIF(77:77,C26,78:78)+100</f>
        <v>100</v>
      </c>
      <c r="K26" s="584"/>
      <c r="L26" s="2142"/>
      <c r="M26" s="2134"/>
      <c r="N26" s="2134"/>
      <c r="O26" s="2141"/>
      <c r="P26" s="3739"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740" t="s">
        <v>822</v>
      </c>
      <c r="Z26" s="1574" t="str">
        <f t="shared" ref="Z26:Z34" si="15">Q26</f>
        <v>公共部分装修</v>
      </c>
      <c r="AA26" s="1575">
        <f t="shared" si="3"/>
        <v>1</v>
      </c>
      <c r="AB26" s="1575">
        <f t="shared" si="4"/>
        <v>1</v>
      </c>
      <c r="AC26" s="1575">
        <f t="shared" si="5"/>
        <v>1</v>
      </c>
    </row>
    <row r="27" spans="1:29" s="1337" customFormat="1" ht="15">
      <c r="A27" s="603"/>
      <c r="B27" s="527" t="s">
        <v>810</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740"/>
      <c r="Q27" s="1604" t="str">
        <f t="shared" si="11"/>
        <v>成新率</v>
      </c>
      <c r="R27" s="1576" t="s">
        <v>8</v>
      </c>
      <c r="S27" s="1577" t="e">
        <f t="shared" si="12"/>
        <v>#N/A</v>
      </c>
      <c r="T27" s="1576" t="s">
        <v>8</v>
      </c>
      <c r="U27" s="1577" t="e">
        <f t="shared" si="13"/>
        <v>#N/A</v>
      </c>
      <c r="V27" s="1576" t="s">
        <v>8</v>
      </c>
      <c r="W27" s="1577" t="e">
        <f t="shared" si="14"/>
        <v>#N/A</v>
      </c>
      <c r="X27" s="1578"/>
      <c r="Y27" s="3740"/>
      <c r="Z27" s="1579" t="str">
        <f t="shared" si="15"/>
        <v>成新率</v>
      </c>
      <c r="AA27" s="1575" t="e">
        <f t="shared" si="3"/>
        <v>#N/A</v>
      </c>
      <c r="AB27" s="1575" t="e">
        <f t="shared" si="4"/>
        <v>#N/A</v>
      </c>
      <c r="AC27" s="1575"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740"/>
      <c r="Q28" s="1571" t="str">
        <f t="shared" si="11"/>
        <v>物业等级</v>
      </c>
      <c r="R28" s="1572" t="s">
        <v>8</v>
      </c>
      <c r="S28" s="1573">
        <f t="shared" si="12"/>
        <v>100</v>
      </c>
      <c r="T28" s="1572" t="s">
        <v>8</v>
      </c>
      <c r="U28" s="1573">
        <f t="shared" si="13"/>
        <v>100</v>
      </c>
      <c r="V28" s="1572" t="s">
        <v>8</v>
      </c>
      <c r="W28" s="1573">
        <f t="shared" si="14"/>
        <v>100</v>
      </c>
      <c r="X28" s="1566"/>
      <c r="Y28" s="3740"/>
      <c r="Z28" s="1574" t="str">
        <f t="shared" si="15"/>
        <v>物业等级</v>
      </c>
      <c r="AA28" s="1575">
        <f t="shared" si="3"/>
        <v>1</v>
      </c>
      <c r="AB28" s="1575">
        <f t="shared" si="4"/>
        <v>1</v>
      </c>
      <c r="AC28" s="1575">
        <f t="shared" si="5"/>
        <v>1</v>
      </c>
    </row>
    <row r="29" spans="1:29" ht="15">
      <c r="A29" s="594"/>
      <c r="B29" s="527" t="s">
        <v>823</v>
      </c>
      <c r="C29" s="930"/>
      <c r="D29" s="540">
        <v>100</v>
      </c>
      <c r="E29" s="930"/>
      <c r="F29" s="575">
        <f>SUMIF(84:84,E29,85:85)-SUMIF(84:84,C29,85:85)+100</f>
        <v>100</v>
      </c>
      <c r="G29" s="930"/>
      <c r="H29" s="540">
        <f>SUMIF(84:84,G29,85:85)-SUMIF(84:84,C29,85:85)+100</f>
        <v>100</v>
      </c>
      <c r="I29" s="930"/>
      <c r="J29" s="540">
        <f>SUMIF(84:84,I29,85:85)-SUMIF(84:84,C29,85:85)+100</f>
        <v>100</v>
      </c>
      <c r="K29" s="584"/>
      <c r="L29" s="2142"/>
      <c r="M29" s="2134"/>
      <c r="N29" s="2134"/>
      <c r="O29" s="2141"/>
      <c r="P29" s="3740"/>
      <c r="Q29" s="1571" t="str">
        <f t="shared" si="11"/>
        <v>有无电梯</v>
      </c>
      <c r="R29" s="1572" t="s">
        <v>8</v>
      </c>
      <c r="S29" s="1573">
        <f t="shared" si="12"/>
        <v>100</v>
      </c>
      <c r="T29" s="1572" t="s">
        <v>8</v>
      </c>
      <c r="U29" s="1573">
        <f t="shared" si="13"/>
        <v>100</v>
      </c>
      <c r="V29" s="1572" t="s">
        <v>8</v>
      </c>
      <c r="W29" s="1573">
        <f t="shared" si="14"/>
        <v>100</v>
      </c>
      <c r="X29" s="1566"/>
      <c r="Y29" s="3740"/>
      <c r="Z29" s="1574" t="str">
        <f t="shared" si="15"/>
        <v>有无电梯</v>
      </c>
      <c r="AA29" s="1575">
        <f t="shared" si="3"/>
        <v>1</v>
      </c>
      <c r="AB29" s="1575">
        <f t="shared" si="4"/>
        <v>1</v>
      </c>
      <c r="AC29" s="1575">
        <f t="shared" si="5"/>
        <v>1</v>
      </c>
    </row>
    <row r="30" spans="1:29" ht="15">
      <c r="A30" s="594"/>
      <c r="B30" s="527" t="s">
        <v>824</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740"/>
      <c r="Q30" s="1571" t="str">
        <f t="shared" si="11"/>
        <v>建筑面积</v>
      </c>
      <c r="R30" s="1572" t="s">
        <v>8</v>
      </c>
      <c r="S30" s="1573" t="e">
        <f t="shared" si="12"/>
        <v>#N/A</v>
      </c>
      <c r="T30" s="1572" t="s">
        <v>8</v>
      </c>
      <c r="U30" s="1573" t="e">
        <f t="shared" si="13"/>
        <v>#N/A</v>
      </c>
      <c r="V30" s="1572" t="s">
        <v>8</v>
      </c>
      <c r="W30" s="1573" t="e">
        <f t="shared" si="14"/>
        <v>#N/A</v>
      </c>
      <c r="X30" s="1566"/>
      <c r="Y30" s="3740"/>
      <c r="Z30" s="1574" t="str">
        <f t="shared" si="15"/>
        <v>建筑面积</v>
      </c>
      <c r="AA30" s="1575" t="e">
        <f t="shared" si="3"/>
        <v>#N/A</v>
      </c>
      <c r="AB30" s="1575" t="e">
        <f t="shared" si="4"/>
        <v>#N/A</v>
      </c>
      <c r="AC30" s="1575" t="e">
        <f t="shared" si="5"/>
        <v>#N/A</v>
      </c>
    </row>
    <row r="31" spans="1:29" s="1218" customFormat="1" ht="15">
      <c r="A31" s="600"/>
      <c r="B31" s="527" t="s">
        <v>825</v>
      </c>
      <c r="C31" s="930"/>
      <c r="D31" s="255">
        <v>100</v>
      </c>
      <c r="E31" s="930"/>
      <c r="F31" s="575">
        <f>SUMIF(89:89,E31,90:90)-SUMIF(89:89,C31,90:90)+100</f>
        <v>100</v>
      </c>
      <c r="G31" s="930"/>
      <c r="H31" s="540">
        <f>SUMIF(89:89,G31,90:90)-SUMIF(89:89,C31,90:90)+100</f>
        <v>100</v>
      </c>
      <c r="I31" s="930"/>
      <c r="J31" s="540">
        <f>SUMIF(89:89,I31,90:90)-SUMIF(89:89,C31,90:90)+100</f>
        <v>100</v>
      </c>
      <c r="K31" s="584"/>
      <c r="L31" s="2135"/>
      <c r="M31" s="2136"/>
      <c r="N31" s="2136"/>
      <c r="O31" s="2137"/>
      <c r="P31" s="3740"/>
      <c r="Q31" s="1149" t="str">
        <f t="shared" si="11"/>
        <v>是否封闭</v>
      </c>
      <c r="R31" s="1567" t="s">
        <v>8</v>
      </c>
      <c r="S31" s="1568">
        <f t="shared" si="12"/>
        <v>100</v>
      </c>
      <c r="T31" s="1567" t="s">
        <v>8</v>
      </c>
      <c r="U31" s="1568">
        <f t="shared" si="13"/>
        <v>100</v>
      </c>
      <c r="V31" s="1567" t="s">
        <v>8</v>
      </c>
      <c r="W31" s="1568">
        <f t="shared" si="14"/>
        <v>100</v>
      </c>
      <c r="X31" s="1569"/>
      <c r="Y31" s="3740"/>
      <c r="Z31" s="1148"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740" t="s">
        <v>551</v>
      </c>
      <c r="Q32" s="1571">
        <f t="shared" si="11"/>
        <v>111</v>
      </c>
      <c r="R32" s="1572" t="s">
        <v>8</v>
      </c>
      <c r="S32" s="1573">
        <f t="shared" si="12"/>
        <v>100</v>
      </c>
      <c r="T32" s="1572" t="s">
        <v>8</v>
      </c>
      <c r="U32" s="1573">
        <f t="shared" si="13"/>
        <v>100</v>
      </c>
      <c r="V32" s="1572" t="s">
        <v>8</v>
      </c>
      <c r="W32" s="1573">
        <f t="shared" si="14"/>
        <v>100</v>
      </c>
      <c r="X32" s="1566"/>
      <c r="Y32" s="3740" t="s">
        <v>551</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740"/>
      <c r="Q33" s="1571">
        <f t="shared" si="11"/>
        <v>111</v>
      </c>
      <c r="R33" s="1572" t="s">
        <v>8</v>
      </c>
      <c r="S33" s="1573">
        <f t="shared" si="12"/>
        <v>100</v>
      </c>
      <c r="T33" s="1572" t="s">
        <v>8</v>
      </c>
      <c r="U33" s="1573">
        <f t="shared" si="13"/>
        <v>100</v>
      </c>
      <c r="V33" s="1572" t="s">
        <v>8</v>
      </c>
      <c r="W33" s="1573">
        <f t="shared" si="14"/>
        <v>100</v>
      </c>
      <c r="X33" s="1566"/>
      <c r="Y33" s="3740"/>
      <c r="Z33" s="1574">
        <f t="shared" si="15"/>
        <v>111</v>
      </c>
      <c r="AA33" s="1575">
        <f t="shared" si="3"/>
        <v>1</v>
      </c>
      <c r="AB33" s="1575">
        <f t="shared" si="4"/>
        <v>1</v>
      </c>
      <c r="AC33" s="1575">
        <f t="shared" si="5"/>
        <v>1</v>
      </c>
    </row>
    <row r="34" spans="1:29" ht="15.75" thickBot="1">
      <c r="A34" s="885"/>
      <c r="B34" s="544">
        <v>111</v>
      </c>
      <c r="C34" s="545"/>
      <c r="D34" s="546">
        <v>100</v>
      </c>
      <c r="E34" s="942"/>
      <c r="F34" s="866">
        <f>SUMIF(95:95,E34,96:96)-SUMIF(95:95,C34,96:96)+100</f>
        <v>100</v>
      </c>
      <c r="G34" s="942"/>
      <c r="H34" s="546">
        <f>SUMIF(95:95,G34,96:96)-SUMIF(95:95,C34,96:96)+100</f>
        <v>100</v>
      </c>
      <c r="I34" s="942"/>
      <c r="J34" s="546">
        <f>SUMIF(95:95,I34,96:96)-SUMIF(95:95,C34,96:96)+100</f>
        <v>100</v>
      </c>
      <c r="K34" s="581"/>
      <c r="L34" s="2142"/>
      <c r="M34" s="2134"/>
      <c r="N34" s="2134"/>
      <c r="O34" s="2141"/>
      <c r="P34" s="3740"/>
      <c r="Q34" s="1571">
        <f t="shared" si="11"/>
        <v>111</v>
      </c>
      <c r="R34" s="1572" t="s">
        <v>8</v>
      </c>
      <c r="S34" s="1573">
        <f t="shared" si="12"/>
        <v>100</v>
      </c>
      <c r="T34" s="1572" t="s">
        <v>8</v>
      </c>
      <c r="U34" s="1573">
        <f t="shared" si="13"/>
        <v>100</v>
      </c>
      <c r="V34" s="1572" t="s">
        <v>8</v>
      </c>
      <c r="W34" s="1573">
        <f t="shared" si="14"/>
        <v>100</v>
      </c>
      <c r="X34" s="1566"/>
      <c r="Y34" s="3740"/>
      <c r="Z34" s="1574">
        <f t="shared" si="15"/>
        <v>111</v>
      </c>
      <c r="AA34" s="1575">
        <f t="shared" si="3"/>
        <v>1</v>
      </c>
      <c r="AB34" s="1575">
        <f t="shared" si="4"/>
        <v>1</v>
      </c>
      <c r="AC34" s="1575">
        <f t="shared" si="5"/>
        <v>1</v>
      </c>
    </row>
    <row r="35" spans="1:29" ht="15">
      <c r="A35" s="607" t="s">
        <v>737</v>
      </c>
      <c r="B35" s="886"/>
      <c r="C35" s="2651" t="s">
        <v>1</v>
      </c>
      <c r="D35" s="2652"/>
      <c r="E35" s="2653"/>
      <c r="F35" s="2654"/>
      <c r="G35" s="2655"/>
      <c r="H35" s="2656"/>
      <c r="I35" s="2653"/>
      <c r="J35" s="2656"/>
      <c r="K35" s="1610"/>
      <c r="L35" s="2144"/>
      <c r="M35" s="2145"/>
      <c r="N35" s="2134"/>
      <c r="O35" s="2145"/>
      <c r="P35" s="3703" t="str">
        <f>A35</f>
        <v>成交单价（元/平方米）</v>
      </c>
      <c r="Q35" s="3703"/>
      <c r="R35" s="3795">
        <f>E35</f>
        <v>0</v>
      </c>
      <c r="S35" s="3795"/>
      <c r="T35" s="3795">
        <f>G35</f>
        <v>0</v>
      </c>
      <c r="U35" s="3795"/>
      <c r="V35" s="3795">
        <f>I35</f>
        <v>0</v>
      </c>
      <c r="W35" s="3795"/>
      <c r="X35" s="1558"/>
      <c r="Y35" s="1580"/>
      <c r="Z35" s="1558"/>
      <c r="AA35" s="1558"/>
      <c r="AB35" s="1558"/>
      <c r="AC35" s="1558"/>
    </row>
    <row r="36" spans="1:29" ht="15.75" thickBot="1">
      <c r="A36" s="615" t="s">
        <v>2762</v>
      </c>
      <c r="B36" s="887"/>
      <c r="C36" s="2657" t="e">
        <f>R37</f>
        <v>#DIV/0!</v>
      </c>
      <c r="D36" s="2658"/>
      <c r="E36" s="2659" t="e">
        <f>R36</f>
        <v>#DIV/0!</v>
      </c>
      <c r="F36" s="2659"/>
      <c r="G36" s="2657" t="e">
        <f>T36</f>
        <v>#DIV/0!</v>
      </c>
      <c r="H36" s="2658"/>
      <c r="I36" s="2659" t="e">
        <f>V36</f>
        <v>#DIV/0!</v>
      </c>
      <c r="J36" s="2658"/>
      <c r="K36" s="1611"/>
      <c r="L36" s="2144"/>
      <c r="M36" s="2145"/>
      <c r="N36" s="2134"/>
      <c r="O36" s="2145"/>
      <c r="P36" s="3703" t="str">
        <f>A36</f>
        <v>比较价格（元/平方米）</v>
      </c>
      <c r="Q36" s="3703"/>
      <c r="R36" s="3795" t="e">
        <f>IF(F1="售价",ROUND(PRODUCT(R35,AA7:AA34),0),ROUND(PRODUCT(R35,AA7:AA34),1))</f>
        <v>#DIV/0!</v>
      </c>
      <c r="S36" s="3795"/>
      <c r="T36" s="3795" t="e">
        <f>IF(F1="售价",ROUND(PRODUCT(T35,AB7:AB34),0),ROUND(PRODUCT(T35,AB7:AB34),1))</f>
        <v>#DIV/0!</v>
      </c>
      <c r="U36" s="3795"/>
      <c r="V36" s="3795" t="e">
        <f>IF(F1="售价",ROUND(PRODUCT(V35,AC7:AC34),0),ROUND(PRODUCT(V35,AC7:AC34),1))</f>
        <v>#DIV/0!</v>
      </c>
      <c r="W36" s="3795"/>
      <c r="X36" s="1558"/>
      <c r="Y36" s="1558"/>
      <c r="Z36" s="1558"/>
      <c r="AA36" s="1558"/>
      <c r="AB36" s="1558"/>
      <c r="AC36" s="1558"/>
    </row>
    <row r="37" spans="1:29" ht="15.75" thickBot="1">
      <c r="A37" s="621" t="s">
        <v>2931</v>
      </c>
      <c r="B37" s="622"/>
      <c r="C37" s="2660" t="e">
        <f>R37</f>
        <v>#DIV/0!</v>
      </c>
      <c r="D37" s="2660"/>
      <c r="E37" s="2660"/>
      <c r="F37" s="2660"/>
      <c r="G37" s="2660"/>
      <c r="H37" s="2660"/>
      <c r="I37" s="2660"/>
      <c r="J37" s="2660"/>
      <c r="K37" s="1612"/>
      <c r="L37" s="2144"/>
      <c r="M37" s="2145"/>
      <c r="N37" s="2145"/>
      <c r="O37" s="2145"/>
      <c r="P37" s="3700" t="str">
        <f>A37</f>
        <v>估价对象XX用房的比较价格（楼面单价，元/平方米）</v>
      </c>
      <c r="Q37" s="3701"/>
      <c r="R37" s="3794" t="e">
        <f>IF(F1="售价",ROUND(AVERAGE(R36:V36),0),ROUND(AVERAGE(R36:V36),1))</f>
        <v>#DIV/0!</v>
      </c>
      <c r="S37" s="3794"/>
      <c r="T37" s="3794"/>
      <c r="U37" s="3794"/>
      <c r="V37" s="3794"/>
      <c r="W37" s="3794"/>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575</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5" t="s">
        <v>530</v>
      </c>
      <c r="B46" s="646"/>
      <c r="C46" s="2827" t="str">
        <f>YEAR(C7)&amp;"-"&amp;MONTH(C7)</f>
        <v>2018-2</v>
      </c>
      <c r="D46" s="2829">
        <f>EDATE(C46,-1)</f>
        <v>43101</v>
      </c>
      <c r="E46" s="2829">
        <f t="shared" ref="E46:O46" si="16">EDATE(D46,-1)</f>
        <v>43070</v>
      </c>
      <c r="F46" s="2829">
        <f t="shared" si="16"/>
        <v>43040</v>
      </c>
      <c r="G46" s="2829">
        <f t="shared" si="16"/>
        <v>43009</v>
      </c>
      <c r="H46" s="2829">
        <f t="shared" si="16"/>
        <v>42979</v>
      </c>
      <c r="I46" s="2829">
        <f t="shared" si="16"/>
        <v>42948</v>
      </c>
      <c r="J46" s="2829">
        <f t="shared" si="16"/>
        <v>42917</v>
      </c>
      <c r="K46" s="2829">
        <f t="shared" si="16"/>
        <v>42887</v>
      </c>
      <c r="L46" s="2829">
        <f t="shared" si="16"/>
        <v>42856</v>
      </c>
      <c r="M46" s="2829">
        <f t="shared" si="16"/>
        <v>42826</v>
      </c>
      <c r="N46" s="2829">
        <f t="shared" si="16"/>
        <v>42795</v>
      </c>
      <c r="O46" s="2829">
        <f t="shared" si="16"/>
        <v>42767</v>
      </c>
      <c r="P46" s="2160"/>
      <c r="Q46" s="2161"/>
      <c r="R46" s="2161"/>
      <c r="S46" s="2161"/>
      <c r="T46" s="2161"/>
      <c r="U46" s="2161"/>
      <c r="V46" s="2161"/>
      <c r="W46" s="2161"/>
      <c r="X46" s="2161"/>
      <c r="Y46" s="2161"/>
      <c r="Z46" s="2161"/>
      <c r="AA46" s="2161"/>
      <c r="AB46" s="2161"/>
      <c r="AC46" s="2161"/>
    </row>
    <row r="47" spans="1:29" s="1218"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8"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8"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3">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2560</v>
      </c>
      <c r="C65" s="2622" t="s">
        <v>2561</v>
      </c>
      <c r="D65" s="2622" t="s">
        <v>2562</v>
      </c>
      <c r="E65" s="2622" t="s">
        <v>2563</v>
      </c>
      <c r="F65" s="2622" t="s">
        <v>2564</v>
      </c>
      <c r="G65" s="2622" t="s">
        <v>2565</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3"/>
      <c r="I66" s="933"/>
      <c r="J66" s="933"/>
      <c r="K66" s="933"/>
      <c r="L66" s="933"/>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7" customFormat="1" ht="15" thickTop="1">
      <c r="A89" s="728"/>
      <c r="B89" s="673" t="s">
        <v>828</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5">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2790</v>
      </c>
      <c r="C1" s="3028">
        <f>项目基本情况!D3</f>
        <v>43138</v>
      </c>
      <c r="H1" s="2962">
        <f>IF(C1&gt;C13,0,MATCH(C1,C$13:C$100,-1))+IF(SUMIF(C13:C100,C1,D13:D100)=0,13,12)</f>
        <v>13</v>
      </c>
      <c r="I1" s="2962">
        <f ca="1">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2821</v>
      </c>
      <c r="C2" s="3029">
        <f>'数据-取费表'!B22</f>
        <v>3</v>
      </c>
      <c r="D2" s="3024" t="s">
        <v>2791</v>
      </c>
      <c r="E2" s="3027">
        <f ca="1">INDIRECT("I"&amp;$I$1)/100</f>
        <v>4.7500000000000001E-2</v>
      </c>
      <c r="G2" s="2964"/>
      <c r="H2" s="2964"/>
      <c r="I2" s="2964" t="s">
        <v>2792</v>
      </c>
      <c r="K2" s="2964"/>
      <c r="L2" s="2964"/>
      <c r="M2" s="2964"/>
      <c r="N2" s="2964" t="s">
        <v>2793</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2823</v>
      </c>
      <c r="C3" s="3026">
        <f>'数据-取费表'!B19</f>
        <v>0</v>
      </c>
      <c r="D3" s="3024" t="s">
        <v>2791</v>
      </c>
      <c r="E3" s="3027">
        <f ca="1">INDIRECT("J"&amp;$J$1)/100</f>
        <v>0</v>
      </c>
      <c r="G3" s="2966" t="s">
        <v>2794</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2822</v>
      </c>
      <c r="C4" s="3027">
        <f ca="1">N4/100</f>
        <v>1.4999999999999999E-2</v>
      </c>
      <c r="G4" s="2972" t="s">
        <v>2795</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2796</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2797</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2798</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2799</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2800</v>
      </c>
      <c r="C10" s="2991"/>
      <c r="D10" s="2991"/>
      <c r="E10" s="2991"/>
      <c r="F10" s="2991"/>
      <c r="G10" s="2991"/>
      <c r="H10" s="2991"/>
      <c r="I10" s="2965"/>
      <c r="J10" s="2965"/>
      <c r="K10" s="2991"/>
      <c r="L10" s="2992" t="s">
        <v>2801</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2802</v>
      </c>
      <c r="C11" s="2996" t="s">
        <v>2803</v>
      </c>
      <c r="D11" s="2997" t="s">
        <v>2804</v>
      </c>
      <c r="E11" s="2998"/>
      <c r="F11" s="2997" t="s">
        <v>2805</v>
      </c>
      <c r="G11" s="2999"/>
      <c r="H11" s="2998"/>
      <c r="I11" s="2997" t="s">
        <v>2806</v>
      </c>
      <c r="J11" s="2998"/>
      <c r="K11" s="2994"/>
      <c r="L11" s="2995" t="s">
        <v>2802</v>
      </c>
      <c r="M11" s="2996" t="s">
        <v>2803</v>
      </c>
      <c r="N11" s="2995" t="s">
        <v>2807</v>
      </c>
      <c r="O11" s="2997" t="s">
        <v>2808</v>
      </c>
      <c r="P11" s="2999"/>
      <c r="Q11" s="2999"/>
      <c r="R11" s="2999"/>
      <c r="S11" s="2999"/>
      <c r="T11" s="2998"/>
      <c r="U11" s="2997" t="s">
        <v>2809</v>
      </c>
      <c r="V11" s="2999"/>
      <c r="W11" s="2998"/>
      <c r="X11" s="2995" t="s">
        <v>2810</v>
      </c>
      <c r="Y11" s="2995" t="s">
        <v>2811</v>
      </c>
      <c r="Z11" s="2995" t="s">
        <v>2812</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2813</v>
      </c>
      <c r="E12" s="3004" t="s">
        <v>2814</v>
      </c>
      <c r="F12" s="3004" t="s">
        <v>2815</v>
      </c>
      <c r="G12" s="3004" t="s">
        <v>2816</v>
      </c>
      <c r="H12" s="3004" t="s">
        <v>2798</v>
      </c>
      <c r="I12" s="3005" t="s">
        <v>2817</v>
      </c>
      <c r="J12" s="3005" t="s">
        <v>2817</v>
      </c>
      <c r="K12" s="3001"/>
      <c r="L12" s="3002"/>
      <c r="M12" s="3003"/>
      <c r="N12" s="3002"/>
      <c r="O12" s="3005" t="s">
        <v>2818</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2819</v>
      </c>
      <c r="C13" s="3009">
        <v>42301</v>
      </c>
      <c r="D13" s="3010">
        <v>4.3499999999999996</v>
      </c>
      <c r="E13" s="3010">
        <v>4.3499999999999996</v>
      </c>
      <c r="F13" s="3010">
        <v>4.75</v>
      </c>
      <c r="G13" s="3010">
        <v>4.75</v>
      </c>
      <c r="H13" s="3010">
        <v>4.9000000000000004</v>
      </c>
      <c r="I13" s="3010">
        <v>2.75</v>
      </c>
      <c r="J13" s="3010">
        <v>3.25</v>
      </c>
      <c r="K13" s="3007"/>
      <c r="L13" s="3008" t="s">
        <v>2819</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2820</v>
      </c>
      <c r="Y42" s="3014" t="s">
        <v>2820</v>
      </c>
      <c r="Z42" s="3014" t="s">
        <v>2820</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2820</v>
      </c>
      <c r="Y43" s="3014" t="s">
        <v>2820</v>
      </c>
      <c r="Z43" s="3014" t="s">
        <v>2820</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2820</v>
      </c>
      <c r="Y44" s="3014" t="s">
        <v>2820</v>
      </c>
      <c r="Z44" s="3014" t="s">
        <v>2820</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2820</v>
      </c>
      <c r="Y45" s="3014" t="s">
        <v>2820</v>
      </c>
      <c r="Z45" s="3014" t="s">
        <v>2820</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2820</v>
      </c>
      <c r="Y46" s="3014" t="s">
        <v>2820</v>
      </c>
      <c r="Z46" s="3014" t="s">
        <v>2820</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2820</v>
      </c>
      <c r="Y47" s="3014" t="s">
        <v>2820</v>
      </c>
      <c r="Z47" s="3014" t="s">
        <v>2820</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2820</v>
      </c>
      <c r="Y48" s="3014" t="s">
        <v>2820</v>
      </c>
      <c r="Z48" s="3014" t="s">
        <v>2820</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2820</v>
      </c>
      <c r="Y49" s="3014" t="s">
        <v>2820</v>
      </c>
      <c r="Z49" s="3014" t="s">
        <v>2820</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2820</v>
      </c>
      <c r="Y50" s="3014" t="s">
        <v>2820</v>
      </c>
      <c r="Z50" s="3014" t="s">
        <v>2820</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2820</v>
      </c>
      <c r="V51" s="3014" t="s">
        <v>2820</v>
      </c>
      <c r="W51" s="3014" t="s">
        <v>2820</v>
      </c>
      <c r="X51" s="3014" t="s">
        <v>2820</v>
      </c>
      <c r="Y51" s="3014" t="s">
        <v>2820</v>
      </c>
      <c r="Z51" s="3014" t="s">
        <v>2820</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2820</v>
      </c>
      <c r="J55" s="3014" t="s">
        <v>2820</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topLeftCell="A46" workbookViewId="0">
      <selection activeCell="L5" sqref="L5"/>
    </sheetView>
  </sheetViews>
  <sheetFormatPr defaultRowHeight="13.5"/>
  <cols>
    <col min="1" max="1" width="35" customWidth="1"/>
    <col min="14" max="14" width="19.25" customWidth="1"/>
  </cols>
  <sheetData>
    <row r="1" spans="1:14" s="2963" customFormat="1" ht="40.5">
      <c r="A1" s="3481" t="s">
        <v>3188</v>
      </c>
      <c r="B1" s="3481" t="s">
        <v>3189</v>
      </c>
      <c r="C1" s="3481" t="s">
        <v>3190</v>
      </c>
      <c r="D1" s="3481" t="s">
        <v>3191</v>
      </c>
      <c r="E1" s="3481" t="s">
        <v>3192</v>
      </c>
      <c r="F1" s="3481" t="s">
        <v>2033</v>
      </c>
      <c r="G1" s="3481" t="s">
        <v>3193</v>
      </c>
      <c r="H1" s="3481" t="s">
        <v>3194</v>
      </c>
      <c r="I1" s="3481" t="s">
        <v>3195</v>
      </c>
      <c r="J1" s="3481" t="s">
        <v>3196</v>
      </c>
      <c r="K1" s="3481" t="s">
        <v>3197</v>
      </c>
      <c r="L1" s="3482" t="s">
        <v>3374</v>
      </c>
      <c r="M1" s="3481" t="s">
        <v>3198</v>
      </c>
      <c r="N1" s="3481" t="s">
        <v>3199</v>
      </c>
    </row>
    <row r="2" spans="1:14" s="3484" customFormat="1" ht="57.75" customHeight="1">
      <c r="A2" s="3483" t="s">
        <v>3200</v>
      </c>
      <c r="B2" s="3483" t="s">
        <v>3201</v>
      </c>
      <c r="C2" s="3483" t="s">
        <v>3202</v>
      </c>
      <c r="D2" s="3483">
        <v>37113</v>
      </c>
      <c r="E2" s="3483">
        <v>111339</v>
      </c>
      <c r="F2" s="3483" t="s">
        <v>3203</v>
      </c>
      <c r="G2" s="3483" t="s">
        <v>3204</v>
      </c>
      <c r="H2" s="3483" t="s">
        <v>3205</v>
      </c>
      <c r="I2" s="3483">
        <v>6450</v>
      </c>
      <c r="J2" s="3483">
        <v>24630</v>
      </c>
      <c r="K2" s="3483">
        <v>2212.15</v>
      </c>
      <c r="L2" s="3483">
        <f>ROUND(J2*10000/D2,0)</f>
        <v>6636</v>
      </c>
      <c r="M2" s="3483">
        <v>281.86</v>
      </c>
      <c r="N2" s="3483" t="s">
        <v>3206</v>
      </c>
    </row>
    <row r="3" spans="1:14" s="2963" customFormat="1" ht="35.25" customHeight="1">
      <c r="A3" s="3481" t="s">
        <v>3207</v>
      </c>
      <c r="B3" s="3481" t="s">
        <v>3201</v>
      </c>
      <c r="C3" s="3481" t="s">
        <v>3202</v>
      </c>
      <c r="D3" s="3481">
        <v>36333</v>
      </c>
      <c r="E3" s="3481">
        <v>79932.600000000006</v>
      </c>
      <c r="F3" s="3481" t="s">
        <v>3208</v>
      </c>
      <c r="G3" s="3481" t="s">
        <v>3204</v>
      </c>
      <c r="H3" s="3481" t="s">
        <v>3209</v>
      </c>
      <c r="I3" s="3481">
        <v>3610</v>
      </c>
      <c r="J3" s="3481">
        <v>3610</v>
      </c>
      <c r="K3" s="3481">
        <v>451.62</v>
      </c>
      <c r="L3" s="3481">
        <f t="shared" ref="L3:L61" si="0">ROUND(J3*10000/D3,0)</f>
        <v>994</v>
      </c>
      <c r="M3" s="3481">
        <v>0</v>
      </c>
      <c r="N3" s="3481" t="s">
        <v>3210</v>
      </c>
    </row>
    <row r="4" spans="1:14" s="3484" customFormat="1" ht="24.75" customHeight="1">
      <c r="A4" s="3483" t="s">
        <v>3211</v>
      </c>
      <c r="B4" s="3483" t="s">
        <v>3201</v>
      </c>
      <c r="C4" s="3483" t="s">
        <v>3202</v>
      </c>
      <c r="D4" s="3483">
        <v>5257</v>
      </c>
      <c r="E4" s="3483">
        <v>11565.4</v>
      </c>
      <c r="F4" s="3483" t="s">
        <v>3208</v>
      </c>
      <c r="G4" s="3483" t="s">
        <v>3204</v>
      </c>
      <c r="H4" s="3483" t="s">
        <v>3212</v>
      </c>
      <c r="I4" s="3483">
        <v>2696.76</v>
      </c>
      <c r="J4" s="3483">
        <v>2696.76</v>
      </c>
      <c r="K4" s="3483">
        <v>2331.75</v>
      </c>
      <c r="L4" s="3483">
        <f t="shared" si="0"/>
        <v>5130</v>
      </c>
      <c r="M4" s="3483">
        <v>0</v>
      </c>
      <c r="N4" s="3483" t="s">
        <v>3213</v>
      </c>
    </row>
    <row r="5" spans="1:14" s="2963" customFormat="1" ht="31.5" customHeight="1">
      <c r="A5" s="3481" t="s">
        <v>3214</v>
      </c>
      <c r="B5" s="3481" t="s">
        <v>3201</v>
      </c>
      <c r="C5" s="3481" t="s">
        <v>3202</v>
      </c>
      <c r="D5" s="3481">
        <v>20250</v>
      </c>
      <c r="E5" s="3481">
        <v>78975</v>
      </c>
      <c r="F5" s="3481" t="s">
        <v>3215</v>
      </c>
      <c r="G5" s="3481" t="s">
        <v>3204</v>
      </c>
      <c r="H5" s="3481" t="s">
        <v>3216</v>
      </c>
      <c r="I5" s="3481">
        <v>7158.17</v>
      </c>
      <c r="J5" s="3481">
        <v>32658.16</v>
      </c>
      <c r="K5" s="3481">
        <v>4135.25</v>
      </c>
      <c r="L5" s="3481">
        <f t="shared" si="0"/>
        <v>16127</v>
      </c>
      <c r="M5" s="3481">
        <v>356.24</v>
      </c>
      <c r="N5" s="3481" t="s">
        <v>3217</v>
      </c>
    </row>
    <row r="6" spans="1:14" s="2963" customFormat="1" ht="42.75" customHeight="1">
      <c r="A6" s="3481" t="s">
        <v>3218</v>
      </c>
      <c r="B6" s="3481" t="s">
        <v>3201</v>
      </c>
      <c r="C6" s="3481" t="s">
        <v>3202</v>
      </c>
      <c r="D6" s="3481">
        <v>9833</v>
      </c>
      <c r="E6" s="3481">
        <v>17699.400000000001</v>
      </c>
      <c r="F6" s="3481" t="s">
        <v>3219</v>
      </c>
      <c r="G6" s="3481" t="s">
        <v>3204</v>
      </c>
      <c r="H6" s="3481" t="s">
        <v>3216</v>
      </c>
      <c r="I6" s="3481">
        <v>1138</v>
      </c>
      <c r="J6" s="3481">
        <v>1138</v>
      </c>
      <c r="K6" s="3481">
        <v>642.96</v>
      </c>
      <c r="L6" s="3481">
        <f t="shared" si="0"/>
        <v>1157</v>
      </c>
      <c r="M6" s="3481">
        <v>0</v>
      </c>
      <c r="N6" s="3481" t="s">
        <v>3220</v>
      </c>
    </row>
    <row r="7" spans="1:14" s="2963" customFormat="1" ht="24" customHeight="1">
      <c r="A7" s="3481" t="s">
        <v>3221</v>
      </c>
      <c r="B7" s="3481" t="s">
        <v>3201</v>
      </c>
      <c r="C7" s="3481" t="s">
        <v>3202</v>
      </c>
      <c r="D7" s="3481">
        <v>2709</v>
      </c>
      <c r="E7" s="3481">
        <v>5959.8</v>
      </c>
      <c r="F7" s="3481" t="s">
        <v>3208</v>
      </c>
      <c r="G7" s="3481" t="s">
        <v>3204</v>
      </c>
      <c r="H7" s="3481" t="s">
        <v>3222</v>
      </c>
      <c r="I7" s="3481">
        <v>1460.47</v>
      </c>
      <c r="J7" s="3481">
        <v>1460.47</v>
      </c>
      <c r="K7" s="3481">
        <v>2450.5300000000002</v>
      </c>
      <c r="L7" s="3481">
        <f t="shared" si="0"/>
        <v>5391</v>
      </c>
      <c r="M7" s="3481">
        <v>0</v>
      </c>
      <c r="N7" s="3481" t="s">
        <v>3213</v>
      </c>
    </row>
    <row r="8" spans="1:14" s="2963" customFormat="1" ht="27" customHeight="1">
      <c r="A8" s="3481" t="s">
        <v>3223</v>
      </c>
      <c r="B8" s="3481" t="s">
        <v>3201</v>
      </c>
      <c r="C8" s="3481" t="s">
        <v>3202</v>
      </c>
      <c r="D8" s="3481">
        <v>10402</v>
      </c>
      <c r="E8" s="3481">
        <v>26005</v>
      </c>
      <c r="F8" s="3481" t="s">
        <v>3224</v>
      </c>
      <c r="G8" s="3481" t="s">
        <v>3204</v>
      </c>
      <c r="H8" s="3481" t="s">
        <v>3225</v>
      </c>
      <c r="I8" s="3481">
        <v>2685</v>
      </c>
      <c r="J8" s="3481">
        <v>2685</v>
      </c>
      <c r="K8" s="3481">
        <v>1032.49</v>
      </c>
      <c r="L8" s="3481">
        <f t="shared" si="0"/>
        <v>2581</v>
      </c>
      <c r="M8" s="3481">
        <v>0</v>
      </c>
      <c r="N8" s="3481" t="s">
        <v>3226</v>
      </c>
    </row>
    <row r="9" spans="1:14" s="3484" customFormat="1" ht="30.75" customHeight="1">
      <c r="A9" s="3483" t="s">
        <v>3227</v>
      </c>
      <c r="B9" s="3483" t="s">
        <v>3201</v>
      </c>
      <c r="C9" s="3483" t="s">
        <v>3202</v>
      </c>
      <c r="D9" s="3483">
        <v>15343</v>
      </c>
      <c r="E9" s="3483">
        <v>46029</v>
      </c>
      <c r="F9" s="3483" t="s">
        <v>3228</v>
      </c>
      <c r="G9" s="3483" t="s">
        <v>3204</v>
      </c>
      <c r="H9" s="3483" t="s">
        <v>3229</v>
      </c>
      <c r="I9" s="3483">
        <v>2540</v>
      </c>
      <c r="J9" s="3483">
        <v>9365</v>
      </c>
      <c r="K9" s="3483">
        <v>2034.58</v>
      </c>
      <c r="L9" s="3483">
        <f t="shared" si="0"/>
        <v>6104</v>
      </c>
      <c r="M9" s="3483">
        <v>268.7</v>
      </c>
      <c r="N9" s="3483" t="s">
        <v>3230</v>
      </c>
    </row>
    <row r="10" spans="1:14" s="2963" customFormat="1" ht="27.75" customHeight="1">
      <c r="A10" s="3481" t="s">
        <v>3231</v>
      </c>
      <c r="B10" s="3481" t="s">
        <v>3201</v>
      </c>
      <c r="C10" s="3481" t="s">
        <v>3202</v>
      </c>
      <c r="D10" s="3481">
        <v>21715</v>
      </c>
      <c r="E10" s="3481">
        <v>54287.5</v>
      </c>
      <c r="F10" s="3481" t="s">
        <v>3232</v>
      </c>
      <c r="G10" s="3481" t="s">
        <v>3204</v>
      </c>
      <c r="H10" s="3481" t="s">
        <v>3233</v>
      </c>
      <c r="I10" s="3481">
        <v>2300</v>
      </c>
      <c r="J10" s="3481">
        <v>2300</v>
      </c>
      <c r="K10" s="3481">
        <v>423.67</v>
      </c>
      <c r="L10" s="3481">
        <f t="shared" si="0"/>
        <v>1059</v>
      </c>
      <c r="M10" s="3481">
        <v>0</v>
      </c>
      <c r="N10" s="3481" t="s">
        <v>3234</v>
      </c>
    </row>
    <row r="11" spans="1:14" s="2963" customFormat="1" ht="26.25" customHeight="1">
      <c r="A11" s="3481" t="s">
        <v>3211</v>
      </c>
      <c r="B11" s="3481" t="s">
        <v>3201</v>
      </c>
      <c r="C11" s="3481" t="s">
        <v>3202</v>
      </c>
      <c r="D11" s="3481">
        <v>6520</v>
      </c>
      <c r="E11" s="3481">
        <v>14344</v>
      </c>
      <c r="F11" s="3481" t="s">
        <v>2820</v>
      </c>
      <c r="G11" s="3481" t="s">
        <v>3204</v>
      </c>
      <c r="H11" s="3481" t="s">
        <v>3233</v>
      </c>
      <c r="I11" s="3481">
        <v>1122</v>
      </c>
      <c r="J11" s="3481">
        <v>1122</v>
      </c>
      <c r="K11" s="3481">
        <v>782.21</v>
      </c>
      <c r="L11" s="3481">
        <f t="shared" si="0"/>
        <v>1721</v>
      </c>
      <c r="M11" s="3481">
        <v>0</v>
      </c>
      <c r="N11" s="3481" t="s">
        <v>3235</v>
      </c>
    </row>
    <row r="12" spans="1:14" s="2963" customFormat="1" ht="22.5" customHeight="1">
      <c r="A12" s="3481" t="s">
        <v>3221</v>
      </c>
      <c r="B12" s="3481" t="s">
        <v>3201</v>
      </c>
      <c r="C12" s="3481" t="s">
        <v>3202</v>
      </c>
      <c r="D12" s="3481">
        <v>2974.6</v>
      </c>
      <c r="E12" s="3481">
        <v>6544.12</v>
      </c>
      <c r="F12" s="3481" t="s">
        <v>3208</v>
      </c>
      <c r="G12" s="3481" t="s">
        <v>3204</v>
      </c>
      <c r="H12" s="3481" t="s">
        <v>3236</v>
      </c>
      <c r="I12" s="3481">
        <v>522</v>
      </c>
      <c r="J12" s="3481">
        <v>522</v>
      </c>
      <c r="K12" s="3481">
        <v>797.65</v>
      </c>
      <c r="L12" s="3481">
        <f t="shared" si="0"/>
        <v>1755</v>
      </c>
      <c r="M12" s="3481">
        <v>0</v>
      </c>
      <c r="N12" s="3481" t="s">
        <v>3235</v>
      </c>
    </row>
    <row r="13" spans="1:14" s="2963" customFormat="1" ht="23.25" customHeight="1">
      <c r="A13" s="3481" t="s">
        <v>3227</v>
      </c>
      <c r="B13" s="3481" t="s">
        <v>3201</v>
      </c>
      <c r="C13" s="3481" t="s">
        <v>3202</v>
      </c>
      <c r="D13" s="3481">
        <v>20768</v>
      </c>
      <c r="E13" s="3481">
        <v>62304</v>
      </c>
      <c r="F13" s="3481" t="s">
        <v>3228</v>
      </c>
      <c r="G13" s="3481" t="s">
        <v>3204</v>
      </c>
      <c r="H13" s="3481" t="s">
        <v>3237</v>
      </c>
      <c r="I13" s="3481">
        <v>3536</v>
      </c>
      <c r="J13" s="3481">
        <v>5586</v>
      </c>
      <c r="K13" s="3481">
        <v>896.57</v>
      </c>
      <c r="L13" s="3481">
        <f t="shared" si="0"/>
        <v>2690</v>
      </c>
      <c r="M13" s="3481">
        <v>57.98</v>
      </c>
      <c r="N13" s="3481" t="s">
        <v>3238</v>
      </c>
    </row>
    <row r="14" spans="1:14" s="2963" customFormat="1" ht="22.5" customHeight="1">
      <c r="A14" s="3481" t="s">
        <v>3239</v>
      </c>
      <c r="B14" s="3481" t="s">
        <v>3201</v>
      </c>
      <c r="C14" s="3481" t="s">
        <v>3202</v>
      </c>
      <c r="D14" s="3481">
        <v>2986</v>
      </c>
      <c r="E14" s="3481">
        <v>8360.7999999999993</v>
      </c>
      <c r="F14" s="3481" t="s">
        <v>3240</v>
      </c>
      <c r="G14" s="3481" t="s">
        <v>3204</v>
      </c>
      <c r="H14" s="3481" t="s">
        <v>3241</v>
      </c>
      <c r="I14" s="3481">
        <v>559.04999999999995</v>
      </c>
      <c r="J14" s="3481">
        <v>559.04999999999995</v>
      </c>
      <c r="K14" s="3481">
        <v>668.66</v>
      </c>
      <c r="L14" s="3481">
        <f t="shared" si="0"/>
        <v>1872</v>
      </c>
      <c r="M14" s="3481">
        <v>0</v>
      </c>
      <c r="N14" s="3481" t="s">
        <v>3242</v>
      </c>
    </row>
    <row r="15" spans="1:14" s="2963" customFormat="1" ht="36.75" customHeight="1">
      <c r="A15" s="3481" t="s">
        <v>3243</v>
      </c>
      <c r="B15" s="3481" t="s">
        <v>3201</v>
      </c>
      <c r="C15" s="3481" t="s">
        <v>3202</v>
      </c>
      <c r="D15" s="3481">
        <v>14850</v>
      </c>
      <c r="E15" s="3481">
        <v>56430</v>
      </c>
      <c r="F15" s="3481" t="s">
        <v>3244</v>
      </c>
      <c r="G15" s="3481" t="s">
        <v>3204</v>
      </c>
      <c r="H15" s="3481" t="s">
        <v>3245</v>
      </c>
      <c r="I15" s="3481">
        <v>3265</v>
      </c>
      <c r="J15" s="3481">
        <v>3265</v>
      </c>
      <c r="K15" s="3481">
        <v>578.59</v>
      </c>
      <c r="L15" s="3481">
        <f t="shared" si="0"/>
        <v>2199</v>
      </c>
      <c r="M15" s="3481">
        <v>0</v>
      </c>
      <c r="N15" s="3481" t="s">
        <v>3246</v>
      </c>
    </row>
    <row r="16" spans="1:14" s="2963" customFormat="1" ht="24" customHeight="1">
      <c r="A16" s="3481" t="s">
        <v>3221</v>
      </c>
      <c r="B16" s="3481" t="s">
        <v>3201</v>
      </c>
      <c r="C16" s="3481" t="s">
        <v>3202</v>
      </c>
      <c r="D16" s="3481">
        <v>5480</v>
      </c>
      <c r="E16" s="3481">
        <v>10960</v>
      </c>
      <c r="F16" s="3481" t="s">
        <v>3247</v>
      </c>
      <c r="G16" s="3481" t="s">
        <v>3204</v>
      </c>
      <c r="H16" s="3481" t="s">
        <v>3248</v>
      </c>
      <c r="I16" s="3481">
        <v>1472.68</v>
      </c>
      <c r="J16" s="3481">
        <v>1472.68</v>
      </c>
      <c r="K16" s="3481">
        <v>1343.69</v>
      </c>
      <c r="L16" s="3481">
        <f t="shared" si="0"/>
        <v>2687</v>
      </c>
      <c r="M16" s="3481">
        <v>0</v>
      </c>
      <c r="N16" s="3481" t="s">
        <v>3213</v>
      </c>
    </row>
    <row r="17" spans="1:14" s="2963" customFormat="1" ht="32.25" customHeight="1">
      <c r="A17" s="3481" t="s">
        <v>3249</v>
      </c>
      <c r="B17" s="3481" t="s">
        <v>3201</v>
      </c>
      <c r="C17" s="3481" t="s">
        <v>3202</v>
      </c>
      <c r="D17" s="3481">
        <v>4668</v>
      </c>
      <c r="E17" s="3481">
        <v>5005</v>
      </c>
      <c r="F17" s="3481" t="s">
        <v>3250</v>
      </c>
      <c r="G17" s="3481" t="s">
        <v>3204</v>
      </c>
      <c r="H17" s="3481" t="s">
        <v>3251</v>
      </c>
      <c r="I17" s="3481">
        <v>1430</v>
      </c>
      <c r="J17" s="3481">
        <v>1430</v>
      </c>
      <c r="K17" s="3481">
        <v>2857.13</v>
      </c>
      <c r="L17" s="3481">
        <f t="shared" si="0"/>
        <v>3063</v>
      </c>
      <c r="M17" s="3481">
        <v>0</v>
      </c>
      <c r="N17" s="3481" t="s">
        <v>3252</v>
      </c>
    </row>
    <row r="18" spans="1:14" s="2963" customFormat="1" ht="21.75" customHeight="1">
      <c r="A18" s="3481" t="s">
        <v>3253</v>
      </c>
      <c r="B18" s="3481" t="s">
        <v>3201</v>
      </c>
      <c r="C18" s="3481" t="s">
        <v>3202</v>
      </c>
      <c r="D18" s="3481">
        <v>3320</v>
      </c>
      <c r="E18" s="3481">
        <v>9960</v>
      </c>
      <c r="F18" s="3481" t="s">
        <v>3228</v>
      </c>
      <c r="G18" s="3481" t="s">
        <v>3204</v>
      </c>
      <c r="H18" s="3481" t="s">
        <v>3254</v>
      </c>
      <c r="I18" s="3481">
        <v>495.56</v>
      </c>
      <c r="J18" s="3481">
        <v>495.56</v>
      </c>
      <c r="K18" s="3481">
        <v>497.55</v>
      </c>
      <c r="L18" s="3481">
        <f t="shared" si="0"/>
        <v>1493</v>
      </c>
      <c r="M18" s="3481">
        <v>0</v>
      </c>
      <c r="N18" s="3481" t="s">
        <v>3255</v>
      </c>
    </row>
    <row r="19" spans="1:14" s="2963" customFormat="1" ht="27.75" customHeight="1">
      <c r="A19" s="3481" t="s">
        <v>3256</v>
      </c>
      <c r="B19" s="3481" t="s">
        <v>3201</v>
      </c>
      <c r="C19" s="3481" t="s">
        <v>3202</v>
      </c>
      <c r="D19" s="3481">
        <v>5192</v>
      </c>
      <c r="E19" s="3481">
        <v>21287.200000000001</v>
      </c>
      <c r="F19" s="3481" t="s">
        <v>3257</v>
      </c>
      <c r="G19" s="3481" t="s">
        <v>3204</v>
      </c>
      <c r="H19" s="3481" t="s">
        <v>3258</v>
      </c>
      <c r="I19" s="3481">
        <v>1235</v>
      </c>
      <c r="J19" s="3481">
        <v>1235</v>
      </c>
      <c r="K19" s="3481">
        <v>580.15</v>
      </c>
      <c r="L19" s="3481">
        <f t="shared" si="0"/>
        <v>2379</v>
      </c>
      <c r="M19" s="3481">
        <v>0</v>
      </c>
      <c r="N19" s="3481" t="s">
        <v>3259</v>
      </c>
    </row>
    <row r="20" spans="1:14" s="2963" customFormat="1" ht="24.75" customHeight="1">
      <c r="A20" s="3481" t="s">
        <v>3260</v>
      </c>
      <c r="B20" s="3481" t="s">
        <v>3201</v>
      </c>
      <c r="C20" s="3481" t="s">
        <v>3202</v>
      </c>
      <c r="D20" s="3481">
        <v>7816</v>
      </c>
      <c r="E20" s="3481">
        <v>16413.599999999999</v>
      </c>
      <c r="F20" s="3481" t="s">
        <v>3261</v>
      </c>
      <c r="G20" s="3481" t="s">
        <v>3204</v>
      </c>
      <c r="H20" s="3481" t="s">
        <v>3258</v>
      </c>
      <c r="I20" s="3481">
        <v>985</v>
      </c>
      <c r="J20" s="3481">
        <v>985</v>
      </c>
      <c r="K20" s="3481">
        <v>600.11</v>
      </c>
      <c r="L20" s="3481">
        <f t="shared" si="0"/>
        <v>1260</v>
      </c>
      <c r="M20" s="3481">
        <v>0</v>
      </c>
      <c r="N20" s="3481" t="s">
        <v>3262</v>
      </c>
    </row>
    <row r="21" spans="1:14" s="2963" customFormat="1" ht="24" customHeight="1">
      <c r="A21" s="3481" t="s">
        <v>3263</v>
      </c>
      <c r="B21" s="3481" t="s">
        <v>3201</v>
      </c>
      <c r="C21" s="3481" t="s">
        <v>3202</v>
      </c>
      <c r="D21" s="3481">
        <v>3056</v>
      </c>
      <c r="E21" s="3481">
        <v>6112</v>
      </c>
      <c r="F21" s="3481" t="s">
        <v>3247</v>
      </c>
      <c r="G21" s="3481" t="s">
        <v>3204</v>
      </c>
      <c r="H21" s="3481" t="s">
        <v>3264</v>
      </c>
      <c r="I21" s="3481">
        <v>281</v>
      </c>
      <c r="J21" s="3481">
        <v>393</v>
      </c>
      <c r="K21" s="3481">
        <v>643</v>
      </c>
      <c r="L21" s="3481">
        <f t="shared" si="0"/>
        <v>1286</v>
      </c>
      <c r="M21" s="3481">
        <v>39.86</v>
      </c>
      <c r="N21" s="3481" t="s">
        <v>3265</v>
      </c>
    </row>
    <row r="22" spans="1:14" s="2963" customFormat="1" ht="33" customHeight="1">
      <c r="A22" s="3481" t="s">
        <v>3266</v>
      </c>
      <c r="B22" s="3481" t="s">
        <v>3201</v>
      </c>
      <c r="C22" s="3481" t="s">
        <v>3202</v>
      </c>
      <c r="D22" s="3481">
        <v>9174</v>
      </c>
      <c r="E22" s="3481">
        <v>22935</v>
      </c>
      <c r="F22" s="3481" t="s">
        <v>3232</v>
      </c>
      <c r="G22" s="3481" t="s">
        <v>3204</v>
      </c>
      <c r="H22" s="3481" t="s">
        <v>3267</v>
      </c>
      <c r="I22" s="3481">
        <v>1112</v>
      </c>
      <c r="J22" s="3481">
        <v>1112</v>
      </c>
      <c r="K22" s="3481">
        <v>484.85</v>
      </c>
      <c r="L22" s="3481">
        <f t="shared" si="0"/>
        <v>1212</v>
      </c>
      <c r="M22" s="3481">
        <v>0</v>
      </c>
      <c r="N22" s="3481" t="s">
        <v>3268</v>
      </c>
    </row>
    <row r="23" spans="1:14" s="2963" customFormat="1" ht="28.5" customHeight="1">
      <c r="A23" s="3481" t="s">
        <v>3269</v>
      </c>
      <c r="B23" s="3481" t="s">
        <v>3201</v>
      </c>
      <c r="C23" s="3481" t="s">
        <v>3202</v>
      </c>
      <c r="D23" s="3481">
        <v>4798</v>
      </c>
      <c r="E23" s="3481">
        <v>28788</v>
      </c>
      <c r="F23" s="3481" t="s">
        <v>3270</v>
      </c>
      <c r="G23" s="3481" t="s">
        <v>3204</v>
      </c>
      <c r="H23" s="3481" t="s">
        <v>3267</v>
      </c>
      <c r="I23" s="3481">
        <v>2156.3000000000002</v>
      </c>
      <c r="J23" s="3481">
        <v>2156.3000000000002</v>
      </c>
      <c r="K23" s="3481">
        <v>749.02</v>
      </c>
      <c r="L23" s="3481">
        <f t="shared" si="0"/>
        <v>4494</v>
      </c>
      <c r="M23" s="3481">
        <v>0</v>
      </c>
      <c r="N23" s="3481" t="s">
        <v>3271</v>
      </c>
    </row>
    <row r="24" spans="1:14" s="2963" customFormat="1" ht="24.75" customHeight="1">
      <c r="A24" s="3481" t="s">
        <v>3272</v>
      </c>
      <c r="B24" s="3481" t="s">
        <v>3201</v>
      </c>
      <c r="C24" s="3481" t="s">
        <v>3273</v>
      </c>
      <c r="D24" s="3481">
        <v>37455</v>
      </c>
      <c r="E24" s="3481">
        <v>37455</v>
      </c>
      <c r="F24" s="3481" t="s">
        <v>3232</v>
      </c>
      <c r="G24" s="3481" t="s">
        <v>3204</v>
      </c>
      <c r="H24" s="3481" t="s">
        <v>3274</v>
      </c>
      <c r="I24" s="3481">
        <v>7900</v>
      </c>
      <c r="J24" s="3481">
        <v>7900</v>
      </c>
      <c r="K24" s="3481">
        <v>2109.19</v>
      </c>
      <c r="L24" s="3481">
        <f t="shared" si="0"/>
        <v>2109</v>
      </c>
      <c r="M24" s="3481">
        <v>0</v>
      </c>
      <c r="N24" s="3481" t="s">
        <v>3275</v>
      </c>
    </row>
    <row r="25" spans="1:14" s="2963" customFormat="1" ht="30" customHeight="1">
      <c r="A25" s="3481" t="s">
        <v>3272</v>
      </c>
      <c r="B25" s="3481" t="s">
        <v>3201</v>
      </c>
      <c r="C25" s="3481" t="s">
        <v>3273</v>
      </c>
      <c r="D25" s="3481">
        <v>52650</v>
      </c>
      <c r="E25" s="3481">
        <v>131625</v>
      </c>
      <c r="F25" s="3481" t="s">
        <v>3232</v>
      </c>
      <c r="G25" s="3481" t="s">
        <v>3204</v>
      </c>
      <c r="H25" s="3481" t="s">
        <v>3274</v>
      </c>
      <c r="I25" s="3481">
        <v>11100</v>
      </c>
      <c r="J25" s="3481">
        <v>11100</v>
      </c>
      <c r="K25" s="3481">
        <v>843.29</v>
      </c>
      <c r="L25" s="3481">
        <f t="shared" si="0"/>
        <v>2108</v>
      </c>
      <c r="M25" s="3481">
        <v>0</v>
      </c>
      <c r="N25" s="3481" t="s">
        <v>3275</v>
      </c>
    </row>
    <row r="26" spans="1:14" s="2963" customFormat="1" ht="38.25" customHeight="1">
      <c r="A26" s="3481" t="s">
        <v>3272</v>
      </c>
      <c r="B26" s="3481" t="s">
        <v>3201</v>
      </c>
      <c r="C26" s="3481" t="s">
        <v>3273</v>
      </c>
      <c r="D26" s="3481">
        <v>45541</v>
      </c>
      <c r="E26" s="3481">
        <v>113852.5</v>
      </c>
      <c r="F26" s="3481" t="s">
        <v>3232</v>
      </c>
      <c r="G26" s="3481" t="s">
        <v>3204</v>
      </c>
      <c r="H26" s="3481" t="s">
        <v>3274</v>
      </c>
      <c r="I26" s="3481">
        <v>9600</v>
      </c>
      <c r="J26" s="3481">
        <v>9600</v>
      </c>
      <c r="K26" s="3481">
        <v>843.2</v>
      </c>
      <c r="L26" s="3481">
        <f t="shared" si="0"/>
        <v>2108</v>
      </c>
      <c r="M26" s="3481">
        <v>0</v>
      </c>
      <c r="N26" s="3481" t="s">
        <v>3275</v>
      </c>
    </row>
    <row r="27" spans="1:14" s="2963" customFormat="1" ht="34.5" customHeight="1">
      <c r="A27" s="3481" t="s">
        <v>3272</v>
      </c>
      <c r="B27" s="3481" t="s">
        <v>3201</v>
      </c>
      <c r="C27" s="3481" t="s">
        <v>3273</v>
      </c>
      <c r="D27" s="3481">
        <v>41078</v>
      </c>
      <c r="E27" s="3481">
        <v>102695</v>
      </c>
      <c r="F27" s="3481" t="s">
        <v>3232</v>
      </c>
      <c r="G27" s="3481" t="s">
        <v>3204</v>
      </c>
      <c r="H27" s="3481" t="s">
        <v>3274</v>
      </c>
      <c r="I27" s="3481">
        <v>8660</v>
      </c>
      <c r="J27" s="3481">
        <v>8660</v>
      </c>
      <c r="K27" s="3481">
        <v>843.26</v>
      </c>
      <c r="L27" s="3481">
        <f t="shared" si="0"/>
        <v>2108</v>
      </c>
      <c r="M27" s="3481">
        <v>0</v>
      </c>
      <c r="N27" s="3481" t="s">
        <v>3275</v>
      </c>
    </row>
    <row r="28" spans="1:14" s="2963" customFormat="1" ht="37.5" customHeight="1">
      <c r="A28" s="3481" t="s">
        <v>3276</v>
      </c>
      <c r="B28" s="3481" t="s">
        <v>3201</v>
      </c>
      <c r="C28" s="3481" t="s">
        <v>3202</v>
      </c>
      <c r="D28" s="3481">
        <v>43266</v>
      </c>
      <c r="E28" s="3481">
        <v>129798</v>
      </c>
      <c r="F28" s="3481" t="s">
        <v>3228</v>
      </c>
      <c r="G28" s="3481" t="s">
        <v>3204</v>
      </c>
      <c r="H28" s="3481" t="s">
        <v>3277</v>
      </c>
      <c r="I28" s="3481">
        <v>9360</v>
      </c>
      <c r="J28" s="3481">
        <v>9360</v>
      </c>
      <c r="K28" s="3481">
        <v>721.12</v>
      </c>
      <c r="L28" s="3481">
        <f t="shared" si="0"/>
        <v>2163</v>
      </c>
      <c r="M28" s="3481">
        <v>0</v>
      </c>
      <c r="N28" s="3481" t="s">
        <v>3278</v>
      </c>
    </row>
    <row r="29" spans="1:14" s="3486" customFormat="1" ht="30.75" customHeight="1">
      <c r="A29" s="3485" t="s">
        <v>3279</v>
      </c>
      <c r="B29" s="3485" t="s">
        <v>3201</v>
      </c>
      <c r="C29" s="3485" t="s">
        <v>3202</v>
      </c>
      <c r="D29" s="3485">
        <v>9461</v>
      </c>
      <c r="E29" s="3485">
        <v>40682.300000000003</v>
      </c>
      <c r="F29" s="3485" t="s">
        <v>3280</v>
      </c>
      <c r="G29" s="3485" t="s">
        <v>3204</v>
      </c>
      <c r="H29" s="3485" t="s">
        <v>3281</v>
      </c>
      <c r="I29" s="3485">
        <v>1970</v>
      </c>
      <c r="J29" s="3485">
        <v>2030</v>
      </c>
      <c r="K29" s="3485">
        <v>498.99</v>
      </c>
      <c r="L29" s="3485">
        <f t="shared" si="0"/>
        <v>2146</v>
      </c>
      <c r="M29" s="3485">
        <v>3.05</v>
      </c>
      <c r="N29" s="3485" t="s">
        <v>3282</v>
      </c>
    </row>
    <row r="30" spans="1:14" s="2963" customFormat="1" ht="26.25" customHeight="1">
      <c r="A30" s="3481" t="s">
        <v>3260</v>
      </c>
      <c r="B30" s="3481" t="s">
        <v>3201</v>
      </c>
      <c r="C30" s="3481" t="s">
        <v>3202</v>
      </c>
      <c r="D30" s="3481">
        <v>26249</v>
      </c>
      <c r="E30" s="3481">
        <v>65622.5</v>
      </c>
      <c r="F30" s="3481" t="s">
        <v>3224</v>
      </c>
      <c r="G30" s="3481" t="s">
        <v>3204</v>
      </c>
      <c r="H30" s="3481" t="s">
        <v>3283</v>
      </c>
      <c r="I30" s="3481">
        <v>3432</v>
      </c>
      <c r="J30" s="3481">
        <v>3432</v>
      </c>
      <c r="K30" s="3481">
        <v>522.99</v>
      </c>
      <c r="L30" s="3481">
        <f t="shared" si="0"/>
        <v>1307</v>
      </c>
      <c r="M30" s="3481">
        <v>0</v>
      </c>
      <c r="N30" s="3481" t="s">
        <v>3284</v>
      </c>
    </row>
    <row r="31" spans="1:14" s="2963" customFormat="1" ht="30.75" customHeight="1">
      <c r="A31" s="3481" t="s">
        <v>3260</v>
      </c>
      <c r="B31" s="3481" t="s">
        <v>3201</v>
      </c>
      <c r="C31" s="3481" t="s">
        <v>3202</v>
      </c>
      <c r="D31" s="3481">
        <v>18824</v>
      </c>
      <c r="E31" s="3481">
        <v>47060</v>
      </c>
      <c r="F31" s="3481" t="s">
        <v>3224</v>
      </c>
      <c r="G31" s="3481" t="s">
        <v>3204</v>
      </c>
      <c r="H31" s="3481" t="s">
        <v>3285</v>
      </c>
      <c r="I31" s="3481">
        <v>2465</v>
      </c>
      <c r="J31" s="3481">
        <v>2465</v>
      </c>
      <c r="K31" s="3481">
        <v>523.79</v>
      </c>
      <c r="L31" s="3481">
        <f t="shared" si="0"/>
        <v>1309</v>
      </c>
      <c r="M31" s="3481">
        <v>0</v>
      </c>
      <c r="N31" s="3481" t="s">
        <v>3286</v>
      </c>
    </row>
    <row r="32" spans="1:14" s="2963" customFormat="1" ht="40.5">
      <c r="A32" s="3481" t="s">
        <v>3287</v>
      </c>
      <c r="B32" s="3481" t="s">
        <v>3201</v>
      </c>
      <c r="C32" s="3481" t="s">
        <v>3202</v>
      </c>
      <c r="D32" s="3481">
        <v>15921</v>
      </c>
      <c r="E32" s="3481">
        <v>28657.8</v>
      </c>
      <c r="F32" s="3481" t="s">
        <v>3288</v>
      </c>
      <c r="G32" s="3481" t="s">
        <v>3204</v>
      </c>
      <c r="H32" s="3481" t="s">
        <v>3289</v>
      </c>
      <c r="I32" s="3481">
        <v>1595</v>
      </c>
      <c r="J32" s="3481">
        <v>1595</v>
      </c>
      <c r="K32" s="3481">
        <v>556.57000000000005</v>
      </c>
      <c r="L32" s="3481">
        <f t="shared" si="0"/>
        <v>1002</v>
      </c>
      <c r="M32" s="3481">
        <v>0</v>
      </c>
      <c r="N32" s="3481" t="s">
        <v>3220</v>
      </c>
    </row>
    <row r="33" spans="1:14" s="2963" customFormat="1" ht="40.5">
      <c r="A33" s="3481" t="s">
        <v>3290</v>
      </c>
      <c r="B33" s="3481" t="s">
        <v>3201</v>
      </c>
      <c r="C33" s="3481" t="s">
        <v>3202</v>
      </c>
      <c r="D33" s="3481">
        <v>47960</v>
      </c>
      <c r="E33" s="3481">
        <v>95920</v>
      </c>
      <c r="F33" s="3481" t="s">
        <v>3291</v>
      </c>
      <c r="G33" s="3481" t="s">
        <v>3204</v>
      </c>
      <c r="H33" s="3481" t="s">
        <v>3292</v>
      </c>
      <c r="I33" s="3481">
        <v>4440</v>
      </c>
      <c r="J33" s="3481">
        <v>4440</v>
      </c>
      <c r="K33" s="3481">
        <v>462.88</v>
      </c>
      <c r="L33" s="3481">
        <f t="shared" si="0"/>
        <v>926</v>
      </c>
      <c r="M33" s="3481">
        <v>0</v>
      </c>
      <c r="N33" s="3481" t="s">
        <v>3293</v>
      </c>
    </row>
    <row r="34" spans="1:14" s="2963" customFormat="1" ht="40.5">
      <c r="A34" s="3481" t="s">
        <v>3294</v>
      </c>
      <c r="B34" s="3481" t="s">
        <v>3201</v>
      </c>
      <c r="C34" s="3481" t="s">
        <v>3202</v>
      </c>
      <c r="D34" s="3481">
        <v>3250</v>
      </c>
      <c r="E34" s="3481">
        <v>8125</v>
      </c>
      <c r="F34" s="3481" t="s">
        <v>3224</v>
      </c>
      <c r="G34" s="3481" t="s">
        <v>3204</v>
      </c>
      <c r="H34" s="3481" t="s">
        <v>3292</v>
      </c>
      <c r="I34" s="3481">
        <v>402</v>
      </c>
      <c r="J34" s="3481">
        <v>402</v>
      </c>
      <c r="K34" s="3481">
        <v>494.76</v>
      </c>
      <c r="L34" s="3481">
        <f t="shared" si="0"/>
        <v>1237</v>
      </c>
      <c r="M34" s="3481">
        <v>0</v>
      </c>
      <c r="N34" s="3481" t="s">
        <v>3295</v>
      </c>
    </row>
    <row r="35" spans="1:14" s="2963" customFormat="1" ht="40.5">
      <c r="A35" s="3481" t="s">
        <v>3296</v>
      </c>
      <c r="B35" s="3481" t="s">
        <v>3201</v>
      </c>
      <c r="C35" s="3481" t="s">
        <v>3202</v>
      </c>
      <c r="D35" s="3481">
        <v>29046</v>
      </c>
      <c r="E35" s="3481">
        <v>116184</v>
      </c>
      <c r="F35" s="3481" t="s">
        <v>3297</v>
      </c>
      <c r="G35" s="3481" t="s">
        <v>3204</v>
      </c>
      <c r="H35" s="3481" t="s">
        <v>3298</v>
      </c>
      <c r="I35" s="3481">
        <v>6931</v>
      </c>
      <c r="J35" s="3481">
        <v>6931</v>
      </c>
      <c r="K35" s="3481">
        <v>596.54</v>
      </c>
      <c r="L35" s="3481">
        <f t="shared" si="0"/>
        <v>2386</v>
      </c>
      <c r="M35" s="3481">
        <v>0</v>
      </c>
      <c r="N35" s="3481" t="s">
        <v>3299</v>
      </c>
    </row>
    <row r="36" spans="1:14" s="2963" customFormat="1" ht="40.5">
      <c r="A36" s="3481" t="s">
        <v>3300</v>
      </c>
      <c r="B36" s="3481" t="s">
        <v>3201</v>
      </c>
      <c r="C36" s="3481" t="s">
        <v>3202</v>
      </c>
      <c r="D36" s="3481">
        <v>13632</v>
      </c>
      <c r="E36" s="3481">
        <v>27264</v>
      </c>
      <c r="F36" s="3481" t="s">
        <v>3291</v>
      </c>
      <c r="G36" s="3481" t="s">
        <v>3204</v>
      </c>
      <c r="H36" s="3481" t="s">
        <v>3301</v>
      </c>
      <c r="I36" s="3481">
        <v>1210</v>
      </c>
      <c r="J36" s="3481">
        <v>1210</v>
      </c>
      <c r="K36" s="3481">
        <v>443.81</v>
      </c>
      <c r="L36" s="3481">
        <f t="shared" si="0"/>
        <v>888</v>
      </c>
      <c r="M36" s="3481">
        <v>0</v>
      </c>
      <c r="N36" s="3481" t="s">
        <v>3302</v>
      </c>
    </row>
    <row r="37" spans="1:14" s="2963" customFormat="1" ht="40.5">
      <c r="A37" s="3481" t="s">
        <v>3300</v>
      </c>
      <c r="B37" s="3481" t="s">
        <v>3201</v>
      </c>
      <c r="C37" s="3481" t="s">
        <v>3202</v>
      </c>
      <c r="D37" s="3481">
        <v>12200</v>
      </c>
      <c r="E37" s="3481">
        <v>24400</v>
      </c>
      <c r="F37" s="3481" t="s">
        <v>3291</v>
      </c>
      <c r="G37" s="3481" t="s">
        <v>3204</v>
      </c>
      <c r="H37" s="3481" t="s">
        <v>3303</v>
      </c>
      <c r="I37" s="3481">
        <v>1160</v>
      </c>
      <c r="J37" s="3481">
        <v>1160</v>
      </c>
      <c r="K37" s="3481">
        <v>475.41</v>
      </c>
      <c r="L37" s="3481">
        <f t="shared" si="0"/>
        <v>951</v>
      </c>
      <c r="M37" s="3481">
        <v>0</v>
      </c>
      <c r="N37" s="3481" t="s">
        <v>3302</v>
      </c>
    </row>
    <row r="38" spans="1:14" s="2963" customFormat="1" ht="40.5">
      <c r="A38" s="3481" t="s">
        <v>3300</v>
      </c>
      <c r="B38" s="3481" t="s">
        <v>3201</v>
      </c>
      <c r="C38" s="3481" t="s">
        <v>3202</v>
      </c>
      <c r="D38" s="3481">
        <v>9778</v>
      </c>
      <c r="E38" s="3481">
        <v>19556</v>
      </c>
      <c r="F38" s="3481" t="s">
        <v>3291</v>
      </c>
      <c r="G38" s="3481" t="s">
        <v>3204</v>
      </c>
      <c r="H38" s="3481" t="s">
        <v>3303</v>
      </c>
      <c r="I38" s="3481">
        <v>928</v>
      </c>
      <c r="J38" s="3481">
        <v>928</v>
      </c>
      <c r="K38" s="3481">
        <v>474.52</v>
      </c>
      <c r="L38" s="3481">
        <f t="shared" si="0"/>
        <v>949</v>
      </c>
      <c r="M38" s="3481">
        <v>0</v>
      </c>
      <c r="N38" s="3481" t="s">
        <v>3302</v>
      </c>
    </row>
    <row r="39" spans="1:14" s="2963" customFormat="1" ht="40.5">
      <c r="A39" s="3481" t="s">
        <v>3304</v>
      </c>
      <c r="B39" s="3481" t="s">
        <v>3201</v>
      </c>
      <c r="C39" s="3481" t="s">
        <v>3202</v>
      </c>
      <c r="D39" s="3481">
        <v>25950</v>
      </c>
      <c r="E39" s="3481">
        <v>72660</v>
      </c>
      <c r="F39" s="3481" t="s">
        <v>3305</v>
      </c>
      <c r="G39" s="3481" t="s">
        <v>3204</v>
      </c>
      <c r="H39" s="3481" t="s">
        <v>3306</v>
      </c>
      <c r="I39" s="3481">
        <v>5705</v>
      </c>
      <c r="J39" s="3481">
        <v>5705</v>
      </c>
      <c r="K39" s="3481">
        <v>785.15</v>
      </c>
      <c r="L39" s="3481">
        <f t="shared" si="0"/>
        <v>2198</v>
      </c>
      <c r="M39" s="3481">
        <v>0</v>
      </c>
      <c r="N39" s="3481" t="s">
        <v>3307</v>
      </c>
    </row>
    <row r="40" spans="1:14" s="2963" customFormat="1" ht="27">
      <c r="A40" s="3481" t="s">
        <v>3308</v>
      </c>
      <c r="B40" s="3481" t="s">
        <v>3201</v>
      </c>
      <c r="C40" s="3481" t="s">
        <v>3273</v>
      </c>
      <c r="D40" s="3481">
        <v>4420</v>
      </c>
      <c r="E40" s="3481">
        <v>16796</v>
      </c>
      <c r="F40" s="3481" t="s">
        <v>3244</v>
      </c>
      <c r="G40" s="3481" t="s">
        <v>3204</v>
      </c>
      <c r="H40" s="3481" t="s">
        <v>3309</v>
      </c>
      <c r="I40" s="3481">
        <v>1911</v>
      </c>
      <c r="J40" s="3481">
        <v>1911</v>
      </c>
      <c r="K40" s="3481">
        <v>1137.76</v>
      </c>
      <c r="L40" s="3481">
        <f t="shared" si="0"/>
        <v>4324</v>
      </c>
      <c r="M40" s="3481">
        <v>0</v>
      </c>
      <c r="N40" s="3481" t="s">
        <v>3310</v>
      </c>
    </row>
    <row r="41" spans="1:14" s="2963" customFormat="1" ht="40.5">
      <c r="A41" s="3481" t="s">
        <v>3311</v>
      </c>
      <c r="B41" s="3481" t="s">
        <v>3201</v>
      </c>
      <c r="C41" s="3481" t="s">
        <v>3202</v>
      </c>
      <c r="D41" s="3481">
        <v>12424</v>
      </c>
      <c r="E41" s="3481">
        <v>43484</v>
      </c>
      <c r="F41" s="3481" t="s">
        <v>3312</v>
      </c>
      <c r="G41" s="3481" t="s">
        <v>3204</v>
      </c>
      <c r="H41" s="3481" t="s">
        <v>3313</v>
      </c>
      <c r="I41" s="3481">
        <v>2554</v>
      </c>
      <c r="J41" s="3481">
        <v>2554</v>
      </c>
      <c r="K41" s="3481">
        <v>587.34</v>
      </c>
      <c r="L41" s="3481">
        <f t="shared" si="0"/>
        <v>2056</v>
      </c>
      <c r="M41" s="3481">
        <v>0</v>
      </c>
      <c r="N41" s="3481" t="s">
        <v>3314</v>
      </c>
    </row>
    <row r="42" spans="1:14" s="2963" customFormat="1" ht="40.5">
      <c r="A42" s="3481" t="s">
        <v>3315</v>
      </c>
      <c r="B42" s="3481" t="s">
        <v>3201</v>
      </c>
      <c r="C42" s="3481" t="s">
        <v>3202</v>
      </c>
      <c r="D42" s="3481">
        <v>40000</v>
      </c>
      <c r="E42" s="3481">
        <v>120000</v>
      </c>
      <c r="F42" s="3481" t="s">
        <v>3316</v>
      </c>
      <c r="G42" s="3481" t="s">
        <v>3204</v>
      </c>
      <c r="H42" s="3481" t="s">
        <v>3317</v>
      </c>
      <c r="I42" s="3481">
        <v>7960</v>
      </c>
      <c r="J42" s="3481">
        <v>7960</v>
      </c>
      <c r="K42" s="3481">
        <v>663.33</v>
      </c>
      <c r="L42" s="3481">
        <f t="shared" si="0"/>
        <v>1990</v>
      </c>
      <c r="M42" s="3481">
        <v>0</v>
      </c>
      <c r="N42" s="3481" t="s">
        <v>3318</v>
      </c>
    </row>
    <row r="43" spans="1:14" s="2963" customFormat="1" ht="40.5">
      <c r="A43" s="3481" t="s">
        <v>3319</v>
      </c>
      <c r="B43" s="3481" t="s">
        <v>3201</v>
      </c>
      <c r="C43" s="3481" t="s">
        <v>3202</v>
      </c>
      <c r="D43" s="3481">
        <v>160</v>
      </c>
      <c r="E43" s="3481">
        <v>480</v>
      </c>
      <c r="F43" s="3481" t="s">
        <v>3316</v>
      </c>
      <c r="G43" s="3481" t="s">
        <v>3204</v>
      </c>
      <c r="H43" s="3481" t="s">
        <v>3320</v>
      </c>
      <c r="I43" s="3481">
        <v>20</v>
      </c>
      <c r="J43" s="3481">
        <v>55.39</v>
      </c>
      <c r="K43" s="3481">
        <v>1154.17</v>
      </c>
      <c r="L43" s="3481">
        <f t="shared" si="0"/>
        <v>3462</v>
      </c>
      <c r="M43" s="3481">
        <v>177</v>
      </c>
      <c r="N43" s="3481" t="s">
        <v>3321</v>
      </c>
    </row>
    <row r="44" spans="1:14" s="2963" customFormat="1" ht="40.5">
      <c r="A44" s="3481" t="s">
        <v>3322</v>
      </c>
      <c r="B44" s="3481" t="s">
        <v>3201</v>
      </c>
      <c r="C44" s="3481" t="s">
        <v>3202</v>
      </c>
      <c r="D44" s="3481">
        <v>2941</v>
      </c>
      <c r="E44" s="3481">
        <v>7352.5</v>
      </c>
      <c r="F44" s="3481" t="s">
        <v>3224</v>
      </c>
      <c r="G44" s="3481" t="s">
        <v>3204</v>
      </c>
      <c r="H44" s="3481" t="s">
        <v>3320</v>
      </c>
      <c r="I44" s="3481">
        <v>337</v>
      </c>
      <c r="J44" s="3481">
        <v>337</v>
      </c>
      <c r="K44" s="3481">
        <v>458.35</v>
      </c>
      <c r="L44" s="3481">
        <f t="shared" si="0"/>
        <v>1146</v>
      </c>
      <c r="M44" s="3481">
        <v>0</v>
      </c>
      <c r="N44" s="3481" t="s">
        <v>3323</v>
      </c>
    </row>
    <row r="45" spans="1:14" s="2963" customFormat="1" ht="40.5">
      <c r="A45" s="3481" t="s">
        <v>3324</v>
      </c>
      <c r="B45" s="3481" t="s">
        <v>3201</v>
      </c>
      <c r="C45" s="3481" t="s">
        <v>3202</v>
      </c>
      <c r="D45" s="3481">
        <v>227</v>
      </c>
      <c r="E45" s="3481">
        <v>1702.5</v>
      </c>
      <c r="F45" s="3481" t="s">
        <v>3325</v>
      </c>
      <c r="G45" s="3481" t="s">
        <v>3204</v>
      </c>
      <c r="H45" s="3481" t="s">
        <v>3326</v>
      </c>
      <c r="I45" s="3481">
        <v>123</v>
      </c>
      <c r="J45" s="3481">
        <v>123</v>
      </c>
      <c r="K45" s="3481">
        <v>722.47</v>
      </c>
      <c r="L45" s="3481">
        <f t="shared" si="0"/>
        <v>5419</v>
      </c>
      <c r="M45" s="3481">
        <v>0</v>
      </c>
      <c r="N45" s="3481" t="s">
        <v>3327</v>
      </c>
    </row>
    <row r="46" spans="1:14" s="2963" customFormat="1" ht="40.5">
      <c r="A46" s="3481" t="s">
        <v>3328</v>
      </c>
      <c r="B46" s="3481" t="s">
        <v>3201</v>
      </c>
      <c r="C46" s="3481" t="s">
        <v>3202</v>
      </c>
      <c r="D46" s="3481">
        <v>267</v>
      </c>
      <c r="E46" s="3481">
        <v>2456.4</v>
      </c>
      <c r="F46" s="3481" t="s">
        <v>3329</v>
      </c>
      <c r="G46" s="3481" t="s">
        <v>3204</v>
      </c>
      <c r="H46" s="3481" t="s">
        <v>3326</v>
      </c>
      <c r="I46" s="3481">
        <v>164</v>
      </c>
      <c r="J46" s="3481">
        <v>164</v>
      </c>
      <c r="K46" s="3481">
        <v>667.63</v>
      </c>
      <c r="L46" s="3481">
        <f t="shared" si="0"/>
        <v>6142</v>
      </c>
      <c r="M46" s="3481">
        <v>0</v>
      </c>
      <c r="N46" s="3481" t="s">
        <v>3327</v>
      </c>
    </row>
    <row r="47" spans="1:14" s="2963" customFormat="1" ht="27">
      <c r="A47" s="3481" t="s">
        <v>3330</v>
      </c>
      <c r="B47" s="3481" t="s">
        <v>3201</v>
      </c>
      <c r="C47" s="3481" t="s">
        <v>3202</v>
      </c>
      <c r="D47" s="3481">
        <v>3718</v>
      </c>
      <c r="E47" s="3481">
        <v>18590</v>
      </c>
      <c r="F47" s="3481" t="s">
        <v>3331</v>
      </c>
      <c r="G47" s="3481" t="s">
        <v>3204</v>
      </c>
      <c r="H47" s="3481" t="s">
        <v>3332</v>
      </c>
      <c r="I47" s="3481">
        <v>980</v>
      </c>
      <c r="J47" s="3481">
        <v>980</v>
      </c>
      <c r="K47" s="3481">
        <v>527.16</v>
      </c>
      <c r="L47" s="3481">
        <f t="shared" si="0"/>
        <v>2636</v>
      </c>
      <c r="M47" s="3481">
        <v>0</v>
      </c>
      <c r="N47" s="3481" t="s">
        <v>3333</v>
      </c>
    </row>
    <row r="48" spans="1:14" s="2963" customFormat="1" ht="40.5">
      <c r="A48" s="3481" t="s">
        <v>3290</v>
      </c>
      <c r="B48" s="3481" t="s">
        <v>3201</v>
      </c>
      <c r="C48" s="3481" t="s">
        <v>3202</v>
      </c>
      <c r="D48" s="3481">
        <v>34273</v>
      </c>
      <c r="E48" s="3481">
        <v>68546</v>
      </c>
      <c r="F48" s="3481" t="s">
        <v>3291</v>
      </c>
      <c r="G48" s="3481" t="s">
        <v>3204</v>
      </c>
      <c r="H48" s="3481" t="s">
        <v>3334</v>
      </c>
      <c r="I48" s="3481">
        <v>3010</v>
      </c>
      <c r="J48" s="3481">
        <v>3010</v>
      </c>
      <c r="K48" s="3481">
        <v>439.12</v>
      </c>
      <c r="L48" s="3481">
        <f t="shared" si="0"/>
        <v>878</v>
      </c>
      <c r="M48" s="3481">
        <v>0</v>
      </c>
      <c r="N48" s="3481" t="s">
        <v>3293</v>
      </c>
    </row>
    <row r="49" spans="1:14" s="2963" customFormat="1" ht="27">
      <c r="A49" s="3481" t="s">
        <v>3335</v>
      </c>
      <c r="B49" s="3481" t="s">
        <v>3201</v>
      </c>
      <c r="C49" s="3481" t="s">
        <v>3202</v>
      </c>
      <c r="D49" s="3481">
        <v>964</v>
      </c>
      <c r="E49" s="3481">
        <v>3856</v>
      </c>
      <c r="F49" s="3481" t="s">
        <v>3336</v>
      </c>
      <c r="G49" s="3481" t="s">
        <v>3204</v>
      </c>
      <c r="H49" s="3481" t="s">
        <v>3337</v>
      </c>
      <c r="I49" s="3481">
        <v>281</v>
      </c>
      <c r="J49" s="3481">
        <v>281</v>
      </c>
      <c r="K49" s="3481">
        <v>728.73</v>
      </c>
      <c r="L49" s="3481">
        <f t="shared" si="0"/>
        <v>2915</v>
      </c>
      <c r="M49" s="3481">
        <v>0</v>
      </c>
      <c r="N49" s="3481" t="s">
        <v>3338</v>
      </c>
    </row>
    <row r="50" spans="1:14" s="2963" customFormat="1" ht="27">
      <c r="A50" s="3481" t="s">
        <v>3339</v>
      </c>
      <c r="B50" s="3481" t="s">
        <v>3201</v>
      </c>
      <c r="C50" s="3481" t="s">
        <v>3202</v>
      </c>
      <c r="D50" s="3481">
        <v>1005</v>
      </c>
      <c r="E50" s="3481">
        <v>3517.5</v>
      </c>
      <c r="F50" s="3481" t="s">
        <v>3250</v>
      </c>
      <c r="G50" s="3481" t="s">
        <v>3204</v>
      </c>
      <c r="H50" s="3481" t="s">
        <v>3340</v>
      </c>
      <c r="I50" s="3481">
        <v>165</v>
      </c>
      <c r="J50" s="3481">
        <v>165</v>
      </c>
      <c r="K50" s="3481">
        <v>469.07</v>
      </c>
      <c r="L50" s="3481">
        <f t="shared" si="0"/>
        <v>1642</v>
      </c>
      <c r="M50" s="3481">
        <v>0</v>
      </c>
      <c r="N50" s="3481" t="s">
        <v>3341</v>
      </c>
    </row>
    <row r="51" spans="1:14" s="2963" customFormat="1" ht="27">
      <c r="A51" s="3481" t="s">
        <v>3339</v>
      </c>
      <c r="B51" s="3481" t="s">
        <v>3201</v>
      </c>
      <c r="C51" s="3481" t="s">
        <v>3202</v>
      </c>
      <c r="D51" s="3481">
        <v>505</v>
      </c>
      <c r="E51" s="3481">
        <v>1767.5</v>
      </c>
      <c r="F51" s="3481" t="s">
        <v>3250</v>
      </c>
      <c r="G51" s="3481" t="s">
        <v>3204</v>
      </c>
      <c r="H51" s="3481" t="s">
        <v>3340</v>
      </c>
      <c r="I51" s="3481">
        <v>80</v>
      </c>
      <c r="J51" s="3481">
        <v>80</v>
      </c>
      <c r="K51" s="3481">
        <v>452.62</v>
      </c>
      <c r="L51" s="3481">
        <f t="shared" si="0"/>
        <v>1584</v>
      </c>
      <c r="M51" s="3481">
        <v>0</v>
      </c>
      <c r="N51" s="3481" t="s">
        <v>3341</v>
      </c>
    </row>
    <row r="52" spans="1:14" s="2963" customFormat="1" ht="40.5">
      <c r="A52" s="3481" t="s">
        <v>3207</v>
      </c>
      <c r="B52" s="3481" t="s">
        <v>3201</v>
      </c>
      <c r="C52" s="3481" t="s">
        <v>3202</v>
      </c>
      <c r="D52" s="3481">
        <v>35240</v>
      </c>
      <c r="E52" s="3481">
        <v>88100</v>
      </c>
      <c r="F52" s="3481" t="s">
        <v>3224</v>
      </c>
      <c r="G52" s="3481" t="s">
        <v>3204</v>
      </c>
      <c r="H52" s="3481" t="s">
        <v>3342</v>
      </c>
      <c r="I52" s="3481">
        <v>3180</v>
      </c>
      <c r="J52" s="3481">
        <v>3610</v>
      </c>
      <c r="K52" s="3481">
        <v>409.75</v>
      </c>
      <c r="L52" s="3481">
        <f t="shared" si="0"/>
        <v>1024</v>
      </c>
      <c r="M52" s="3481">
        <v>13.52</v>
      </c>
      <c r="N52" s="3481" t="s">
        <v>3210</v>
      </c>
    </row>
    <row r="53" spans="1:14" s="2963" customFormat="1" ht="27">
      <c r="A53" s="3481" t="s">
        <v>3343</v>
      </c>
      <c r="B53" s="3481" t="s">
        <v>3201</v>
      </c>
      <c r="C53" s="3481" t="s">
        <v>3202</v>
      </c>
      <c r="D53" s="3481">
        <v>198</v>
      </c>
      <c r="E53" s="3481">
        <v>435.6</v>
      </c>
      <c r="F53" s="3481" t="s">
        <v>3208</v>
      </c>
      <c r="G53" s="3481" t="s">
        <v>3204</v>
      </c>
      <c r="H53" s="3481" t="s">
        <v>3344</v>
      </c>
      <c r="I53" s="3481">
        <v>14</v>
      </c>
      <c r="J53" s="3481">
        <v>14</v>
      </c>
      <c r="K53" s="3481">
        <v>321.39</v>
      </c>
      <c r="L53" s="3481">
        <f t="shared" si="0"/>
        <v>707</v>
      </c>
      <c r="M53" s="3481">
        <v>0</v>
      </c>
      <c r="N53" s="3481" t="s">
        <v>3345</v>
      </c>
    </row>
    <row r="54" spans="1:14" s="2963" customFormat="1" ht="27">
      <c r="A54" s="3481" t="s">
        <v>3322</v>
      </c>
      <c r="B54" s="3481" t="s">
        <v>3201</v>
      </c>
      <c r="C54" s="3481" t="s">
        <v>3202</v>
      </c>
      <c r="D54" s="3481">
        <v>5001</v>
      </c>
      <c r="E54" s="3481">
        <v>12502.5</v>
      </c>
      <c r="F54" s="3481" t="s">
        <v>3232</v>
      </c>
      <c r="G54" s="3481" t="s">
        <v>3204</v>
      </c>
      <c r="H54" s="3481" t="s">
        <v>3346</v>
      </c>
      <c r="I54" s="3481">
        <v>487</v>
      </c>
      <c r="J54" s="3481">
        <v>487</v>
      </c>
      <c r="K54" s="3481">
        <v>389.51</v>
      </c>
      <c r="L54" s="3481">
        <f t="shared" si="0"/>
        <v>974</v>
      </c>
      <c r="M54" s="3481">
        <v>0</v>
      </c>
      <c r="N54" s="3481" t="s">
        <v>3347</v>
      </c>
    </row>
    <row r="55" spans="1:14" s="2963" customFormat="1" ht="40.5">
      <c r="A55" s="3481" t="s">
        <v>3223</v>
      </c>
      <c r="B55" s="3481" t="s">
        <v>3201</v>
      </c>
      <c r="C55" s="3481" t="s">
        <v>3202</v>
      </c>
      <c r="D55" s="3481">
        <v>39347</v>
      </c>
      <c r="E55" s="3481">
        <v>118041</v>
      </c>
      <c r="F55" s="3481" t="s">
        <v>3316</v>
      </c>
      <c r="G55" s="3481" t="s">
        <v>3204</v>
      </c>
      <c r="H55" s="3481" t="s">
        <v>3348</v>
      </c>
      <c r="I55" s="3481">
        <v>8950</v>
      </c>
      <c r="J55" s="3481">
        <v>8950</v>
      </c>
      <c r="K55" s="3481">
        <v>758.21</v>
      </c>
      <c r="L55" s="3481">
        <f t="shared" si="0"/>
        <v>2275</v>
      </c>
      <c r="M55" s="3481">
        <v>0</v>
      </c>
      <c r="N55" s="3481" t="s">
        <v>3278</v>
      </c>
    </row>
    <row r="56" spans="1:14" s="2963" customFormat="1" ht="27">
      <c r="A56" s="3481" t="s">
        <v>3349</v>
      </c>
      <c r="B56" s="3481" t="s">
        <v>3201</v>
      </c>
      <c r="C56" s="3481" t="s">
        <v>3202</v>
      </c>
      <c r="D56" s="3481">
        <v>12888</v>
      </c>
      <c r="E56" s="3481">
        <v>50263.199999999997</v>
      </c>
      <c r="F56" s="3481" t="s">
        <v>3215</v>
      </c>
      <c r="G56" s="3481" t="s">
        <v>3204</v>
      </c>
      <c r="H56" s="3481" t="s">
        <v>3348</v>
      </c>
      <c r="I56" s="3481">
        <v>3195</v>
      </c>
      <c r="J56" s="3481">
        <v>3195</v>
      </c>
      <c r="K56" s="3481">
        <v>635.64</v>
      </c>
      <c r="L56" s="3481">
        <f t="shared" si="0"/>
        <v>2479</v>
      </c>
      <c r="M56" s="3481">
        <v>0</v>
      </c>
      <c r="N56" s="3481" t="s">
        <v>3350</v>
      </c>
    </row>
    <row r="57" spans="1:14" s="2963" customFormat="1" ht="40.5">
      <c r="A57" s="3481" t="s">
        <v>3335</v>
      </c>
      <c r="B57" s="3481" t="s">
        <v>3201</v>
      </c>
      <c r="C57" s="3481" t="s">
        <v>3202</v>
      </c>
      <c r="D57" s="3481">
        <v>1120</v>
      </c>
      <c r="E57" s="3481">
        <v>4480</v>
      </c>
      <c r="F57" s="3481" t="s">
        <v>3297</v>
      </c>
      <c r="G57" s="3481" t="s">
        <v>3204</v>
      </c>
      <c r="H57" s="3481" t="s">
        <v>3351</v>
      </c>
      <c r="I57" s="3481">
        <v>360</v>
      </c>
      <c r="J57" s="3481">
        <v>360</v>
      </c>
      <c r="K57" s="3481">
        <v>803.57</v>
      </c>
      <c r="L57" s="3481">
        <f t="shared" si="0"/>
        <v>3214</v>
      </c>
      <c r="M57" s="3481">
        <v>0</v>
      </c>
      <c r="N57" s="3481" t="s">
        <v>3338</v>
      </c>
    </row>
    <row r="58" spans="1:14" s="2963" customFormat="1" ht="40.5">
      <c r="A58" s="3481" t="s">
        <v>3352</v>
      </c>
      <c r="B58" s="3481" t="s">
        <v>3201</v>
      </c>
      <c r="C58" s="3481" t="s">
        <v>3202</v>
      </c>
      <c r="D58" s="3481">
        <v>4904</v>
      </c>
      <c r="E58" s="3481">
        <v>21087.200000000001</v>
      </c>
      <c r="F58" s="3481" t="s">
        <v>3280</v>
      </c>
      <c r="G58" s="3481" t="s">
        <v>3204</v>
      </c>
      <c r="H58" s="3481" t="s">
        <v>3353</v>
      </c>
      <c r="I58" s="3481">
        <v>1000</v>
      </c>
      <c r="J58" s="3481">
        <v>1000</v>
      </c>
      <c r="K58" s="3481">
        <v>474.22</v>
      </c>
      <c r="L58" s="3481">
        <f t="shared" si="0"/>
        <v>2039</v>
      </c>
      <c r="M58" s="3481">
        <v>0</v>
      </c>
      <c r="N58" s="3481" t="s">
        <v>3354</v>
      </c>
    </row>
    <row r="59" spans="1:14" s="2963" customFormat="1" ht="40.5">
      <c r="A59" s="3481" t="s">
        <v>3355</v>
      </c>
      <c r="B59" s="3481" t="s">
        <v>3201</v>
      </c>
      <c r="C59" s="3481" t="s">
        <v>3202</v>
      </c>
      <c r="D59" s="3481">
        <v>27629</v>
      </c>
      <c r="E59" s="3481">
        <v>118804.7</v>
      </c>
      <c r="F59" s="3481" t="s">
        <v>3280</v>
      </c>
      <c r="G59" s="3481" t="s">
        <v>3204</v>
      </c>
      <c r="H59" s="3481" t="s">
        <v>3353</v>
      </c>
      <c r="I59" s="3481">
        <v>5645</v>
      </c>
      <c r="J59" s="3481">
        <v>5645</v>
      </c>
      <c r="K59" s="3481">
        <v>475.14</v>
      </c>
      <c r="L59" s="3481">
        <f t="shared" si="0"/>
        <v>2043</v>
      </c>
      <c r="M59" s="3481">
        <v>0</v>
      </c>
      <c r="N59" s="3481" t="s">
        <v>3354</v>
      </c>
    </row>
    <row r="60" spans="1:14" s="2963" customFormat="1" ht="40.5">
      <c r="A60" s="3481" t="s">
        <v>3356</v>
      </c>
      <c r="B60" s="3481" t="s">
        <v>3201</v>
      </c>
      <c r="C60" s="3481" t="s">
        <v>3202</v>
      </c>
      <c r="D60" s="3481">
        <v>4503</v>
      </c>
      <c r="E60" s="3481">
        <v>19362.900000000001</v>
      </c>
      <c r="F60" s="3481" t="s">
        <v>3280</v>
      </c>
      <c r="G60" s="3481" t="s">
        <v>3204</v>
      </c>
      <c r="H60" s="3481" t="s">
        <v>3353</v>
      </c>
      <c r="I60" s="3481">
        <v>906</v>
      </c>
      <c r="J60" s="3481">
        <v>906</v>
      </c>
      <c r="K60" s="3481">
        <v>467.91</v>
      </c>
      <c r="L60" s="3481">
        <f t="shared" si="0"/>
        <v>2012</v>
      </c>
      <c r="M60" s="3481">
        <v>0</v>
      </c>
      <c r="N60" s="3481" t="s">
        <v>3354</v>
      </c>
    </row>
    <row r="61" spans="1:14" s="2963" customFormat="1" ht="27">
      <c r="A61" s="3481" t="s">
        <v>3357</v>
      </c>
      <c r="B61" s="3481" t="s">
        <v>3201</v>
      </c>
      <c r="C61" s="3481" t="s">
        <v>3202</v>
      </c>
      <c r="D61" s="3481">
        <v>5695</v>
      </c>
      <c r="E61" s="3481">
        <v>46129.5</v>
      </c>
      <c r="F61" s="3481" t="s">
        <v>3358</v>
      </c>
      <c r="G61" s="3481" t="s">
        <v>3204</v>
      </c>
      <c r="H61" s="3481" t="s">
        <v>3359</v>
      </c>
      <c r="I61" s="3481">
        <v>2755</v>
      </c>
      <c r="J61" s="3481">
        <v>2755</v>
      </c>
      <c r="K61" s="3481">
        <v>597.23</v>
      </c>
      <c r="L61" s="3481">
        <f t="shared" si="0"/>
        <v>4838</v>
      </c>
      <c r="M61" s="3481">
        <v>0</v>
      </c>
      <c r="N61" s="3481" t="s">
        <v>3360</v>
      </c>
    </row>
    <row r="62" spans="1:14">
      <c r="A62" s="2"/>
      <c r="B62" s="2"/>
      <c r="C62" s="2"/>
      <c r="D62" s="2"/>
      <c r="E62" s="2"/>
      <c r="F62" s="2"/>
      <c r="G62" s="2"/>
      <c r="H62" s="2"/>
      <c r="I62" s="2"/>
      <c r="J62" s="2"/>
      <c r="K62" s="2"/>
      <c r="L62" s="2"/>
      <c r="M62" s="2"/>
      <c r="N62" s="2"/>
    </row>
    <row r="65" spans="1:4">
      <c r="A65" s="3490" t="s">
        <v>3388</v>
      </c>
    </row>
    <row r="66" spans="1:4" ht="14.25" thickBot="1">
      <c r="A66" s="3491" t="s">
        <v>3389</v>
      </c>
      <c r="B66" s="3492" t="s">
        <v>3390</v>
      </c>
      <c r="C66" s="3492" t="s">
        <v>3391</v>
      </c>
      <c r="D66" s="3492" t="s">
        <v>3392</v>
      </c>
    </row>
    <row r="67" spans="1:4">
      <c r="A67" s="3493">
        <v>2016.4</v>
      </c>
      <c r="B67" s="3495">
        <v>5890</v>
      </c>
      <c r="C67" s="3495">
        <v>2.2599999999999998</v>
      </c>
      <c r="D67" s="3494"/>
    </row>
    <row r="68" spans="1:4">
      <c r="A68" s="3496">
        <v>2017.1</v>
      </c>
      <c r="B68" s="3498">
        <v>5952</v>
      </c>
      <c r="C68" s="3498">
        <v>1.05</v>
      </c>
      <c r="D68" s="3497"/>
    </row>
    <row r="69" spans="1:4">
      <c r="A69" s="3493">
        <v>2017.2</v>
      </c>
      <c r="B69" s="3495">
        <v>6005</v>
      </c>
      <c r="C69" s="3495">
        <v>0.89</v>
      </c>
      <c r="D69" s="3494"/>
    </row>
    <row r="70" spans="1:4">
      <c r="A70" s="3496">
        <v>2017.3</v>
      </c>
      <c r="B70" s="3498">
        <v>6053</v>
      </c>
      <c r="C70" s="3498">
        <v>0.8</v>
      </c>
      <c r="D70" s="3497"/>
    </row>
    <row r="71" spans="1:4" ht="14.25">
      <c r="A71" s="3499">
        <v>2017.4</v>
      </c>
      <c r="B71" s="3500">
        <v>6318</v>
      </c>
      <c r="C71" s="3500">
        <v>4.38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75">
      <c r="A4" s="1791" t="str">
        <f>"受贵公司委托，我公司对"&amp;项目基本情况!K2&amp;项目基本情况!B9&amp;"进行了预评估。"</f>
        <v>受贵公司委托，我公司对广东省惠州市博罗县龙溪镇宫庭村南水园（土名）441322021003GB00392W00000000、441322021003GB00393W00000000、441322021003GB01260W00000000号共计三宗住宅、商业、地下车库用地出让国有建设用地使用权抵押价格进行了预评估。</v>
      </c>
    </row>
    <row r="5" spans="1:4" ht="18.75">
      <c r="A5" s="1794" t="s">
        <v>1906</v>
      </c>
    </row>
    <row r="6" spans="1:4" ht="13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惠州市红升房地产开发有限公司使用的、位于广东省惠州市博罗县龙溪镇宫庭村南水园（土名）441322021003GB00392W00000000、441322021003GB00393W00000000、441322021003GB01260W00000000号共计三宗住宅、商业、地下车库用地出让国有建设用地使用权。根据《国有土地使用证》[粤（2016）博罗县不动产权第0000002、0000003、0000005号]，估价对象（分摊）出让国有建设用地使用权面积为74806平方米。根据《项目总指标》，估价对象规划建筑面积为358341平方米。</v>
      </c>
    </row>
    <row r="7" spans="1:4" ht="93.75">
      <c r="A7" s="2898" t="s">
        <v>2750</v>
      </c>
    </row>
    <row r="8" spans="1:4" ht="18.75">
      <c r="A8" s="1794" t="s">
        <v>1907</v>
      </c>
    </row>
    <row r="9" spans="1:4" ht="75">
      <c r="A9" s="179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2018年2月7日（评估专业人员勘察现场之日）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根据《国有土地使用证》[粤（2016）博罗县不动产权第0000002、0000003、0000005号]，本次评估估价对象证载（地类）用途为城镇住宅用地。</v>
      </c>
      <c r="C14" s="1781"/>
      <c r="D14" s="1782"/>
    </row>
    <row r="15" spans="1:4" ht="56.2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根据《项目总指标》，估价对象土地规划用途为住宅、商业、地下车库，上述用途符合《国有土地使用证》证载地类范围。本次评估设定用途为住宅、商业、地下车库。</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根据《国有土地使用证》[粤（2016）博罗县不动产权第0000002、0000003、0000005号]，估价对象（分摊）出让国有建设用地使用权面积为74806平方米。根据《项目总指标》，估价对象规划建筑面积为358341平方米。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0" t="s">
        <v>2751</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2018年2月7日，在规划利用条件下、设定土地开发程度为红线外“七通”、宗地内场地平整，设定用途为住宅、商业、地下车库，剩余土地使用年限为住宅63.9年、商业33.9年、地下车库43.9年的出让国有建设用地使用权价格。</v>
      </c>
    </row>
    <row r="26" spans="1:1" ht="56.25">
      <c r="A26" s="179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9" t="s">
        <v>2039</v>
      </c>
      <c r="B1" s="3539"/>
      <c r="C1" s="3539"/>
      <c r="D1" s="3539"/>
      <c r="E1" s="3539"/>
      <c r="F1" s="3539"/>
      <c r="G1" s="3539"/>
      <c r="H1" s="3539"/>
      <c r="I1" s="3539"/>
      <c r="J1" s="3539"/>
      <c r="K1" s="3539"/>
      <c r="L1" s="3539"/>
      <c r="M1" s="3539"/>
      <c r="N1" s="3539"/>
      <c r="O1" s="3539"/>
      <c r="P1" s="3539"/>
      <c r="Q1" s="3539"/>
      <c r="R1" s="3539"/>
    </row>
    <row r="2" spans="1:18">
      <c r="A2" s="1807" t="s">
        <v>2041</v>
      </c>
      <c r="B2" s="1807"/>
      <c r="C2" s="1807"/>
      <c r="D2" s="1807"/>
      <c r="E2" s="1807"/>
      <c r="F2" s="1807"/>
      <c r="G2" s="1807"/>
      <c r="H2" s="1807"/>
      <c r="I2" s="1808"/>
      <c r="J2" s="1808"/>
      <c r="K2" s="1809" t="str">
        <f>"估价期日："&amp;TEXT(项目基本情况!D3,"yyyy年m月d日;;")</f>
        <v>估价期日：2018年2月7日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40" t="s">
        <v>2030</v>
      </c>
      <c r="B3" s="3540" t="s">
        <v>2733</v>
      </c>
      <c r="C3" s="3541" t="s">
        <v>2031</v>
      </c>
      <c r="D3" s="3540" t="s">
        <v>2737</v>
      </c>
      <c r="E3" s="3543" t="s">
        <v>2032</v>
      </c>
      <c r="F3" s="3543"/>
      <c r="G3" s="3543"/>
      <c r="H3" s="3543" t="s">
        <v>2033</v>
      </c>
      <c r="I3" s="3543"/>
      <c r="J3" s="3543"/>
      <c r="K3" s="3541" t="s">
        <v>2034</v>
      </c>
      <c r="L3" s="3541" t="s">
        <v>2035</v>
      </c>
      <c r="M3" s="3540" t="s">
        <v>2734</v>
      </c>
      <c r="N3" s="3542" t="str">
        <f>"（分摊）"&amp;项目基本情况!B16&amp;"国有建设用地使用权面积/㎡"</f>
        <v>（分摊）出让国有建设用地使用权面积/㎡</v>
      </c>
      <c r="O3" s="3540" t="s">
        <v>2064</v>
      </c>
      <c r="P3" s="3541" t="s">
        <v>2044</v>
      </c>
      <c r="Q3" s="3541" t="s">
        <v>2065</v>
      </c>
      <c r="R3" s="3541" t="s">
        <v>2036</v>
      </c>
    </row>
    <row r="4" spans="1:18" ht="36.75" customHeight="1">
      <c r="A4" s="3540"/>
      <c r="B4" s="3540"/>
      <c r="C4" s="3541"/>
      <c r="D4" s="3540"/>
      <c r="E4" s="2674" t="s">
        <v>2043</v>
      </c>
      <c r="F4" s="2674" t="s">
        <v>2746</v>
      </c>
      <c r="G4" s="2674" t="s">
        <v>2037</v>
      </c>
      <c r="H4" s="2674" t="s">
        <v>2038</v>
      </c>
      <c r="I4" s="2674" t="s">
        <v>2747</v>
      </c>
      <c r="J4" s="2674" t="s">
        <v>2037</v>
      </c>
      <c r="K4" s="3541"/>
      <c r="L4" s="3541"/>
      <c r="M4" s="3540"/>
      <c r="N4" s="3542"/>
      <c r="O4" s="3540"/>
      <c r="P4" s="3541"/>
      <c r="Q4" s="3541"/>
      <c r="R4" s="3541"/>
    </row>
    <row r="5" spans="1:18" ht="135" customHeight="1">
      <c r="A5" s="1943" t="s">
        <v>2657</v>
      </c>
      <c r="B5" s="2892" t="s">
        <v>2655</v>
      </c>
      <c r="C5" s="2673">
        <v>22</v>
      </c>
      <c r="D5" s="2672" t="s">
        <v>2656</v>
      </c>
      <c r="E5" s="1810" t="str">
        <f>项目基本情况!B12</f>
        <v>城镇住宅用地</v>
      </c>
      <c r="F5" s="2672">
        <v>258</v>
      </c>
      <c r="G5" s="1810" t="str">
        <f>项目基本情况!B13</f>
        <v>住宅、商业、地下车库</v>
      </c>
      <c r="H5" s="2672">
        <v>1.5</v>
      </c>
      <c r="I5" s="2672">
        <v>1.5</v>
      </c>
      <c r="J5" s="2672">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t="str">
        <f>IF(项目基本情况!B16="出让",项目基本情况!D20,"——")</f>
        <v>住宅63.9年、商业33.9年、地下车库43.9年</v>
      </c>
      <c r="N5" s="1810">
        <f>项目基本情况!C22</f>
        <v>74806</v>
      </c>
      <c r="O5" s="1810">
        <f>项目基本情况!C21</f>
        <v>358341</v>
      </c>
      <c r="P5" s="1810">
        <f ca="1">结果表!E42</f>
        <v>8790</v>
      </c>
      <c r="Q5" s="1810">
        <f ca="1">结果表!D42</f>
        <v>1835</v>
      </c>
      <c r="R5" s="1811">
        <f ca="1">结果表!C42</f>
        <v>65752</v>
      </c>
    </row>
    <row r="6" spans="1:18">
      <c r="A6" s="3536" t="str">
        <f>IF(项目基本情况!B9="市场价格","——","抵押价格")</f>
        <v>抵押价格</v>
      </c>
      <c r="B6" s="3537"/>
      <c r="C6" s="3537"/>
      <c r="D6" s="3537"/>
      <c r="E6" s="3537"/>
      <c r="F6" s="3537"/>
      <c r="G6" s="3537"/>
      <c r="H6" s="3537"/>
      <c r="I6" s="3537"/>
      <c r="J6" s="3537"/>
      <c r="K6" s="3537"/>
      <c r="L6" s="3537"/>
      <c r="M6" s="3537"/>
      <c r="N6" s="3537"/>
      <c r="O6" s="3537"/>
      <c r="P6" s="3537"/>
      <c r="Q6" s="3538"/>
      <c r="R6" s="1812" t="str">
        <f>结果表!O39</f>
        <v>——</v>
      </c>
    </row>
    <row r="7" spans="1:18">
      <c r="A7" s="3536" t="str">
        <f>IF(项目基本情况!B9="市场价格","——",IF(项目基本情况!E8="已注销及未注销","抵押担保权已注销时的抵押价格","——"))</f>
        <v>——</v>
      </c>
      <c r="B7" s="3537"/>
      <c r="C7" s="3537"/>
      <c r="D7" s="3537"/>
      <c r="E7" s="3537"/>
      <c r="F7" s="3537"/>
      <c r="G7" s="3537"/>
      <c r="H7" s="3537"/>
      <c r="I7" s="3537"/>
      <c r="J7" s="3537"/>
      <c r="K7" s="3537"/>
      <c r="L7" s="3537"/>
      <c r="M7" s="3537"/>
      <c r="N7" s="3537"/>
      <c r="O7" s="3537"/>
      <c r="P7" s="3537"/>
      <c r="Q7" s="3538"/>
      <c r="R7" s="1812">
        <f ca="1">结果表!O40</f>
        <v>65752</v>
      </c>
    </row>
    <row r="8" spans="1:18">
      <c r="A8" s="3536" t="str">
        <f>IF(项目基本情况!B9="市场价格","——",项目基本情况!E9)</f>
        <v>——</v>
      </c>
      <c r="B8" s="3537"/>
      <c r="C8" s="3537"/>
      <c r="D8" s="3537"/>
      <c r="E8" s="3537"/>
      <c r="F8" s="3537"/>
      <c r="G8" s="3537"/>
      <c r="H8" s="3537"/>
      <c r="I8" s="3537"/>
      <c r="J8" s="3537"/>
      <c r="K8" s="3537"/>
      <c r="L8" s="3537"/>
      <c r="M8" s="3537"/>
      <c r="N8" s="3537"/>
      <c r="O8" s="3537"/>
      <c r="P8" s="3537"/>
      <c r="Q8" s="3538"/>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545" t="s">
        <v>2066</v>
      </c>
      <c r="B1" s="3545"/>
      <c r="C1" s="3545"/>
      <c r="D1" s="3545"/>
    </row>
    <row r="2" spans="1:4" ht="47.25" customHeight="1">
      <c r="A2" s="3546" t="str">
        <f>"1.权利限制："&amp;项目基本情况!L24&amp;"未设定租赁等其他他项权利。"</f>
        <v>1.权利限制：根据估价对象————、《国有土地使用权》原件，截至估价期日，估价对象已设定抵押。未设定租赁等其他他项权利。</v>
      </c>
      <c r="B2" s="3546"/>
      <c r="C2" s="3546"/>
      <c r="D2" s="3546"/>
    </row>
    <row r="3" spans="1:4" ht="48" customHeight="1">
      <c r="A3" s="354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5"/>
      <c r="C3" s="3545"/>
      <c r="D3" s="3545"/>
    </row>
    <row r="4" spans="1:4" ht="36.75" customHeight="1">
      <c r="A4" s="3545" t="str">
        <f>"3.估价规划限制条件：详见"&amp;项目基本情况!E21&amp;"。"</f>
        <v>3.估价规划限制条件：详见《项目总指标》。</v>
      </c>
      <c r="B4" s="3545"/>
      <c r="C4" s="3545"/>
      <c r="D4" s="3545"/>
    </row>
    <row r="5" spans="1:4">
      <c r="A5" s="3544" t="s">
        <v>2067</v>
      </c>
      <c r="B5" s="3544"/>
      <c r="C5" s="3544"/>
      <c r="D5" s="3544"/>
    </row>
    <row r="6" spans="1:4">
      <c r="A6" s="3545" t="s">
        <v>2045</v>
      </c>
      <c r="B6" s="3545"/>
      <c r="C6" s="3545"/>
      <c r="D6" s="3545"/>
    </row>
    <row r="7" spans="1:4" ht="33" customHeight="1">
      <c r="A7" s="3545" t="s">
        <v>2577</v>
      </c>
      <c r="B7" s="3545"/>
      <c r="C7" s="3545"/>
      <c r="D7" s="3545"/>
    </row>
    <row r="8" spans="1:4" ht="32.25" customHeight="1">
      <c r="A8" s="35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5"/>
      <c r="C8" s="3545"/>
      <c r="D8" s="3545"/>
    </row>
    <row r="9" spans="1:4" ht="33.75" customHeight="1">
      <c r="A9" s="35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5"/>
      <c r="C9" s="3545"/>
      <c r="D9" s="3545"/>
    </row>
    <row r="10" spans="1:4">
      <c r="A10" s="3545" t="str">
        <f>IF(项目基本情况!B8="抵押","4.估价师所知悉的法定优先受偿款情况为：","——")</f>
        <v>4.估价师所知悉的法定优先受偿款情况为：</v>
      </c>
      <c r="B10" s="3545"/>
      <c r="C10" s="3545"/>
      <c r="D10" s="3545"/>
    </row>
    <row r="11" spans="1:4" ht="37.5" customHeight="1">
      <c r="A11" s="3547" t="str">
        <f>IF(项目基本情况!B8="抵押","（1）"&amp;CONCATENATE(项目基本情况!L24,项目基本情况!L25,项目基本情况!L26),"——")</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7"/>
      <c r="C11" s="3547"/>
      <c r="D11" s="3547"/>
    </row>
    <row r="12" spans="1:4" ht="168" customHeight="1">
      <c r="A12" s="3544" t="s">
        <v>2069</v>
      </c>
      <c r="B12" s="3544"/>
      <c r="C12" s="3544"/>
      <c r="D12" s="3544"/>
    </row>
    <row r="13" spans="1:4">
      <c r="A13" s="3548" t="s">
        <v>2748</v>
      </c>
      <c r="B13" s="3548"/>
      <c r="C13" s="3548"/>
      <c r="D13" s="3548"/>
    </row>
    <row r="14" spans="1:4">
      <c r="A14" s="3547" t="str">
        <f>IF(项目基本情况!B8="抵押","综上，"&amp;结果表!K47,"——")</f>
        <v>综上，本次评估不存在估价师知悉的法定优先受偿款</v>
      </c>
      <c r="B14" s="3547"/>
      <c r="C14" s="3547"/>
      <c r="D14" s="3547"/>
    </row>
    <row r="15" spans="1:4" ht="58.5" customHeight="1">
      <c r="A15" s="35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5"/>
      <c r="C15" s="3545"/>
      <c r="D15" s="3545"/>
    </row>
    <row r="16" spans="1:4" ht="70.5" customHeight="1">
      <c r="A16" s="35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5"/>
      <c r="C16" s="3545"/>
      <c r="D16" s="3545"/>
    </row>
    <row r="17" spans="1:4">
      <c r="A17" s="3545" t="s">
        <v>2704</v>
      </c>
      <c r="B17" s="3545"/>
      <c r="C17" s="3545"/>
      <c r="D17" s="3545"/>
    </row>
    <row r="18" spans="1:4">
      <c r="A18" s="3545" t="s">
        <v>2696</v>
      </c>
      <c r="B18" s="3545"/>
      <c r="C18" s="3545"/>
      <c r="D18" s="3545"/>
    </row>
    <row r="19" spans="1:4">
      <c r="A19" s="2893" t="s">
        <v>2697</v>
      </c>
      <c r="B19" s="2893" t="s">
        <v>2698</v>
      </c>
      <c r="C19" s="2893" t="s">
        <v>2699</v>
      </c>
      <c r="D19" s="2893" t="s">
        <v>2700</v>
      </c>
    </row>
    <row r="20" spans="1:4">
      <c r="A20" s="2893" t="str">
        <f>项目基本情况!B4</f>
        <v>吴薇</v>
      </c>
      <c r="B20" s="2893">
        <f ca="1">项目基本情况!C4</f>
        <v>2002110125</v>
      </c>
      <c r="C20" s="2895"/>
      <c r="D20" s="1800" t="s">
        <v>2705</v>
      </c>
    </row>
    <row r="21" spans="1:4">
      <c r="A21" s="2893" t="str">
        <f>项目基本情况!D4</f>
        <v>刘梅</v>
      </c>
      <c r="B21" s="2893">
        <f ca="1">项目基本情况!E4</f>
        <v>2008110059</v>
      </c>
      <c r="C21" s="2895"/>
      <c r="D21" s="1800" t="s">
        <v>2706</v>
      </c>
    </row>
    <row r="23" spans="1:4">
      <c r="A23" s="3545" t="s">
        <v>2701</v>
      </c>
      <c r="B23" s="3545"/>
      <c r="C23" s="3545"/>
      <c r="D23" s="3545"/>
    </row>
    <row r="24" spans="1:4">
      <c r="A24" s="2893" t="s">
        <v>2697</v>
      </c>
      <c r="B24" s="2893" t="s">
        <v>2702</v>
      </c>
      <c r="C24" s="2893" t="s">
        <v>2699</v>
      </c>
      <c r="D24" s="2893" t="s">
        <v>2700</v>
      </c>
    </row>
    <row r="25" spans="1:4">
      <c r="A25" s="2896" t="s">
        <v>2703</v>
      </c>
      <c r="B25" s="2893" t="s">
        <v>952</v>
      </c>
      <c r="C25" s="2895"/>
      <c r="D25" s="1800" t="s">
        <v>2706</v>
      </c>
    </row>
    <row r="29" spans="1:4">
      <c r="D29" s="2894" t="s">
        <v>2040</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556" t="s">
        <v>53</v>
      </c>
      <c r="B15" s="3557" t="s">
        <v>846</v>
      </c>
      <c r="C15" s="3553"/>
    </row>
    <row r="16" spans="1:7" ht="14.25">
      <c r="A16" s="3556"/>
      <c r="B16" s="3554" t="s">
        <v>54</v>
      </c>
      <c r="C16" s="1170" t="s">
        <v>53</v>
      </c>
    </row>
    <row r="17" spans="1:3" ht="14.25">
      <c r="A17" s="3556"/>
      <c r="B17" s="3554"/>
      <c r="C17" s="1170" t="s">
        <v>55</v>
      </c>
    </row>
    <row r="18" spans="1:3" ht="14.25">
      <c r="A18" s="3556"/>
      <c r="B18" s="3554"/>
      <c r="C18" s="1170" t="s">
        <v>56</v>
      </c>
    </row>
    <row r="19" spans="1:3" ht="14.25">
      <c r="A19" s="3556"/>
      <c r="B19" s="3552" t="s">
        <v>57</v>
      </c>
      <c r="C19" s="3553"/>
    </row>
    <row r="20" spans="1:3" ht="14.25">
      <c r="A20" s="1171" t="s">
        <v>58</v>
      </c>
      <c r="B20" s="1172"/>
      <c r="C20" s="1173"/>
    </row>
    <row r="21" spans="1:3" ht="14.25">
      <c r="A21" s="3555" t="s">
        <v>59</v>
      </c>
      <c r="B21" s="3552" t="s">
        <v>60</v>
      </c>
      <c r="C21" s="3553"/>
    </row>
    <row r="22" spans="1:3" ht="14.25">
      <c r="A22" s="3555"/>
      <c r="B22" s="3552" t="s">
        <v>61</v>
      </c>
      <c r="C22" s="3553"/>
    </row>
    <row r="23" spans="1:3" ht="14.25">
      <c r="A23" s="3555"/>
      <c r="B23" s="3552" t="s">
        <v>62</v>
      </c>
      <c r="C23" s="3553"/>
    </row>
    <row r="24" spans="1:3" ht="14.25">
      <c r="A24" s="3555"/>
      <c r="B24" s="3558" t="s">
        <v>63</v>
      </c>
      <c r="C24" s="1174" t="s">
        <v>837</v>
      </c>
    </row>
    <row r="25" spans="1:3" ht="14.25">
      <c r="A25" s="3555"/>
      <c r="B25" s="3559"/>
      <c r="C25" s="1174" t="s">
        <v>838</v>
      </c>
    </row>
    <row r="26" spans="1:3" ht="14.25">
      <c r="A26" s="3555"/>
      <c r="B26" s="3559"/>
      <c r="C26" s="1174" t="s">
        <v>839</v>
      </c>
    </row>
    <row r="27" spans="1:3" ht="14.25">
      <c r="A27" s="3555"/>
      <c r="B27" s="3559"/>
      <c r="C27" s="1174" t="s">
        <v>840</v>
      </c>
    </row>
    <row r="28" spans="1:3" ht="14.25">
      <c r="A28" s="3555"/>
      <c r="B28" s="3559"/>
      <c r="C28" s="1174" t="s">
        <v>841</v>
      </c>
    </row>
    <row r="29" spans="1:3" ht="14.25">
      <c r="A29" s="3555"/>
      <c r="B29" s="3559"/>
      <c r="C29" s="1174" t="s">
        <v>842</v>
      </c>
    </row>
    <row r="30" spans="1:3" ht="14.25">
      <c r="A30" s="3555"/>
      <c r="B30" s="3559"/>
      <c r="C30" s="1174" t="s">
        <v>843</v>
      </c>
    </row>
    <row r="31" spans="1:3" ht="14.25">
      <c r="A31" s="3555"/>
      <c r="B31" s="3559"/>
      <c r="C31" s="1174" t="s">
        <v>844</v>
      </c>
    </row>
    <row r="32" spans="1:3" ht="14.25">
      <c r="A32" s="3555"/>
      <c r="B32" s="3559"/>
      <c r="C32" s="1174" t="s">
        <v>1647</v>
      </c>
    </row>
    <row r="33" spans="1:3" ht="14.25">
      <c r="A33" s="3555"/>
      <c r="B33" s="3549" t="s">
        <v>1653</v>
      </c>
      <c r="C33" s="1174" t="s">
        <v>1648</v>
      </c>
    </row>
    <row r="34" spans="1:3" ht="14.25">
      <c r="A34" s="3555"/>
      <c r="B34" s="3550"/>
      <c r="C34" s="1179" t="s">
        <v>1649</v>
      </c>
    </row>
    <row r="35" spans="1:3" ht="14.25">
      <c r="A35" s="3555"/>
      <c r="B35" s="3550"/>
      <c r="C35" s="1180" t="s">
        <v>1650</v>
      </c>
    </row>
    <row r="36" spans="1:3" ht="14.25">
      <c r="A36" s="3555"/>
      <c r="B36" s="3550"/>
      <c r="C36" s="1180" t="s">
        <v>1651</v>
      </c>
    </row>
    <row r="37" spans="1:3" ht="14.25">
      <c r="A37" s="3555"/>
      <c r="B37" s="3551"/>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43143</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c r="B12" s="2343"/>
      <c r="C12" s="3030"/>
      <c r="D12" s="2343"/>
      <c r="E12" s="2343"/>
      <c r="F12" s="2343"/>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2576</v>
      </c>
      <c r="B15" s="2343">
        <v>1120070085</v>
      </c>
      <c r="C15" s="3030">
        <v>43814</v>
      </c>
      <c r="D15" s="2343" t="s">
        <v>2576</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2054</v>
      </c>
      <c r="B24" s="2345" t="s">
        <v>2054</v>
      </c>
      <c r="C24" s="3030"/>
      <c r="D24" s="3032" t="s">
        <v>2054</v>
      </c>
      <c r="E24" s="2345" t="s">
        <v>2054</v>
      </c>
      <c r="F24" s="2346"/>
    </row>
    <row r="25" spans="1:7" ht="20.25" customHeight="1">
      <c r="A25" s="3560" t="s">
        <v>1929</v>
      </c>
      <c r="B25" s="3560"/>
      <c r="C25" s="3560"/>
      <c r="D25" s="3560"/>
      <c r="E25" s="3560"/>
      <c r="F25" s="3560"/>
      <c r="G25" s="3560"/>
    </row>
    <row r="26" spans="1:7" ht="20.25" customHeight="1">
      <c r="A26" s="3561" t="s">
        <v>1930</v>
      </c>
      <c r="B26" s="3561"/>
      <c r="C26" s="3561"/>
      <c r="D26" s="3561" t="s">
        <v>1931</v>
      </c>
      <c r="E26" s="3561"/>
      <c r="F26" s="3561"/>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128</vt:i4>
      </vt:variant>
    </vt:vector>
  </HeadingPairs>
  <TitlesOfParts>
    <vt:vector size="171"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不动产比较法-住宅</vt:lpstr>
      <vt:lpstr>不动产比较法-商业</vt:lpstr>
      <vt:lpstr>典型户型修正</vt:lpstr>
      <vt:lpstr>不动产收益法-车库</vt:lpstr>
      <vt:lpstr>酒店收入计算</vt:lpstr>
      <vt:lpstr>成本逼近法</vt:lpstr>
      <vt:lpstr>不动产比较法-办公</vt:lpstr>
      <vt:lpstr>不动产比较法-工业</vt:lpstr>
      <vt:lpstr>不动产比较法-车位</vt:lpstr>
      <vt:lpstr>不动产比较法-仓储</vt:lpstr>
      <vt:lpstr>存贷款利率</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2018-02-12T05:35:32Z</dcterms:modified>
</cp:coreProperties>
</file>