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天津合景项目国通信托询价\"/>
    </mc:Choice>
  </mc:AlternateContent>
  <xr:revisionPtr revIDLastSave="0" documentId="13_ncr:1_{53CD36F1-DCAC-4D3F-B510-5AF6E1813FF8}" xr6:coauthVersionLast="45" xr6:coauthVersionMax="45" xr10:uidLastSave="{00000000-0000-0000-0000-000000000000}"/>
  <bookViews>
    <workbookView xWindow="-120" yWindow="-120" windowWidth="19440" windowHeight="1500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面积" sheetId="77" r:id="rId11"/>
    <sheet name="商业面积" sheetId="78"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商业面积!$A$1:$I$143</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2">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47" i="77" l="1"/>
  <c r="I21" i="1" l="1"/>
  <c r="J25" i="77"/>
  <c r="J144" i="78"/>
  <c r="N9" i="1" s="1"/>
  <c r="J115" i="78"/>
  <c r="J116" i="78"/>
  <c r="J117" i="78" s="1"/>
  <c r="J118" i="78" s="1"/>
  <c r="J119" i="78" s="1"/>
  <c r="J120" i="78" s="1"/>
  <c r="J121" i="78" s="1"/>
  <c r="J122" i="78" s="1"/>
  <c r="J123" i="78" s="1"/>
  <c r="J124" i="78" s="1"/>
  <c r="J125" i="78" s="1"/>
  <c r="J126" i="78" s="1"/>
  <c r="J127" i="78" s="1"/>
  <c r="J128" i="78" s="1"/>
  <c r="J129" i="78" s="1"/>
  <c r="J130" i="78" s="1"/>
  <c r="J131" i="78" s="1"/>
  <c r="J132" i="78" s="1"/>
  <c r="J133" i="78" s="1"/>
  <c r="J134" i="78" s="1"/>
  <c r="J135" i="78" s="1"/>
  <c r="J136" i="78" s="1"/>
  <c r="J137" i="78" s="1"/>
  <c r="J138" i="78" s="1"/>
  <c r="J139" i="78" s="1"/>
  <c r="J140" i="78" s="1"/>
  <c r="J141" i="78" s="1"/>
  <c r="J142" i="78" s="1"/>
  <c r="J143" i="78" s="1"/>
  <c r="J114" i="78"/>
  <c r="J113" i="78"/>
  <c r="J50" i="78"/>
  <c r="J51" i="78"/>
  <c r="J52" i="78" s="1"/>
  <c r="J53" i="78" s="1"/>
  <c r="J54" i="78" s="1"/>
  <c r="J55" i="78" s="1"/>
  <c r="J56" i="78" s="1"/>
  <c r="J57" i="78" s="1"/>
  <c r="J58" i="78" s="1"/>
  <c r="J59" i="78" s="1"/>
  <c r="J60" i="78" s="1"/>
  <c r="J61" i="78" s="1"/>
  <c r="J62" i="78" s="1"/>
  <c r="J63" i="78" s="1"/>
  <c r="J64" i="78" s="1"/>
  <c r="J65" i="78" s="1"/>
  <c r="J66" i="78" s="1"/>
  <c r="J67" i="78" s="1"/>
  <c r="J68" i="78" s="1"/>
  <c r="J69" i="78" s="1"/>
  <c r="J70" i="78" s="1"/>
  <c r="J71" i="78" s="1"/>
  <c r="J72" i="78" s="1"/>
  <c r="J73" i="78" s="1"/>
  <c r="J74" i="78" s="1"/>
  <c r="J75" i="78" s="1"/>
  <c r="J76" i="78" s="1"/>
  <c r="J77" i="78" s="1"/>
  <c r="J78" i="78" s="1"/>
  <c r="J79" i="78" s="1"/>
  <c r="J80" i="78" s="1"/>
  <c r="J81" i="78" s="1"/>
  <c r="J82" i="78" s="1"/>
  <c r="J83" i="78" s="1"/>
  <c r="J84" i="78" s="1"/>
  <c r="J85" i="78" s="1"/>
  <c r="J86" i="78" s="1"/>
  <c r="J87" i="78" s="1"/>
  <c r="J88" i="78" s="1"/>
  <c r="J89" i="78" s="1"/>
  <c r="J90" i="78" s="1"/>
  <c r="J91" i="78" s="1"/>
  <c r="J92" i="78" s="1"/>
  <c r="J93" i="78" s="1"/>
  <c r="J94" i="78" s="1"/>
  <c r="J95" i="78" s="1"/>
  <c r="J96" i="78" s="1"/>
  <c r="J97" i="78" s="1"/>
  <c r="J98" i="78" s="1"/>
  <c r="J99" i="78" s="1"/>
  <c r="J100" i="78" s="1"/>
  <c r="J101" i="78" s="1"/>
  <c r="J102" i="78" s="1"/>
  <c r="J103" i="78" s="1"/>
  <c r="J104" i="78" s="1"/>
  <c r="J105" i="78" s="1"/>
  <c r="J106" i="78" s="1"/>
  <c r="J107" i="78" s="1"/>
  <c r="J108" i="78" s="1"/>
  <c r="J109" i="78" s="1"/>
  <c r="J110" i="78" s="1"/>
  <c r="J111" i="78" s="1"/>
  <c r="J112" i="78" s="1"/>
  <c r="J49" i="78"/>
  <c r="J3" i="78"/>
  <c r="J4" i="78" s="1"/>
  <c r="J5" i="78" s="1"/>
  <c r="J6" i="78" s="1"/>
  <c r="J7" i="78" s="1"/>
  <c r="J8" i="78" s="1"/>
  <c r="J9" i="78" s="1"/>
  <c r="J10" i="78" s="1"/>
  <c r="J11" i="78" s="1"/>
  <c r="J12" i="78" s="1"/>
  <c r="J13" i="78" s="1"/>
  <c r="J14" i="78" s="1"/>
  <c r="J15" i="78" s="1"/>
  <c r="J16" i="78" s="1"/>
  <c r="J17" i="78" s="1"/>
  <c r="J18" i="78" s="1"/>
  <c r="J19" i="78" s="1"/>
  <c r="J20" i="78" s="1"/>
  <c r="J21" i="78" s="1"/>
  <c r="J22" i="78" s="1"/>
  <c r="J23" i="78" s="1"/>
  <c r="J24" i="78" s="1"/>
  <c r="J25" i="78" s="1"/>
  <c r="J26" i="78" s="1"/>
  <c r="J27" i="78" s="1"/>
  <c r="J28" i="78" s="1"/>
  <c r="J29" i="78" s="1"/>
  <c r="J30" i="78" s="1"/>
  <c r="J31" i="78" s="1"/>
  <c r="J32" i="78" s="1"/>
  <c r="J33" i="78" s="1"/>
  <c r="J34" i="78" s="1"/>
  <c r="J35" i="78" s="1"/>
  <c r="J36" i="78" s="1"/>
  <c r="J37" i="78" s="1"/>
  <c r="J38" i="78" s="1"/>
  <c r="J39" i="78" s="1"/>
  <c r="J40" i="78" s="1"/>
  <c r="J41" i="78" s="1"/>
  <c r="J42" i="78" s="1"/>
  <c r="J43" i="78" s="1"/>
  <c r="J44" i="78" s="1"/>
  <c r="J45" i="78" s="1"/>
  <c r="J46" i="78" s="1"/>
  <c r="J47" i="78" s="1"/>
  <c r="F164" i="78"/>
  <c r="M44" i="77"/>
  <c r="J20" i="77"/>
  <c r="Q5" i="77" s="1"/>
  <c r="U5" i="77" s="1"/>
  <c r="J19" i="77"/>
  <c r="J18" i="77"/>
  <c r="J7" i="77"/>
  <c r="J6" i="77"/>
  <c r="J5" i="77"/>
  <c r="J4" i="77"/>
  <c r="J3" i="77"/>
  <c r="J9" i="77"/>
  <c r="B15" i="74"/>
  <c r="C15" i="74"/>
  <c r="T5" i="77"/>
  <c r="P5" i="77"/>
  <c r="R5" i="77" l="1"/>
  <c r="F6" i="12"/>
  <c r="F8" i="12"/>
  <c r="N8" i="1" l="1"/>
  <c r="N7" i="1"/>
  <c r="M42" i="77"/>
  <c r="M36" i="77"/>
  <c r="M37" i="77"/>
  <c r="M38" i="77" s="1"/>
  <c r="M39" i="77" s="1"/>
  <c r="M40" i="77" s="1"/>
  <c r="M41" i="77" s="1"/>
  <c r="M35" i="77"/>
  <c r="I37" i="77"/>
  <c r="I39" i="77"/>
  <c r="I41" i="77"/>
  <c r="I35" i="77"/>
  <c r="J22" i="77"/>
  <c r="K15" i="3" l="1"/>
  <c r="Q8" i="1" l="1"/>
  <c r="Q7" i="1"/>
  <c r="C6" i="12"/>
  <c r="O6" i="12"/>
  <c r="O7" i="12" s="1"/>
  <c r="P7" i="12" s="1"/>
  <c r="M8" i="12"/>
  <c r="N8" i="12"/>
  <c r="M7" i="12"/>
  <c r="M6" i="12"/>
  <c r="M9" i="12" s="1"/>
  <c r="O8" i="12" l="1"/>
  <c r="P8" i="12" s="1"/>
  <c r="E6" i="12"/>
  <c r="D6" i="12"/>
  <c r="P6" i="12"/>
  <c r="P9" i="12" l="1"/>
  <c r="O9" i="12" s="1"/>
  <c r="L6" i="1" l="1"/>
  <c r="L7" i="1" s="1"/>
  <c r="L8" i="1" l="1"/>
  <c r="L23" i="77"/>
  <c r="AD13" i="3"/>
  <c r="F144" i="78"/>
  <c r="K12" i="77"/>
  <c r="K11" i="77"/>
  <c r="L22" i="77" l="1"/>
  <c r="F165" i="78"/>
  <c r="L5" i="78"/>
  <c r="J21" i="77" s="1"/>
  <c r="O13" i="3" l="1"/>
  <c r="F22" i="6" s="1"/>
  <c r="L21" i="77"/>
  <c r="F147" i="78"/>
  <c r="E760" i="77" l="1"/>
  <c r="G46" i="77"/>
  <c r="G45" i="77"/>
  <c r="G44" i="77"/>
  <c r="I14" i="3" s="1"/>
  <c r="G43" i="77"/>
  <c r="G42" i="77"/>
  <c r="G41" i="77"/>
  <c r="G40" i="77"/>
  <c r="G39" i="77"/>
  <c r="G38" i="77"/>
  <c r="G37" i="77"/>
  <c r="G36" i="77"/>
  <c r="G35" i="77"/>
  <c r="G34" i="77"/>
  <c r="I13" i="3" l="1"/>
  <c r="F19" i="6" s="1"/>
  <c r="K13" i="3"/>
  <c r="F20" i="6" s="1"/>
  <c r="D25" i="77"/>
  <c r="I13" i="77" s="1"/>
  <c r="D17" i="77"/>
  <c r="K5" i="77"/>
  <c r="L6" i="77"/>
  <c r="L7" i="77"/>
  <c r="K4" i="77"/>
  <c r="K3" i="77"/>
  <c r="B28" i="77"/>
  <c r="C25" i="77"/>
  <c r="B21" i="77"/>
  <c r="B22" i="77"/>
  <c r="B23" i="77"/>
  <c r="B24" i="77"/>
  <c r="B20" i="77"/>
  <c r="B5" i="77"/>
  <c r="B6" i="77"/>
  <c r="B7" i="77"/>
  <c r="B8" i="77"/>
  <c r="B9" i="77"/>
  <c r="B10" i="77"/>
  <c r="B11" i="77"/>
  <c r="B12" i="77"/>
  <c r="B13" i="77"/>
  <c r="B14" i="77"/>
  <c r="B15" i="77"/>
  <c r="B16" i="77"/>
  <c r="B4" i="77"/>
  <c r="C17" i="77"/>
  <c r="L5" i="77" l="1"/>
  <c r="N20" i="77"/>
  <c r="M13" i="3"/>
  <c r="F21" i="6" s="1"/>
  <c r="L20" i="77"/>
  <c r="N19" i="77"/>
  <c r="L19" i="77"/>
  <c r="L4" i="77"/>
  <c r="N18" i="77"/>
  <c r="L29" i="77"/>
  <c r="L18" i="77"/>
  <c r="B25" i="77"/>
  <c r="L3" i="77"/>
  <c r="B17" i="77"/>
  <c r="D29" i="77"/>
  <c r="C29" i="77"/>
  <c r="AH5" i="71"/>
  <c r="AG5" i="71"/>
  <c r="AE5" i="71"/>
  <c r="AF5" i="71" s="1"/>
  <c r="AD5" i="71"/>
  <c r="Q5" i="71"/>
  <c r="P5" i="71"/>
  <c r="O5" i="71"/>
  <c r="N5" i="71"/>
  <c r="J31" i="77" l="1"/>
  <c r="I3" i="77"/>
  <c r="I18" i="77" s="1"/>
  <c r="A3" i="3" s="1"/>
  <c r="K14" i="77"/>
  <c r="K8" i="77" s="1"/>
  <c r="B29" i="77"/>
  <c r="H16" i="49"/>
  <c r="D16" i="49"/>
  <c r="D15" i="49"/>
  <c r="B2" i="49"/>
  <c r="F15" i="49" s="1"/>
  <c r="H15" i="49" s="1"/>
  <c r="L8" i="77" l="1"/>
  <c r="K9" i="77"/>
  <c r="P6" i="77"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T6" i="77" l="1"/>
  <c r="T7" i="77" s="1"/>
  <c r="P7" i="77"/>
  <c r="K24" i="77"/>
  <c r="Q6" i="77" s="1"/>
  <c r="L9" i="77"/>
  <c r="K42" i="40"/>
  <c r="K47" i="39"/>
  <c r="K36" i="36"/>
  <c r="E59" i="9"/>
  <c r="Q7" i="77" l="1"/>
  <c r="U6" i="77"/>
  <c r="U7" i="77" s="1"/>
  <c r="T8" i="77" s="1"/>
  <c r="B29" i="1"/>
  <c r="U9" i="77"/>
  <c r="R6" i="77"/>
  <c r="R7" i="77" s="1"/>
  <c r="S10" i="77" s="1"/>
  <c r="Q13" i="3"/>
  <c r="G23" i="6" s="1"/>
  <c r="L24" i="77"/>
  <c r="K25" i="77"/>
  <c r="L25" i="77" s="1"/>
  <c r="K38" i="35"/>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P17" i="71"/>
  <c r="O17" i="71"/>
  <c r="N17"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A12" i="62"/>
  <c r="B58" i="72" s="1"/>
  <c r="A120" i="9"/>
  <c r="A6" i="52" s="1"/>
  <c r="B57" i="72" s="1"/>
  <c r="H2" i="52"/>
  <c r="A1" i="52"/>
  <c r="A3" i="53"/>
  <c r="Q18" i="71"/>
  <c r="P18" i="71"/>
  <c r="O18" i="71"/>
  <c r="N18"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AJ10" i="43"/>
  <c r="K49" i="9"/>
  <c r="E107" i="9"/>
  <c r="A122" i="9" s="1"/>
  <c r="A8" i="52" s="1"/>
  <c r="B54" i="72" s="1"/>
  <c r="E111" i="9"/>
  <c r="A126" i="9"/>
  <c r="A12" i="52" s="1"/>
  <c r="B56" i="72" s="1"/>
  <c r="E109" i="9"/>
  <c r="A124" i="9"/>
  <c r="B44" i="72"/>
  <c r="B42" i="72"/>
  <c r="B69" i="72"/>
  <c r="B68" i="72"/>
  <c r="B63" i="72"/>
  <c r="B62" i="72"/>
  <c r="B16" i="72"/>
  <c r="B65" i="72"/>
  <c r="B66" i="72"/>
  <c r="B10" i="72"/>
  <c r="C53" i="10"/>
  <c r="B51" i="10"/>
  <c r="A18" i="51"/>
  <c r="B13" i="72" s="1"/>
  <c r="B49" i="48"/>
  <c r="B5" i="72" s="1"/>
  <c r="I19" i="43"/>
  <c r="D81" i="71"/>
  <c r="F80" i="71"/>
  <c r="F79" i="71" s="1"/>
  <c r="F78" i="71" s="1"/>
  <c r="E80" i="71"/>
  <c r="E79" i="71" s="1"/>
  <c r="E78" i="71" s="1"/>
  <c r="C80" i="71"/>
  <c r="D80" i="71" s="1"/>
  <c r="B80" i="7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B60" i="71"/>
  <c r="S60" i="71"/>
  <c r="B59" i="71"/>
  <c r="B58" i="71" s="1"/>
  <c r="N57"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C35" i="71" s="1"/>
  <c r="D35" i="71" s="1"/>
  <c r="N33" i="71"/>
  <c r="B34" i="71" s="1"/>
  <c r="B35" i="71" s="1"/>
  <c r="B36" i="71" s="1"/>
  <c r="S36" i="71" s="1"/>
  <c r="D33" i="71"/>
  <c r="Q32" i="71"/>
  <c r="P32" i="71"/>
  <c r="O32" i="71"/>
  <c r="N32" i="71"/>
  <c r="Q31" i="71"/>
  <c r="AB31" i="71" s="1"/>
  <c r="P31" i="71"/>
  <c r="O31" i="71"/>
  <c r="Y31" i="71" s="1"/>
  <c r="Z31" i="71" s="1"/>
  <c r="N31" i="71"/>
  <c r="X31" i="71" s="1"/>
  <c r="Q30" i="71"/>
  <c r="AB30" i="71" s="1"/>
  <c r="P30" i="71"/>
  <c r="AA30" i="71" s="1"/>
  <c r="O30" i="71"/>
  <c r="N30" i="71"/>
  <c r="Q29" i="71"/>
  <c r="F30" i="71" s="1"/>
  <c r="P29" i="71"/>
  <c r="O29" i="71"/>
  <c r="C30" i="71" s="1"/>
  <c r="N29" i="71"/>
  <c r="B30" i="71" s="1"/>
  <c r="B31" i="71" s="1"/>
  <c r="B32" i="71" s="1"/>
  <c r="S32" i="71" s="1"/>
  <c r="D29" i="71"/>
  <c r="Q28" i="71"/>
  <c r="AB28" i="71" s="1"/>
  <c r="P28" i="71"/>
  <c r="O28" i="71"/>
  <c r="N28" i="71"/>
  <c r="X28" i="71" s="1"/>
  <c r="Q27" i="71"/>
  <c r="P27" i="71"/>
  <c r="O27" i="71"/>
  <c r="N27" i="71"/>
  <c r="Q26" i="71"/>
  <c r="AB26" i="71"/>
  <c r="P26" i="71"/>
  <c r="O26" i="71"/>
  <c r="Y26" i="71" s="1"/>
  <c r="Z26" i="71" s="1"/>
  <c r="N26" i="71"/>
  <c r="Q25" i="71"/>
  <c r="F26" i="71" s="1"/>
  <c r="F27" i="71" s="1"/>
  <c r="F28" i="71" s="1"/>
  <c r="V28" i="71" s="1"/>
  <c r="P25" i="71"/>
  <c r="O25" i="71"/>
  <c r="N25" i="71"/>
  <c r="D25" i="71"/>
  <c r="Q24" i="71"/>
  <c r="P24" i="71"/>
  <c r="O24" i="71"/>
  <c r="N24" i="71"/>
  <c r="Q23" i="71"/>
  <c r="P23" i="71"/>
  <c r="AA17" i="71" s="1"/>
  <c r="O23" i="71"/>
  <c r="N23" i="71"/>
  <c r="X21" i="71" s="1"/>
  <c r="Q22" i="71"/>
  <c r="AB22" i="71"/>
  <c r="P22" i="71"/>
  <c r="O22" i="71"/>
  <c r="Y22" i="71" s="1"/>
  <c r="Z22" i="71" s="1"/>
  <c r="N22" i="71"/>
  <c r="Q21" i="71"/>
  <c r="AB17" i="71" s="1"/>
  <c r="P21" i="71"/>
  <c r="O21" i="71"/>
  <c r="N21" i="71"/>
  <c r="D21" i="71"/>
  <c r="O20" i="71"/>
  <c r="N20" i="71"/>
  <c r="B22" i="71"/>
  <c r="B23" i="71"/>
  <c r="E22" i="71"/>
  <c r="E23" i="71" s="1"/>
  <c r="E24" i="71"/>
  <c r="U24" i="71" s="1"/>
  <c r="B26" i="71"/>
  <c r="B27" i="71"/>
  <c r="E30" i="71"/>
  <c r="E31" i="71" s="1"/>
  <c r="N60" i="71"/>
  <c r="E26" i="71"/>
  <c r="E27" i="71"/>
  <c r="E28" i="71" s="1"/>
  <c r="U28" i="71" s="1"/>
  <c r="C22" i="71"/>
  <c r="D22" i="71" s="1"/>
  <c r="C26" i="71"/>
  <c r="C27" i="71" s="1"/>
  <c r="D27" i="71" s="1"/>
  <c r="AA27" i="71"/>
  <c r="AA28" i="71"/>
  <c r="X30" i="71"/>
  <c r="F44" i="71"/>
  <c r="V44" i="71" s="1"/>
  <c r="C20" i="71"/>
  <c r="C19" i="71" s="1"/>
  <c r="C18" i="71" s="1"/>
  <c r="D18" i="71" s="1"/>
  <c r="X17" i="71"/>
  <c r="D30" i="71"/>
  <c r="C43" i="71"/>
  <c r="D43" i="71" s="1"/>
  <c r="P20" i="71"/>
  <c r="E51" i="71"/>
  <c r="E52" i="71" s="1"/>
  <c r="U52" i="71" s="1"/>
  <c r="E59" i="71"/>
  <c r="E58" i="71" s="1"/>
  <c r="P58" i="71" s="1"/>
  <c r="Q20" i="71"/>
  <c r="C51" i="71"/>
  <c r="D51" i="71" s="1"/>
  <c r="C59" i="71"/>
  <c r="O59" i="71" s="1"/>
  <c r="C63" i="71"/>
  <c r="D63" i="71" s="1"/>
  <c r="E63" i="71"/>
  <c r="E62" i="71"/>
  <c r="D64" i="71"/>
  <c r="E67" i="71"/>
  <c r="E66" i="71" s="1"/>
  <c r="C71" i="71"/>
  <c r="C70" i="71" s="1"/>
  <c r="D70" i="71" s="1"/>
  <c r="E71" i="71"/>
  <c r="E70" i="71"/>
  <c r="D72" i="71"/>
  <c r="C75" i="71"/>
  <c r="D75" i="71" s="1"/>
  <c r="C79" i="71"/>
  <c r="T20" i="71"/>
  <c r="F20" i="71"/>
  <c r="F19" i="71"/>
  <c r="F18" i="71" s="1"/>
  <c r="E20" i="71"/>
  <c r="D20" i="71"/>
  <c r="U20" i="71" s="1"/>
  <c r="D59" i="71"/>
  <c r="C74" i="71"/>
  <c r="D74" i="71" s="1"/>
  <c r="D79" i="71"/>
  <c r="C78" i="71"/>
  <c r="D78" i="71" s="1"/>
  <c r="C62" i="71"/>
  <c r="D62" i="71" s="1"/>
  <c r="C52" i="71"/>
  <c r="C36" i="71"/>
  <c r="T36" i="71" s="1"/>
  <c r="D19" i="71"/>
  <c r="D36" i="71"/>
  <c r="T52" i="71"/>
  <c r="D52" i="71"/>
  <c r="O27" i="6"/>
  <c r="N27" i="6"/>
  <c r="P20" i="6"/>
  <c r="P21" i="6"/>
  <c r="P22" i="6"/>
  <c r="P23" i="6"/>
  <c r="P24" i="6"/>
  <c r="P25" i="6"/>
  <c r="P26" i="6"/>
  <c r="P19" i="6"/>
  <c r="AP9" i="1"/>
  <c r="AP10" i="1"/>
  <c r="AP11" i="1"/>
  <c r="AP12" i="1"/>
  <c r="AP13" i="1"/>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U18" i="36"/>
  <c r="S21" i="34"/>
  <c r="H25" i="40"/>
  <c r="J25" i="40"/>
  <c r="AC25" i="40" s="1"/>
  <c r="H29" i="39"/>
  <c r="AB29" i="39" s="1"/>
  <c r="J29" i="39"/>
  <c r="AC29" i="39" s="1"/>
  <c r="J18" i="36"/>
  <c r="AC18" i="36" s="1"/>
  <c r="H18" i="35"/>
  <c r="AB18" i="35" s="1"/>
  <c r="J18" i="35"/>
  <c r="AC18" i="35" s="1"/>
  <c r="F77" i="37"/>
  <c r="G77" i="37" s="1"/>
  <c r="H21" i="37"/>
  <c r="AB21" i="37" s="1"/>
  <c r="F21" i="37"/>
  <c r="AA21" i="37" s="1"/>
  <c r="H21" i="34"/>
  <c r="AB21" i="34" s="1"/>
  <c r="H21" i="33"/>
  <c r="U21" i="33" s="1"/>
  <c r="F21" i="33"/>
  <c r="E83" i="21"/>
  <c r="F83" i="21" s="1"/>
  <c r="G83" i="21" s="1"/>
  <c r="S21" i="21"/>
  <c r="H1" i="69"/>
  <c r="W25" i="40"/>
  <c r="AB25" i="40"/>
  <c r="U25" i="40"/>
  <c r="U29" i="39"/>
  <c r="W29" i="39"/>
  <c r="W18" i="36"/>
  <c r="U21" i="37"/>
  <c r="S21" i="37"/>
  <c r="U21" i="34"/>
  <c r="AA21" i="33"/>
  <c r="S21" i="33"/>
  <c r="U18" i="35"/>
  <c r="W18" i="35"/>
  <c r="J21" i="37"/>
  <c r="AC21" i="37" s="1"/>
  <c r="J21" i="34"/>
  <c r="AC21" i="34" s="1"/>
  <c r="J21" i="33"/>
  <c r="AC21" i="33" s="1"/>
  <c r="H21" i="21"/>
  <c r="AB21" i="21" s="1"/>
  <c r="F38" i="69"/>
  <c r="E37" i="69"/>
  <c r="F36" i="69"/>
  <c r="F35" i="69"/>
  <c r="F21" i="69"/>
  <c r="F40" i="69" s="1"/>
  <c r="F20" i="69"/>
  <c r="F39" i="69" s="1"/>
  <c r="E10" i="69"/>
  <c r="E9" i="69"/>
  <c r="C7" i="69"/>
  <c r="W21" i="37"/>
  <c r="W21" i="33"/>
  <c r="U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1" i="66" s="1"/>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F3" i="35"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c r="R35" i="4"/>
  <c r="Q35" i="4"/>
  <c r="P35" i="4"/>
  <c r="O35" i="4"/>
  <c r="N35" i="4"/>
  <c r="M35" i="4"/>
  <c r="L35" i="4"/>
  <c r="K34" i="4"/>
  <c r="T34" i="4" s="1"/>
  <c r="G13" i="1"/>
  <c r="I15" i="4"/>
  <c r="H15" i="4"/>
  <c r="G15" i="4"/>
  <c r="F10" i="1" s="1"/>
  <c r="E15" i="4"/>
  <c r="F9" i="1" s="1"/>
  <c r="D15" i="4"/>
  <c r="F8" i="1" s="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M8" i="1" s="1"/>
  <c r="O8" i="1" s="1"/>
  <c r="P8" i="1" s="1"/>
  <c r="F23" i="15"/>
  <c r="D24" i="15" s="1"/>
  <c r="E22" i="6"/>
  <c r="E23" i="6"/>
  <c r="G7" i="12"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H5" i="3" s="1"/>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P5" i="3" s="1"/>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A567" i="3" s="1"/>
  <c r="BC567" i="3"/>
  <c r="BD567" i="3"/>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A575" i="3" s="1"/>
  <c r="AZ575" i="3" s="1"/>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C26" i="35"/>
  <c r="C79" i="35" s="1"/>
  <c r="J31" i="35"/>
  <c r="H31" i="35"/>
  <c r="AB31" i="35" s="1"/>
  <c r="F31" i="35"/>
  <c r="AA31" i="35" s="1"/>
  <c r="D87" i="35"/>
  <c r="E87" i="35" s="1"/>
  <c r="F87" i="35" s="1"/>
  <c r="G87" i="35" s="1"/>
  <c r="H87" i="35"/>
  <c r="I87" i="35" s="1"/>
  <c r="J87" i="35" s="1"/>
  <c r="K87" i="35" s="1"/>
  <c r="L87" i="35" s="1"/>
  <c r="M87" i="35" s="1"/>
  <c r="H34" i="37"/>
  <c r="AB34" i="37" s="1"/>
  <c r="D101" i="37"/>
  <c r="F34" i="37"/>
  <c r="D99" i="37"/>
  <c r="E99" i="37" s="1"/>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W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s="1"/>
  <c r="F92" i="40" s="1"/>
  <c r="G92" i="40" s="1"/>
  <c r="D90" i="40"/>
  <c r="E90" i="40" s="1"/>
  <c r="F90" i="40" s="1"/>
  <c r="G90" i="40" s="1"/>
  <c r="D88" i="40"/>
  <c r="E88" i="40"/>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Q39" i="40"/>
  <c r="Z39" i="40" s="1"/>
  <c r="H39" i="40"/>
  <c r="Q38" i="40"/>
  <c r="Z38" i="40" s="1"/>
  <c r="J38" i="40"/>
  <c r="AC38" i="40" s="1"/>
  <c r="H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D105" i="39"/>
  <c r="E105" i="39" s="1"/>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c r="M126" i="39" s="1"/>
  <c r="D122" i="39"/>
  <c r="E122" i="39" s="1"/>
  <c r="F122" i="39"/>
  <c r="G122" i="39" s="1"/>
  <c r="H122" i="39" s="1"/>
  <c r="I122" i="39" s="1"/>
  <c r="J122" i="39" s="1"/>
  <c r="K122" i="39" s="1"/>
  <c r="L122" i="39" s="1"/>
  <c r="M122" i="39" s="1"/>
  <c r="B104" i="39"/>
  <c r="J31" i="39" s="1"/>
  <c r="W31" i="39" s="1"/>
  <c r="D97" i="39"/>
  <c r="J23" i="39"/>
  <c r="D95" i="39"/>
  <c r="E95" i="39" s="1"/>
  <c r="F95" i="39" s="1"/>
  <c r="D93" i="39"/>
  <c r="E93" i="39" s="1"/>
  <c r="F93" i="39" s="1"/>
  <c r="G93" i="39" s="1"/>
  <c r="D91" i="39"/>
  <c r="E91" i="39"/>
  <c r="F91" i="39" s="1"/>
  <c r="G91" i="39" s="1"/>
  <c r="D89" i="39"/>
  <c r="E89" i="39"/>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D105" i="37"/>
  <c r="E105" i="37" s="1"/>
  <c r="D103" i="37"/>
  <c r="E103" i="37" s="1"/>
  <c r="F103" i="37" s="1"/>
  <c r="G103" i="37" s="1"/>
  <c r="H103" i="37" s="1"/>
  <c r="J35" i="37"/>
  <c r="W35" i="37"/>
  <c r="F97" i="37"/>
  <c r="E97" i="37"/>
  <c r="D97" i="37"/>
  <c r="C97" i="37"/>
  <c r="D96" i="37"/>
  <c r="E96" i="37"/>
  <c r="D94" i="37"/>
  <c r="M90" i="37"/>
  <c r="L90" i="37"/>
  <c r="K90" i="37"/>
  <c r="J90" i="37"/>
  <c r="I90" i="37"/>
  <c r="H90" i="37"/>
  <c r="G90" i="37"/>
  <c r="F90" i="37"/>
  <c r="E90" i="37"/>
  <c r="D90" i="37"/>
  <c r="C90" i="37"/>
  <c r="D89" i="37"/>
  <c r="B86" i="37"/>
  <c r="J28" i="37" s="1"/>
  <c r="B84" i="37"/>
  <c r="H27" i="37"/>
  <c r="U27" i="37" s="1"/>
  <c r="B82" i="37"/>
  <c r="D79" i="37"/>
  <c r="E79" i="37" s="1"/>
  <c r="F79" i="37" s="1"/>
  <c r="D75" i="37"/>
  <c r="E75" i="37" s="1"/>
  <c r="D73" i="37"/>
  <c r="E73" i="37" s="1"/>
  <c r="F73" i="37" s="1"/>
  <c r="G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F9" i="36"/>
  <c r="AA9" i="36" s="1"/>
  <c r="J8" i="36"/>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W12" i="33" s="1"/>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c r="F70" i="35" s="1"/>
  <c r="G70" i="35" s="1"/>
  <c r="D66" i="35"/>
  <c r="E66" i="35"/>
  <c r="F66" i="35" s="1"/>
  <c r="G66" i="35" s="1"/>
  <c r="D64" i="35"/>
  <c r="E64" i="35" s="1"/>
  <c r="F64" i="35" s="1"/>
  <c r="G64" i="35" s="1"/>
  <c r="J14" i="35"/>
  <c r="W14" i="35" s="1"/>
  <c r="F56" i="35"/>
  <c r="G56" i="35" s="1"/>
  <c r="H56" i="35" s="1"/>
  <c r="I56"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H8" i="35"/>
  <c r="F8" i="35"/>
  <c r="D120" i="34"/>
  <c r="E120" i="34" s="1"/>
  <c r="F120" i="34" s="1"/>
  <c r="G120" i="34" s="1"/>
  <c r="H120" i="34"/>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F8" i="34"/>
  <c r="D121" i="33"/>
  <c r="E121" i="33" s="1"/>
  <c r="F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c r="H108" i="21" s="1"/>
  <c r="I108" i="21" s="1"/>
  <c r="J108" i="21" s="1"/>
  <c r="K108" i="21" s="1"/>
  <c r="L108" i="21" s="1"/>
  <c r="M108" i="21" s="1"/>
  <c r="D106" i="21"/>
  <c r="E106" i="21" s="1"/>
  <c r="F106" i="21" s="1"/>
  <c r="G106" i="21"/>
  <c r="H106" i="21" s="1"/>
  <c r="I106" i="21" s="1"/>
  <c r="J106" i="21" s="1"/>
  <c r="K106" i="21" s="1"/>
  <c r="L106" i="21" s="1"/>
  <c r="M106" i="21" s="1"/>
  <c r="D101" i="21"/>
  <c r="E101" i="21" s="1"/>
  <c r="F101" i="21" s="1"/>
  <c r="G101" i="2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c r="B126" i="21"/>
  <c r="B98" i="21"/>
  <c r="B96" i="21"/>
  <c r="B94" i="21"/>
  <c r="B92" i="21"/>
  <c r="B90" i="21"/>
  <c r="J27" i="2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D8" i="12" s="1"/>
  <c r="E7" i="12"/>
  <c r="E8" i="12" s="1"/>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H38" i="21"/>
  <c r="U38" i="21" s="1"/>
  <c r="H43" i="21"/>
  <c r="F38" i="21"/>
  <c r="S38" i="21" s="1"/>
  <c r="F36" i="21"/>
  <c r="S36" i="21" s="1"/>
  <c r="F39" i="21"/>
  <c r="AA39" i="21" s="1"/>
  <c r="J40" i="2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S41" i="21"/>
  <c r="AA41" i="21"/>
  <c r="F36" i="39"/>
  <c r="S36" i="39" s="1"/>
  <c r="H36" i="39"/>
  <c r="AB36" i="39" s="1"/>
  <c r="J36" i="39"/>
  <c r="AC36" i="39" s="1"/>
  <c r="W40" i="39"/>
  <c r="U30" i="37"/>
  <c r="I103" i="37"/>
  <c r="J103" i="37" s="1"/>
  <c r="K103" i="37" s="1"/>
  <c r="L103" i="37" s="1"/>
  <c r="M103" i="37" s="1"/>
  <c r="F39" i="37"/>
  <c r="S39" i="37"/>
  <c r="F29" i="36"/>
  <c r="AA29" i="36" s="1"/>
  <c r="F16" i="36"/>
  <c r="AA31" i="36"/>
  <c r="U31" i="36"/>
  <c r="J33" i="36"/>
  <c r="W33" i="36" s="1"/>
  <c r="H22" i="35"/>
  <c r="AB22" i="35" s="1"/>
  <c r="AC27" i="35"/>
  <c r="U31" i="35"/>
  <c r="W22" i="35"/>
  <c r="S31" i="35"/>
  <c r="F36" i="34"/>
  <c r="S36" i="34" s="1"/>
  <c r="J35" i="34"/>
  <c r="W35" i="34" s="1"/>
  <c r="S34" i="34"/>
  <c r="U34" i="34"/>
  <c r="H39" i="33"/>
  <c r="AB39" i="33" s="1"/>
  <c r="S9" i="33"/>
  <c r="U33" i="33"/>
  <c r="U35" i="33"/>
  <c r="W33" i="33"/>
  <c r="W39" i="33"/>
  <c r="H39" i="37"/>
  <c r="S27" i="35"/>
  <c r="F11" i="40"/>
  <c r="AA11" i="40"/>
  <c r="H11" i="40"/>
  <c r="AB11" i="40"/>
  <c r="AA9" i="40"/>
  <c r="U9" i="40"/>
  <c r="W31" i="40"/>
  <c r="F42" i="39"/>
  <c r="AA42" i="39" s="1"/>
  <c r="F41" i="39"/>
  <c r="S41" i="39" s="1"/>
  <c r="H40" i="39"/>
  <c r="H39" i="39"/>
  <c r="U39" i="39" s="1"/>
  <c r="S34" i="39"/>
  <c r="H34" i="39"/>
  <c r="U34" i="39" s="1"/>
  <c r="E109"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J19" i="39"/>
  <c r="AC19" i="39" s="1"/>
  <c r="J17" i="39"/>
  <c r="W17" i="39" s="1"/>
  <c r="J27" i="39"/>
  <c r="F27" i="39"/>
  <c r="F11" i="21"/>
  <c r="S40" i="21"/>
  <c r="U34" i="21"/>
  <c r="S34" i="21"/>
  <c r="H11" i="39"/>
  <c r="U11" i="39" s="1"/>
  <c r="C15" i="39"/>
  <c r="H32" i="33"/>
  <c r="H11" i="21"/>
  <c r="J11" i="21"/>
  <c r="W11" i="21" s="1"/>
  <c r="H37" i="40"/>
  <c r="H36" i="40"/>
  <c r="F35" i="40"/>
  <c r="AA35" i="40" s="1"/>
  <c r="H23" i="40"/>
  <c r="H17" i="40"/>
  <c r="U17" i="40" s="1"/>
  <c r="J15" i="40"/>
  <c r="W15" i="40" s="1"/>
  <c r="J11" i="40"/>
  <c r="W11" i="40" s="1"/>
  <c r="AB12" i="33"/>
  <c r="U30" i="36"/>
  <c r="J30" i="35"/>
  <c r="H30" i="35"/>
  <c r="F22" i="35"/>
  <c r="H10" i="35"/>
  <c r="U10" i="35" s="1"/>
  <c r="AC16" i="36"/>
  <c r="H16" i="36"/>
  <c r="AB16" i="36" s="1"/>
  <c r="J29" i="36"/>
  <c r="AC29" i="36" s="1"/>
  <c r="F12" i="36"/>
  <c r="S12" i="36" s="1"/>
  <c r="F24" i="36"/>
  <c r="AA24" i="36" s="1"/>
  <c r="F34" i="36"/>
  <c r="S10" i="36"/>
  <c r="S8" i="36"/>
  <c r="F14" i="35"/>
  <c r="AA14" i="35" s="1"/>
  <c r="F23" i="35"/>
  <c r="J32" i="35"/>
  <c r="AC32" i="35" s="1"/>
  <c r="J16" i="35"/>
  <c r="H16" i="35"/>
  <c r="U16" i="35" s="1"/>
  <c r="F16" i="35"/>
  <c r="H14" i="35"/>
  <c r="AB14" i="35" s="1"/>
  <c r="J29" i="35"/>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s="1"/>
  <c r="E114" i="34"/>
  <c r="H36" i="34"/>
  <c r="U36" i="34" s="1"/>
  <c r="F37" i="34"/>
  <c r="AA37" i="34" s="1"/>
  <c r="S35" i="34"/>
  <c r="F27" i="34"/>
  <c r="AA27" i="34" s="1"/>
  <c r="F25" i="34"/>
  <c r="S25" i="34" s="1"/>
  <c r="H23" i="34"/>
  <c r="U23" i="34" s="1"/>
  <c r="J23" i="34"/>
  <c r="F19" i="34"/>
  <c r="H17" i="34"/>
  <c r="F15" i="34"/>
  <c r="S15" i="34" s="1"/>
  <c r="J15" i="34"/>
  <c r="H15" i="34"/>
  <c r="AB15" i="34" s="1"/>
  <c r="W8" i="34"/>
  <c r="F41" i="33"/>
  <c r="AA41" i="33"/>
  <c r="S38" i="33"/>
  <c r="F32" i="33"/>
  <c r="AA32" i="33" s="1"/>
  <c r="J19" i="33"/>
  <c r="AC19" i="33" s="1"/>
  <c r="J15" i="33"/>
  <c r="F11" i="33"/>
  <c r="AA11" i="33" s="1"/>
  <c r="U8" i="33"/>
  <c r="S8" i="33"/>
  <c r="F37" i="40"/>
  <c r="F36" i="40"/>
  <c r="AA36" i="40" s="1"/>
  <c r="H28" i="40"/>
  <c r="U28" i="40" s="1"/>
  <c r="F23" i="40"/>
  <c r="AA23" i="40" s="1"/>
  <c r="F17" i="40"/>
  <c r="J17" i="40"/>
  <c r="W17" i="40" s="1"/>
  <c r="F15" i="40"/>
  <c r="H15" i="40"/>
  <c r="AB15" i="40" s="1"/>
  <c r="AC11" i="40"/>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H37" i="34"/>
  <c r="H25" i="34"/>
  <c r="AB25" i="34" s="1"/>
  <c r="J25" i="34"/>
  <c r="AB23" i="34"/>
  <c r="F23" i="34"/>
  <c r="AA23" i="34"/>
  <c r="J19" i="34"/>
  <c r="AC19" i="34"/>
  <c r="F17" i="34"/>
  <c r="AA17" i="34"/>
  <c r="J17" i="34"/>
  <c r="W17" i="34"/>
  <c r="S41" i="33"/>
  <c r="H37" i="33"/>
  <c r="AB37" i="33" s="1"/>
  <c r="H15" i="33"/>
  <c r="AB15" i="33" s="1"/>
  <c r="H11" i="33"/>
  <c r="AB11" i="33" s="1"/>
  <c r="F28" i="40"/>
  <c r="AA29" i="35"/>
  <c r="AA42" i="34"/>
  <c r="AC38" i="34"/>
  <c r="J37" i="34"/>
  <c r="AC37" i="34" s="1"/>
  <c r="J11" i="33"/>
  <c r="I123" i="21"/>
  <c r="J123" i="21" s="1"/>
  <c r="K123" i="21" s="1"/>
  <c r="L123" i="21" s="1"/>
  <c r="M123" i="21" s="1"/>
  <c r="J42" i="21"/>
  <c r="AC42" i="21"/>
  <c r="H42" i="21"/>
  <c r="U42" i="21"/>
  <c r="J44" i="34"/>
  <c r="F44" i="34"/>
  <c r="J10" i="35"/>
  <c r="W10" i="35" s="1"/>
  <c r="BL587" i="3"/>
  <c r="J14" i="21"/>
  <c r="W14" i="21"/>
  <c r="F14" i="21"/>
  <c r="S14" i="21"/>
  <c r="H14" i="21"/>
  <c r="U14" i="21"/>
  <c r="H30" i="21"/>
  <c r="U30" i="21"/>
  <c r="F30" i="21"/>
  <c r="S30" i="21"/>
  <c r="J30" i="21"/>
  <c r="AC30" i="21"/>
  <c r="J44" i="21"/>
  <c r="AC44" i="21"/>
  <c r="H44" i="21"/>
  <c r="U44" i="21"/>
  <c r="F44" i="21"/>
  <c r="AA44" i="21"/>
  <c r="E119" i="21"/>
  <c r="F119" i="21"/>
  <c r="G119" i="21" s="1"/>
  <c r="H119" i="21" s="1"/>
  <c r="I119" i="21" s="1"/>
  <c r="J119" i="21" s="1"/>
  <c r="K119" i="21" s="1"/>
  <c r="L119" i="21"/>
  <c r="M119" i="21" s="1"/>
  <c r="F33" i="35"/>
  <c r="S33" i="35"/>
  <c r="J33" i="35"/>
  <c r="AC33" i="35"/>
  <c r="F30" i="35"/>
  <c r="S30" i="35"/>
  <c r="E89" i="35"/>
  <c r="F89" i="35"/>
  <c r="G89" i="35" s="1"/>
  <c r="H89" i="35" s="1"/>
  <c r="I89" i="35" s="1"/>
  <c r="J89" i="35" s="1"/>
  <c r="K89" i="35" s="1"/>
  <c r="L89" i="35" s="1"/>
  <c r="M89" i="35" s="1"/>
  <c r="H10" i="36"/>
  <c r="AB10" i="36" s="1"/>
  <c r="J14" i="36"/>
  <c r="AC14" i="36" s="1"/>
  <c r="H14" i="36"/>
  <c r="F28" i="36"/>
  <c r="AA28" i="36" s="1"/>
  <c r="J13" i="21"/>
  <c r="AC13" i="21" s="1"/>
  <c r="H27" i="21"/>
  <c r="AB27" i="21" s="1"/>
  <c r="F27" i="21"/>
  <c r="J31" i="21"/>
  <c r="AC31" i="21" s="1"/>
  <c r="F45" i="21"/>
  <c r="AA45" i="21" s="1"/>
  <c r="F27" i="33"/>
  <c r="AA27" i="33" s="1"/>
  <c r="J13" i="33"/>
  <c r="W13" i="33" s="1"/>
  <c r="F31" i="33"/>
  <c r="S31" i="33" s="1"/>
  <c r="H30" i="34"/>
  <c r="U30" i="34" s="1"/>
  <c r="F32" i="34"/>
  <c r="S32" i="34" s="1"/>
  <c r="J46" i="34"/>
  <c r="W46" i="34" s="1"/>
  <c r="J26" i="36"/>
  <c r="W26" i="36"/>
  <c r="H28" i="36"/>
  <c r="U28" i="36"/>
  <c r="H13" i="36"/>
  <c r="AB13" i="36"/>
  <c r="J13" i="36"/>
  <c r="F13" i="36"/>
  <c r="E89" i="37"/>
  <c r="F89" i="37" s="1"/>
  <c r="G89" i="37"/>
  <c r="H89" i="37" s="1"/>
  <c r="I89" i="37" s="1"/>
  <c r="J89" i="37" s="1"/>
  <c r="K89" i="37" s="1"/>
  <c r="L89" i="37" s="1"/>
  <c r="M89" i="37" s="1"/>
  <c r="J29" i="37"/>
  <c r="W29" i="37"/>
  <c r="F29" i="37"/>
  <c r="S29" i="37"/>
  <c r="F105" i="37"/>
  <c r="H36" i="37"/>
  <c r="AB36" i="37" s="1"/>
  <c r="J37" i="37"/>
  <c r="H37" i="37"/>
  <c r="U37" i="37" s="1"/>
  <c r="H40" i="37"/>
  <c r="U40" i="37" s="1"/>
  <c r="J40" i="37"/>
  <c r="F40" i="37"/>
  <c r="AA40" i="37" s="1"/>
  <c r="H14" i="33"/>
  <c r="U14" i="33" s="1"/>
  <c r="F14" i="33"/>
  <c r="J14" i="33"/>
  <c r="AC14" i="33" s="1"/>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F45" i="34"/>
  <c r="S45" i="34" s="1"/>
  <c r="H47" i="34"/>
  <c r="F47" i="34"/>
  <c r="S47" i="34" s="1"/>
  <c r="J47" i="34"/>
  <c r="F13" i="35"/>
  <c r="J13" i="35"/>
  <c r="H13" i="35"/>
  <c r="U13" i="35" s="1"/>
  <c r="J25" i="35"/>
  <c r="F25" i="35"/>
  <c r="S25" i="35" s="1"/>
  <c r="H25" i="35"/>
  <c r="AB25" i="35" s="1"/>
  <c r="J35" i="35"/>
  <c r="AC35" i="35" s="1"/>
  <c r="F35" i="35"/>
  <c r="H35" i="35"/>
  <c r="J25" i="36"/>
  <c r="W25" i="36" s="1"/>
  <c r="F25" i="36"/>
  <c r="S25" i="36" s="1"/>
  <c r="H25" i="36"/>
  <c r="H13" i="37"/>
  <c r="AB13" i="37" s="1"/>
  <c r="F13" i="37"/>
  <c r="J13" i="37"/>
  <c r="W13" i="37" s="1"/>
  <c r="F28" i="37"/>
  <c r="H28" i="37"/>
  <c r="J38" i="37"/>
  <c r="F43" i="39"/>
  <c r="AA43" i="39" s="1"/>
  <c r="H43" i="39"/>
  <c r="J14" i="39"/>
  <c r="F14" i="39"/>
  <c r="AA14" i="39" s="1"/>
  <c r="F12" i="40"/>
  <c r="H30" i="40"/>
  <c r="AB30" i="40" s="1"/>
  <c r="F33" i="40"/>
  <c r="AA33" i="40" s="1"/>
  <c r="H33" i="40"/>
  <c r="J35" i="40"/>
  <c r="AC35" i="40" s="1"/>
  <c r="J37" i="40"/>
  <c r="J13" i="40"/>
  <c r="F14" i="37"/>
  <c r="F27" i="37"/>
  <c r="AA27" i="37" s="1"/>
  <c r="F13" i="39"/>
  <c r="AA13" i="39" s="1"/>
  <c r="J14" i="40"/>
  <c r="J14" i="37"/>
  <c r="AC14" i="37" s="1"/>
  <c r="J27" i="37"/>
  <c r="AC27" i="37" s="1"/>
  <c r="AA44" i="33"/>
  <c r="U31" i="34"/>
  <c r="U46" i="33"/>
  <c r="J36" i="37"/>
  <c r="AC36" i="37" s="1"/>
  <c r="G105" i="37"/>
  <c r="J10" i="36"/>
  <c r="AB30" i="21"/>
  <c r="AC13" i="36"/>
  <c r="W13" i="36"/>
  <c r="BA586" i="3"/>
  <c r="BA585" i="3"/>
  <c r="F17" i="21"/>
  <c r="AA17" i="21" s="1"/>
  <c r="H17" i="21"/>
  <c r="AB17" i="21" s="1"/>
  <c r="F15" i="21"/>
  <c r="S15" i="21" s="1"/>
  <c r="J41" i="39"/>
  <c r="U36" i="39"/>
  <c r="G544" i="3"/>
  <c r="G527" i="3"/>
  <c r="G496" i="3"/>
  <c r="G584" i="3"/>
  <c r="G580" i="3"/>
  <c r="G572" i="3"/>
  <c r="G560" i="3"/>
  <c r="G554" i="3"/>
  <c r="BL584" i="3"/>
  <c r="BL580" i="3"/>
  <c r="BL572" i="3"/>
  <c r="BL560" i="3"/>
  <c r="BL554" i="3"/>
  <c r="BL546" i="3"/>
  <c r="BL542" i="3"/>
  <c r="BL512" i="3"/>
  <c r="BL582" i="3"/>
  <c r="BL578" i="3"/>
  <c r="BL566" i="3"/>
  <c r="BL556" i="3"/>
  <c r="BL552" i="3"/>
  <c r="BL544" i="3"/>
  <c r="G529" i="3"/>
  <c r="BL500" i="3"/>
  <c r="BA584" i="3"/>
  <c r="BA582" i="3"/>
  <c r="AZ582" i="3" s="1"/>
  <c r="BA580" i="3"/>
  <c r="BA578" i="3"/>
  <c r="BA574" i="3"/>
  <c r="BA566" i="3"/>
  <c r="AZ566" i="3" s="1"/>
  <c r="BA560" i="3"/>
  <c r="AZ560" i="3" s="1"/>
  <c r="BA558" i="3"/>
  <c r="AZ558" i="3" s="1"/>
  <c r="BA556" i="3"/>
  <c r="AZ556" i="3" s="1"/>
  <c r="BA554" i="3"/>
  <c r="AZ554" i="3" s="1"/>
  <c r="BA552" i="3"/>
  <c r="AZ552" i="3" s="1"/>
  <c r="BA548" i="3"/>
  <c r="BA546" i="3"/>
  <c r="AZ546" i="3" s="1"/>
  <c r="BA544" i="3"/>
  <c r="AZ544" i="3" s="1"/>
  <c r="BA542" i="3"/>
  <c r="AZ542" i="3" s="1"/>
  <c r="BA528" i="3"/>
  <c r="BA518" i="3"/>
  <c r="BA587" i="3"/>
  <c r="BA583" i="3"/>
  <c r="BA581" i="3"/>
  <c r="BA579" i="3"/>
  <c r="AZ579" i="3" s="1"/>
  <c r="BA571" i="3"/>
  <c r="BA563" i="3"/>
  <c r="BA561" i="3"/>
  <c r="BA559" i="3"/>
  <c r="BA555" i="3"/>
  <c r="BA553" i="3"/>
  <c r="AZ553" i="3" s="1"/>
  <c r="BA547" i="3"/>
  <c r="BA545" i="3"/>
  <c r="BA543" i="3"/>
  <c r="BA531" i="3"/>
  <c r="BA513" i="3"/>
  <c r="BA495" i="3"/>
  <c r="G583" i="3"/>
  <c r="G581" i="3"/>
  <c r="G579" i="3"/>
  <c r="G577" i="3"/>
  <c r="G569" i="3"/>
  <c r="G561" i="3"/>
  <c r="BL558" i="3"/>
  <c r="BA557" i="3"/>
  <c r="AC557" i="3"/>
  <c r="G557" i="3" s="1"/>
  <c r="BQ557" i="3"/>
  <c r="BL557" i="3" s="1"/>
  <c r="BQ583" i="3"/>
  <c r="BL583" i="3" s="1"/>
  <c r="BQ581" i="3"/>
  <c r="BL581" i="3" s="1"/>
  <c r="BQ579" i="3"/>
  <c r="BL579" i="3" s="1"/>
  <c r="BQ577" i="3"/>
  <c r="BL577" i="3" s="1"/>
  <c r="BQ575" i="3"/>
  <c r="BL575" i="3"/>
  <c r="BQ573" i="3"/>
  <c r="BQ571" i="3"/>
  <c r="BQ569" i="3"/>
  <c r="BQ567" i="3"/>
  <c r="BQ565" i="3"/>
  <c r="BQ563" i="3"/>
  <c r="BQ561" i="3"/>
  <c r="BL561" i="3" s="1"/>
  <c r="AZ561" i="3" s="1"/>
  <c r="BQ559" i="3"/>
  <c r="BL559" i="3" s="1"/>
  <c r="G559" i="3"/>
  <c r="G555" i="3"/>
  <c r="G553" i="3"/>
  <c r="G547" i="3"/>
  <c r="G545" i="3"/>
  <c r="G543" i="3"/>
  <c r="BQ555" i="3"/>
  <c r="BL555" i="3"/>
  <c r="AZ555" i="3" s="1"/>
  <c r="BQ553" i="3"/>
  <c r="BL553" i="3" s="1"/>
  <c r="BQ551" i="3"/>
  <c r="BL551" i="3"/>
  <c r="BQ549" i="3"/>
  <c r="BQ547" i="3"/>
  <c r="BL547" i="3" s="1"/>
  <c r="AZ547" i="3" s="1"/>
  <c r="BQ545" i="3"/>
  <c r="BL545" i="3"/>
  <c r="BQ543" i="3"/>
  <c r="BL543" i="3" s="1"/>
  <c r="AZ543" i="3" s="1"/>
  <c r="BQ541" i="3"/>
  <c r="BQ539" i="3"/>
  <c r="BQ537" i="3"/>
  <c r="BQ535" i="3"/>
  <c r="BQ533" i="3"/>
  <c r="BQ531" i="3"/>
  <c r="BQ529" i="3"/>
  <c r="BQ527" i="3"/>
  <c r="BQ525" i="3"/>
  <c r="BQ523" i="3"/>
  <c r="AC521" i="3"/>
  <c r="BQ521" i="3"/>
  <c r="G517" i="3"/>
  <c r="BQ519" i="3"/>
  <c r="BQ517" i="3"/>
  <c r="BQ515" i="3"/>
  <c r="BQ513" i="3"/>
  <c r="BQ511" i="3"/>
  <c r="AC509" i="3"/>
  <c r="G509" i="3" s="1"/>
  <c r="BQ509" i="3"/>
  <c r="BL509" i="3"/>
  <c r="G497" i="3"/>
  <c r="BQ507" i="3"/>
  <c r="BQ505" i="3"/>
  <c r="BL505" i="3"/>
  <c r="BQ503" i="3"/>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F39" i="33"/>
  <c r="AA39" i="33"/>
  <c r="E123" i="33"/>
  <c r="F42" i="33"/>
  <c r="H28" i="34"/>
  <c r="AB28" i="34" s="1"/>
  <c r="F14" i="36"/>
  <c r="F22" i="36"/>
  <c r="S22" i="36" s="1"/>
  <c r="F26" i="36"/>
  <c r="H27" i="34"/>
  <c r="H35" i="34"/>
  <c r="F41" i="34"/>
  <c r="H41" i="34"/>
  <c r="J41" i="34"/>
  <c r="F10" i="35"/>
  <c r="S10" i="35" s="1"/>
  <c r="F24" i="35"/>
  <c r="H24" i="35"/>
  <c r="AB24" i="35" s="1"/>
  <c r="H23" i="37"/>
  <c r="AB23" i="37" s="1"/>
  <c r="J32" i="37"/>
  <c r="AC32" i="37" s="1"/>
  <c r="F36" i="37"/>
  <c r="AA36" i="37" s="1"/>
  <c r="F37" i="37"/>
  <c r="F31" i="40"/>
  <c r="H31" i="40"/>
  <c r="U31" i="40" s="1"/>
  <c r="F32" i="40"/>
  <c r="H32" i="40"/>
  <c r="J36" i="40"/>
  <c r="H19" i="37"/>
  <c r="AB19" i="37" s="1"/>
  <c r="F123" i="33"/>
  <c r="G123" i="33" s="1"/>
  <c r="H123" i="33" s="1"/>
  <c r="I123" i="33" s="1"/>
  <c r="J123" i="33" s="1"/>
  <c r="K123" i="33" s="1"/>
  <c r="L123" i="33" s="1"/>
  <c r="M123" i="33" s="1"/>
  <c r="H42" i="33"/>
  <c r="AB42" i="33" s="1"/>
  <c r="J43" i="33"/>
  <c r="S28" i="31"/>
  <c r="S27" i="31"/>
  <c r="S26" i="31"/>
  <c r="S22" i="31" s="1"/>
  <c r="R22" i="31" s="1"/>
  <c r="W14" i="37"/>
  <c r="U33" i="37"/>
  <c r="W26" i="37"/>
  <c r="AC8" i="37"/>
  <c r="U26" i="37"/>
  <c r="AB13" i="34"/>
  <c r="W37" i="34"/>
  <c r="W44" i="33"/>
  <c r="U11" i="33"/>
  <c r="U19" i="21"/>
  <c r="W44" i="21"/>
  <c r="AB38" i="21"/>
  <c r="F43" i="33"/>
  <c r="AA43" i="33"/>
  <c r="W15" i="34"/>
  <c r="AC15" i="34"/>
  <c r="J107" i="37"/>
  <c r="K107" i="37" s="1"/>
  <c r="L107" i="37" s="1"/>
  <c r="M107" i="37" s="1"/>
  <c r="H37" i="2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c r="K94" i="37" s="1"/>
  <c r="L94" i="37" s="1"/>
  <c r="M94" i="37" s="1"/>
  <c r="H31" i="37"/>
  <c r="U31" i="37" s="1"/>
  <c r="F71" i="37"/>
  <c r="G71" i="37" s="1"/>
  <c r="J15" i="37"/>
  <c r="W15" i="37" s="1"/>
  <c r="U12" i="37"/>
  <c r="AT6" i="3"/>
  <c r="C12" i="43"/>
  <c r="H19" i="40"/>
  <c r="U19" i="40"/>
  <c r="F88" i="40"/>
  <c r="G88" i="40"/>
  <c r="F19" i="40"/>
  <c r="S19" i="40"/>
  <c r="AC43" i="39"/>
  <c r="W43" i="39"/>
  <c r="G101" i="39"/>
  <c r="H37" i="39"/>
  <c r="AB37" i="39" s="1"/>
  <c r="H25" i="39"/>
  <c r="AB25" i="39" s="1"/>
  <c r="J25" i="39"/>
  <c r="F25" i="39"/>
  <c r="F15" i="39"/>
  <c r="AA15" i="39" s="1"/>
  <c r="H15" i="39"/>
  <c r="J15" i="39"/>
  <c r="H41" i="39"/>
  <c r="U41" i="39" s="1"/>
  <c r="AB34" i="39"/>
  <c r="S42" i="39"/>
  <c r="AA41" i="39"/>
  <c r="W9" i="39"/>
  <c r="W8" i="39"/>
  <c r="J19" i="40"/>
  <c r="AC19" i="40" s="1"/>
  <c r="J50" i="40"/>
  <c r="H103" i="9"/>
  <c r="D8" i="53" s="1"/>
  <c r="B16" i="53"/>
  <c r="B33" i="72" s="1"/>
  <c r="C7" i="37"/>
  <c r="C52" i="37" s="1"/>
  <c r="D52" i="37" s="1"/>
  <c r="C7" i="34"/>
  <c r="C59" i="34" s="1"/>
  <c r="D59" i="34" s="1"/>
  <c r="E59" i="34" s="1"/>
  <c r="F59" i="34" s="1"/>
  <c r="G59" i="34" s="1"/>
  <c r="H59" i="34" s="1"/>
  <c r="I59" i="34" s="1"/>
  <c r="J59" i="34" s="1"/>
  <c r="K59" i="34" s="1"/>
  <c r="C7" i="36"/>
  <c r="C46" i="36" s="1"/>
  <c r="D46" i="36" s="1"/>
  <c r="E46" i="36" s="1"/>
  <c r="W35" i="40"/>
  <c r="A118" i="9"/>
  <c r="A4" i="52"/>
  <c r="B41" i="72" s="1"/>
  <c r="J11" i="39"/>
  <c r="F11" i="39"/>
  <c r="AA11" i="39" s="1"/>
  <c r="S11" i="39"/>
  <c r="G4" i="4"/>
  <c r="I4" i="4"/>
  <c r="K5" i="4" s="1"/>
  <c r="B47" i="48" s="1"/>
  <c r="A2" i="9"/>
  <c r="F59" i="43"/>
  <c r="H66" i="43" s="1"/>
  <c r="AZ20" i="3"/>
  <c r="AZ32"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AZ394" i="3" s="1"/>
  <c r="BL394" i="3"/>
  <c r="G113" i="3"/>
  <c r="BA115" i="3"/>
  <c r="BL116" i="3"/>
  <c r="AZ116" i="3"/>
  <c r="G117" i="3"/>
  <c r="BA119" i="3"/>
  <c r="BL120" i="3"/>
  <c r="G121" i="3"/>
  <c r="BA123" i="3"/>
  <c r="AZ123" i="3" s="1"/>
  <c r="BL124" i="3"/>
  <c r="G125" i="3"/>
  <c r="BA127" i="3"/>
  <c r="BL128" i="3"/>
  <c r="G129" i="3"/>
  <c r="BA131" i="3"/>
  <c r="BL132" i="3"/>
  <c r="AZ132" i="3" s="1"/>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AZ184" i="3" s="1"/>
  <c r="G185" i="3"/>
  <c r="BA187" i="3"/>
  <c r="AZ187" i="3" s="1"/>
  <c r="BL188" i="3"/>
  <c r="G189" i="3"/>
  <c r="BA191" i="3"/>
  <c r="AZ191" i="3" s="1"/>
  <c r="BL192" i="3"/>
  <c r="G193" i="3"/>
  <c r="BA195" i="3"/>
  <c r="AZ195" i="3" s="1"/>
  <c r="BL196" i="3"/>
  <c r="AZ196" i="3" s="1"/>
  <c r="G197" i="3"/>
  <c r="BA199" i="3"/>
  <c r="AZ199" i="3" s="1"/>
  <c r="BL200" i="3"/>
  <c r="AZ200" i="3" s="1"/>
  <c r="G201" i="3"/>
  <c r="BA203" i="3"/>
  <c r="AZ203" i="3" s="1"/>
  <c r="BL204" i="3"/>
  <c r="AZ39" i="3"/>
  <c r="AZ43" i="3"/>
  <c r="AZ47" i="3"/>
  <c r="AZ51" i="3"/>
  <c r="AZ59" i="3"/>
  <c r="AZ63" i="3"/>
  <c r="AZ67" i="3"/>
  <c r="AZ75" i="3"/>
  <c r="AZ79" i="3"/>
  <c r="AZ144" i="3"/>
  <c r="AZ168" i="3"/>
  <c r="AZ176" i="3"/>
  <c r="AZ192" i="3"/>
  <c r="AZ85" i="3"/>
  <c r="AZ93" i="3"/>
  <c r="AZ101" i="3"/>
  <c r="AZ120" i="3"/>
  <c r="AZ128" i="3"/>
  <c r="G522" i="3"/>
  <c r="G498" i="3"/>
  <c r="G16"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46" i="3"/>
  <c r="AZ150" i="3"/>
  <c r="AZ158" i="3"/>
  <c r="AZ162" i="3"/>
  <c r="AZ166" i="3"/>
  <c r="AZ174" i="3"/>
  <c r="AZ178" i="3"/>
  <c r="AZ182" i="3"/>
  <c r="AZ190" i="3"/>
  <c r="AZ194" i="3"/>
  <c r="AZ198" i="3"/>
  <c r="BA16" i="3"/>
  <c r="AZ16" i="3" s="1"/>
  <c r="BL303" i="3"/>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AZ343" i="3" s="1"/>
  <c r="G344" i="3"/>
  <c r="G348" i="3"/>
  <c r="G355" i="3"/>
  <c r="AZ218"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BL370" i="3"/>
  <c r="G371" i="3"/>
  <c r="BA373" i="3"/>
  <c r="AZ373" i="3" s="1"/>
  <c r="BL374" i="3"/>
  <c r="G375" i="3"/>
  <c r="BA377" i="3"/>
  <c r="AZ377" i="3"/>
  <c r="AZ229" i="3"/>
  <c r="AZ241" i="3"/>
  <c r="AZ245" i="3"/>
  <c r="AZ257" i="3"/>
  <c r="AZ261" i="3"/>
  <c r="AZ269" i="3"/>
  <c r="AZ273" i="3"/>
  <c r="BA379" i="3"/>
  <c r="AZ379" i="3" s="1"/>
  <c r="BL380" i="3"/>
  <c r="G381" i="3"/>
  <c r="BA383" i="3"/>
  <c r="AZ383" i="3" s="1"/>
  <c r="BL384" i="3"/>
  <c r="AZ384" i="3" s="1"/>
  <c r="G385" i="3"/>
  <c r="BA387" i="3"/>
  <c r="BL388" i="3"/>
  <c r="G389" i="3"/>
  <c r="BA391" i="3"/>
  <c r="AZ391" i="3" s="1"/>
  <c r="BL392" i="3"/>
  <c r="AZ392" i="3" s="1"/>
  <c r="G393" i="3"/>
  <c r="AZ275" i="3"/>
  <c r="AZ287" i="3"/>
  <c r="AZ295" i="3"/>
  <c r="AZ299" i="3"/>
  <c r="AZ317" i="3"/>
  <c r="AZ333" i="3"/>
  <c r="AZ341" i="3"/>
  <c r="G548" i="3"/>
  <c r="G538" i="3"/>
  <c r="BI5" i="3"/>
  <c r="G17" i="3"/>
  <c r="BA17" i="3"/>
  <c r="AZ352" i="3"/>
  <c r="AZ368" i="3"/>
  <c r="AZ388" i="3"/>
  <c r="AZ396" i="3"/>
  <c r="AZ390" i="3"/>
  <c r="F36" i="43"/>
  <c r="F81" i="43"/>
  <c r="H83" i="43"/>
  <c r="H113" i="43"/>
  <c r="F48" i="43"/>
  <c r="H55" i="43" s="1"/>
  <c r="F70" i="43"/>
  <c r="H76" i="43" s="1"/>
  <c r="M11" i="43"/>
  <c r="D17" i="43"/>
  <c r="F39" i="43"/>
  <c r="I17" i="43"/>
  <c r="F35" i="43"/>
  <c r="J17" i="43"/>
  <c r="F6" i="1"/>
  <c r="G6" i="1" s="1"/>
  <c r="U17" i="39"/>
  <c r="S14" i="35"/>
  <c r="U35" i="21"/>
  <c r="AC35" i="21"/>
  <c r="U10" i="21"/>
  <c r="W44" i="34"/>
  <c r="AC44" i="34"/>
  <c r="S15" i="37"/>
  <c r="U13" i="37"/>
  <c r="J37" i="33"/>
  <c r="W37" i="33" s="1"/>
  <c r="AC17" i="34"/>
  <c r="F106" i="33"/>
  <c r="G106" i="33" s="1"/>
  <c r="H106" i="33" s="1"/>
  <c r="I106" i="33" s="1"/>
  <c r="J106" i="33" s="1"/>
  <c r="K106" i="33" s="1"/>
  <c r="L106" i="33" s="1"/>
  <c r="M106" i="33" s="1"/>
  <c r="J34" i="33"/>
  <c r="F33" i="34"/>
  <c r="W12" i="36"/>
  <c r="AC12" i="36"/>
  <c r="H20" i="36"/>
  <c r="J20" i="36"/>
  <c r="W20" i="36" s="1"/>
  <c r="W24" i="36"/>
  <c r="J27" i="36"/>
  <c r="W27" i="36"/>
  <c r="AC33" i="40"/>
  <c r="G111" i="40"/>
  <c r="H111" i="40" s="1"/>
  <c r="I111" i="40" s="1"/>
  <c r="J111" i="40" s="1"/>
  <c r="K111" i="40" s="1"/>
  <c r="L111" i="40" s="1"/>
  <c r="M111" i="40" s="1"/>
  <c r="H35" i="40"/>
  <c r="AB35" i="40"/>
  <c r="H35" i="37"/>
  <c r="U35" i="37" s="1"/>
  <c r="AC14" i="35"/>
  <c r="H20" i="35"/>
  <c r="U20" i="35" s="1"/>
  <c r="F20" i="35"/>
  <c r="AB29" i="36"/>
  <c r="U29" i="36"/>
  <c r="H32" i="37"/>
  <c r="F96" i="37"/>
  <c r="G96" i="37" s="1"/>
  <c r="H96" i="37" s="1"/>
  <c r="I96" i="37" s="1"/>
  <c r="J96" i="37" s="1"/>
  <c r="K96" i="37" s="1"/>
  <c r="L96" i="37" s="1"/>
  <c r="M96" i="37" s="1"/>
  <c r="H27" i="40"/>
  <c r="U27" i="40" s="1"/>
  <c r="F27" i="40"/>
  <c r="S27" i="40" s="1"/>
  <c r="J30" i="40"/>
  <c r="AC30" i="40" s="1"/>
  <c r="F30" i="40"/>
  <c r="AC21" i="40"/>
  <c r="S11" i="40"/>
  <c r="E98" i="40"/>
  <c r="F98" i="40"/>
  <c r="G98" i="40" s="1"/>
  <c r="H98" i="40" s="1"/>
  <c r="I98" i="40" s="1"/>
  <c r="J98" i="40" s="1"/>
  <c r="K98" i="40" s="1"/>
  <c r="L98" i="40" s="1"/>
  <c r="M98" i="40" s="1"/>
  <c r="F10" i="33"/>
  <c r="S10" i="33" s="1"/>
  <c r="F34" i="33"/>
  <c r="H34" i="33"/>
  <c r="U34" i="33" s="1"/>
  <c r="F35" i="33"/>
  <c r="S35" i="33" s="1"/>
  <c r="F39" i="34"/>
  <c r="S39" i="34" s="1"/>
  <c r="J39" i="34"/>
  <c r="F40" i="34"/>
  <c r="S40" i="34" s="1"/>
  <c r="F43" i="34"/>
  <c r="H44" i="34"/>
  <c r="AB44" i="34" s="1"/>
  <c r="F39" i="39"/>
  <c r="S39" i="39"/>
  <c r="J39" i="39"/>
  <c r="AC39" i="39"/>
  <c r="E97" i="39"/>
  <c r="F97" i="39"/>
  <c r="G97" i="39" s="1"/>
  <c r="AZ354" i="3"/>
  <c r="C40" i="11"/>
  <c r="AZ215" i="3"/>
  <c r="AZ227" i="3"/>
  <c r="AZ232" i="3"/>
  <c r="AZ243" i="3"/>
  <c r="AZ248" i="3"/>
  <c r="AZ259" i="3"/>
  <c r="AZ268" i="3"/>
  <c r="AZ271" i="3"/>
  <c r="AZ296" i="3"/>
  <c r="AZ117" i="3"/>
  <c r="AZ133" i="3"/>
  <c r="AZ21" i="3"/>
  <c r="AZ45" i="3"/>
  <c r="AZ61" i="3"/>
  <c r="AZ72" i="3"/>
  <c r="AZ74" i="3"/>
  <c r="AZ77" i="3"/>
  <c r="AZ82" i="3"/>
  <c r="AZ102" i="3"/>
  <c r="H50" i="43"/>
  <c r="I20" i="43"/>
  <c r="F23" i="39"/>
  <c r="H27" i="36"/>
  <c r="U27" i="36" s="1"/>
  <c r="F27" i="36"/>
  <c r="H33" i="34"/>
  <c r="U33" i="34" s="1"/>
  <c r="F32" i="37"/>
  <c r="F20" i="36"/>
  <c r="AA20" i="36" s="1"/>
  <c r="J33" i="34"/>
  <c r="AC33" i="34" s="1"/>
  <c r="H23" i="39"/>
  <c r="U23" i="39" s="1"/>
  <c r="D48" i="9"/>
  <c r="M52" i="9" s="1"/>
  <c r="H86" i="43"/>
  <c r="H82" i="43"/>
  <c r="H87" i="43"/>
  <c r="K9" i="1"/>
  <c r="M9" i="1" s="1"/>
  <c r="AE9" i="1"/>
  <c r="D93" i="9"/>
  <c r="K6" i="1"/>
  <c r="M6" i="1" s="1"/>
  <c r="AC12" i="39"/>
  <c r="AC39" i="40"/>
  <c r="AZ401" i="3"/>
  <c r="AZ412" i="3"/>
  <c r="AZ417" i="3"/>
  <c r="AZ428" i="3"/>
  <c r="AZ433" i="3"/>
  <c r="AZ465" i="3"/>
  <c r="AC12" i="33"/>
  <c r="AZ457" i="3"/>
  <c r="AZ473" i="3"/>
  <c r="AZ490" i="3"/>
  <c r="BL14" i="3"/>
  <c r="AZ266" i="3"/>
  <c r="U30" i="33"/>
  <c r="AC13" i="34"/>
  <c r="AA47" i="34"/>
  <c r="S19" i="39"/>
  <c r="F12" i="33"/>
  <c r="H12" i="39"/>
  <c r="AB12" i="39" s="1"/>
  <c r="F39" i="40"/>
  <c r="S39" i="40" s="1"/>
  <c r="BA14" i="3"/>
  <c r="AZ213" i="3"/>
  <c r="AZ234" i="3"/>
  <c r="AZ250" i="3"/>
  <c r="AZ297" i="3"/>
  <c r="AZ157" i="3"/>
  <c r="AZ173" i="3"/>
  <c r="AZ189" i="3"/>
  <c r="AZ19" i="3"/>
  <c r="AZ41" i="3"/>
  <c r="S12" i="1"/>
  <c r="AQ12" i="1" s="1"/>
  <c r="R12" i="1"/>
  <c r="B12" i="1"/>
  <c r="E12" i="1" s="1"/>
  <c r="B10" i="1"/>
  <c r="E10" i="1" s="1"/>
  <c r="AZ80" i="3"/>
  <c r="K12" i="1"/>
  <c r="M12" i="1" s="1"/>
  <c r="O12" i="1" s="1"/>
  <c r="S13" i="1"/>
  <c r="T13" i="1" s="1"/>
  <c r="R13" i="1"/>
  <c r="S11" i="1"/>
  <c r="AQ11" i="1" s="1"/>
  <c r="R11" i="1"/>
  <c r="J51" i="67"/>
  <c r="C42" i="1"/>
  <c r="H100" i="43"/>
  <c r="C30" i="66"/>
  <c r="B41" i="1"/>
  <c r="F28" i="15" s="1"/>
  <c r="C28" i="15" s="1"/>
  <c r="J100" i="43"/>
  <c r="S35" i="40"/>
  <c r="U35" i="40"/>
  <c r="S23" i="40"/>
  <c r="AC17" i="40"/>
  <c r="AC15" i="40"/>
  <c r="AB27" i="40"/>
  <c r="AA19" i="40"/>
  <c r="AB19" i="40"/>
  <c r="W42" i="39"/>
  <c r="W39" i="39"/>
  <c r="S43" i="39"/>
  <c r="U35" i="39"/>
  <c r="F32" i="39"/>
  <c r="U25" i="39"/>
  <c r="J21" i="39"/>
  <c r="W21" i="39" s="1"/>
  <c r="F21" i="39"/>
  <c r="G95" i="39"/>
  <c r="H21" i="39"/>
  <c r="U19" i="39"/>
  <c r="S17" i="39"/>
  <c r="S15" i="39"/>
  <c r="S9" i="39"/>
  <c r="U14" i="39"/>
  <c r="S23" i="36"/>
  <c r="U13" i="36"/>
  <c r="AC27" i="36"/>
  <c r="U26" i="36"/>
  <c r="S29" i="36"/>
  <c r="AC26" i="36"/>
  <c r="W14" i="36"/>
  <c r="U22" i="36"/>
  <c r="AA25" i="36"/>
  <c r="S24" i="36"/>
  <c r="U24" i="36"/>
  <c r="U23" i="36"/>
  <c r="U16" i="36"/>
  <c r="U10" i="36"/>
  <c r="AA25" i="35"/>
  <c r="W24" i="35"/>
  <c r="AB13" i="35"/>
  <c r="U29" i="35"/>
  <c r="U28" i="35"/>
  <c r="AB27" i="35"/>
  <c r="U32" i="35"/>
  <c r="AA33" i="35"/>
  <c r="S32" i="35"/>
  <c r="AA36" i="35"/>
  <c r="W32" i="35"/>
  <c r="S28" i="35"/>
  <c r="AB16" i="35"/>
  <c r="U22" i="35"/>
  <c r="AC20" i="35"/>
  <c r="U14" i="35"/>
  <c r="AC10" i="35"/>
  <c r="AA10" i="35"/>
  <c r="AB10" i="35"/>
  <c r="AC9" i="35"/>
  <c r="F9" i="35"/>
  <c r="AA9" i="35" s="1"/>
  <c r="H9" i="35"/>
  <c r="U9" i="35" s="1"/>
  <c r="F26" i="35"/>
  <c r="AA26" i="35" s="1"/>
  <c r="J26" i="35"/>
  <c r="AC26" i="35" s="1"/>
  <c r="H26" i="35"/>
  <c r="AB40" i="37"/>
  <c r="W27" i="37"/>
  <c r="S26" i="37"/>
  <c r="AC9" i="37"/>
  <c r="AC29" i="37"/>
  <c r="U29" i="37"/>
  <c r="AB31" i="37"/>
  <c r="W30" i="37"/>
  <c r="AC35" i="37"/>
  <c r="W39" i="37"/>
  <c r="S30" i="37"/>
  <c r="AC15" i="37"/>
  <c r="J17" i="37"/>
  <c r="W17" i="37"/>
  <c r="F17" i="37"/>
  <c r="AA17" i="37" s="1"/>
  <c r="F75" i="37"/>
  <c r="F19" i="37"/>
  <c r="S19" i="37" s="1"/>
  <c r="F23" i="37"/>
  <c r="U23" i="37"/>
  <c r="U15" i="37"/>
  <c r="AC13" i="37"/>
  <c r="U9" i="37"/>
  <c r="AA12" i="37"/>
  <c r="AA9" i="37"/>
  <c r="H10" i="37"/>
  <c r="H60" i="37"/>
  <c r="I60" i="37" s="1"/>
  <c r="F63" i="37"/>
  <c r="F11" i="37"/>
  <c r="S11" i="37" s="1"/>
  <c r="U43" i="34"/>
  <c r="AC42" i="34"/>
  <c r="U39" i="34"/>
  <c r="AA45" i="34"/>
  <c r="AA25" i="34"/>
  <c r="S17" i="34"/>
  <c r="AA29" i="34"/>
  <c r="S23" i="34"/>
  <c r="U15" i="34"/>
  <c r="S10" i="34"/>
  <c r="S13" i="34"/>
  <c r="H67" i="34"/>
  <c r="I67" i="34" s="1"/>
  <c r="H10" i="34"/>
  <c r="U10" i="34" s="1"/>
  <c r="F11" i="34"/>
  <c r="F70" i="34"/>
  <c r="AA35" i="33"/>
  <c r="S27" i="33"/>
  <c r="S32" i="33"/>
  <c r="W38" i="33"/>
  <c r="H41" i="33"/>
  <c r="U41" i="33" s="1"/>
  <c r="G121" i="33"/>
  <c r="H121" i="33" s="1"/>
  <c r="I121" i="33" s="1"/>
  <c r="J121" i="33" s="1"/>
  <c r="K121" i="33" s="1"/>
  <c r="L121" i="33" s="1"/>
  <c r="M121" i="33" s="1"/>
  <c r="U42" i="33"/>
  <c r="F36" i="33"/>
  <c r="J35" i="33"/>
  <c r="AC35" i="33" s="1"/>
  <c r="S37" i="33"/>
  <c r="AA37" i="33"/>
  <c r="S39" i="33"/>
  <c r="F101" i="33"/>
  <c r="G101" i="33" s="1"/>
  <c r="H101" i="33" s="1"/>
  <c r="I101" i="33" s="1"/>
  <c r="J101" i="33" s="1"/>
  <c r="K101" i="33" s="1"/>
  <c r="L101" i="33" s="1"/>
  <c r="M101" i="33" s="1"/>
  <c r="J32" i="33"/>
  <c r="W32" i="33" s="1"/>
  <c r="S46" i="33"/>
  <c r="S43" i="33"/>
  <c r="F91" i="33"/>
  <c r="G91" i="33" s="1"/>
  <c r="H91" i="33" s="1"/>
  <c r="I91" i="33" s="1"/>
  <c r="J91" i="33" s="1"/>
  <c r="K91" i="33" s="1"/>
  <c r="L91" i="33" s="1"/>
  <c r="M91" i="33" s="1"/>
  <c r="H27" i="33"/>
  <c r="H25" i="33"/>
  <c r="U25" i="33" s="1"/>
  <c r="F25" i="33"/>
  <c r="AA25" i="33" s="1"/>
  <c r="J23" i="33"/>
  <c r="W23" i="33" s="1"/>
  <c r="F85" i="33"/>
  <c r="G85" i="33" s="1"/>
  <c r="H23" i="33"/>
  <c r="AB23" i="33" s="1"/>
  <c r="F19" i="33"/>
  <c r="S19" i="33" s="1"/>
  <c r="W19" i="33"/>
  <c r="J17" i="33"/>
  <c r="AC17" i="33" s="1"/>
  <c r="S15" i="33"/>
  <c r="U9" i="33"/>
  <c r="J10" i="33"/>
  <c r="W10" i="33" s="1"/>
  <c r="H10" i="33"/>
  <c r="AB14" i="33"/>
  <c r="W43" i="21"/>
  <c r="W36" i="21"/>
  <c r="AB39" i="21"/>
  <c r="S39" i="21"/>
  <c r="AA38" i="21"/>
  <c r="AA36" i="21"/>
  <c r="J15" i="21"/>
  <c r="W15" i="21" s="1"/>
  <c r="F77" i="21"/>
  <c r="G77" i="21" s="1"/>
  <c r="F23" i="21"/>
  <c r="E85" i="21"/>
  <c r="AA14" i="21"/>
  <c r="AB8" i="21"/>
  <c r="S8" i="21"/>
  <c r="M3" i="43"/>
  <c r="M1" i="43"/>
  <c r="N8" i="43"/>
  <c r="D120" i="9"/>
  <c r="D121" i="9" s="1"/>
  <c r="D7" i="52" s="1"/>
  <c r="C18" i="9"/>
  <c r="D18" i="9" s="1"/>
  <c r="F34" i="67"/>
  <c r="F62" i="67" s="1"/>
  <c r="BL17" i="3"/>
  <c r="AZ17" i="3"/>
  <c r="J56" i="9"/>
  <c r="J57" i="9" s="1"/>
  <c r="J59" i="9" s="1"/>
  <c r="J61" i="9" s="1"/>
  <c r="A24" i="51"/>
  <c r="B18" i="72" s="1"/>
  <c r="U29" i="34"/>
  <c r="E32" i="6"/>
  <c r="G1" i="68"/>
  <c r="K1" i="12"/>
  <c r="E19" i="69"/>
  <c r="E19" i="68"/>
  <c r="E19" i="11"/>
  <c r="E1" i="73"/>
  <c r="G22" i="69"/>
  <c r="G22" i="68"/>
  <c r="G26" i="12"/>
  <c r="G22" i="11"/>
  <c r="C100" i="43"/>
  <c r="E11" i="43"/>
  <c r="E10" i="43"/>
  <c r="E9" i="43"/>
  <c r="E8" i="43"/>
  <c r="C7" i="43" s="1"/>
  <c r="E81" i="43"/>
  <c r="B79" i="43" s="1"/>
  <c r="E48" i="43"/>
  <c r="B46" i="43" s="1"/>
  <c r="E70" i="43"/>
  <c r="B68" i="43" s="1"/>
  <c r="F100" i="43"/>
  <c r="H17" i="43"/>
  <c r="H85" i="43"/>
  <c r="H81" i="43"/>
  <c r="H84" i="43"/>
  <c r="H88" i="43"/>
  <c r="H53" i="43"/>
  <c r="H71" i="43"/>
  <c r="C17" i="43"/>
  <c r="F33" i="43"/>
  <c r="K17" i="43"/>
  <c r="F34" i="43"/>
  <c r="N6" i="43"/>
  <c r="C6" i="43"/>
  <c r="N3" i="43"/>
  <c r="F38" i="43"/>
  <c r="F37" i="43"/>
  <c r="M9" i="43"/>
  <c r="N5" i="43"/>
  <c r="M12"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O19" i="43" s="1"/>
  <c r="C19" i="43" s="1"/>
  <c r="T35" i="4"/>
  <c r="A19" i="51" s="1"/>
  <c r="B14" i="72" s="1"/>
  <c r="E52" i="37"/>
  <c r="F52" i="37" s="1"/>
  <c r="G52" i="37" s="1"/>
  <c r="H52" i="37" s="1"/>
  <c r="A4" i="51"/>
  <c r="B6" i="72" s="1"/>
  <c r="C48" i="35"/>
  <c r="D48" i="35" s="1"/>
  <c r="E48" i="35" s="1"/>
  <c r="H72" i="43"/>
  <c r="B6" i="1"/>
  <c r="E6" i="1" s="1"/>
  <c r="K11" i="1"/>
  <c r="M11" i="1" s="1"/>
  <c r="O11" i="1" s="1"/>
  <c r="B9" i="1"/>
  <c r="E9" i="1" s="1"/>
  <c r="K7" i="1"/>
  <c r="AP7" i="1" s="1"/>
  <c r="G1" i="15"/>
  <c r="G1" i="69"/>
  <c r="G1" i="67"/>
  <c r="W23" i="40"/>
  <c r="AB31" i="40"/>
  <c r="AB28" i="40"/>
  <c r="W28" i="40"/>
  <c r="W19" i="40"/>
  <c r="S36" i="40"/>
  <c r="S33" i="40"/>
  <c r="U11" i="40"/>
  <c r="U15" i="40"/>
  <c r="AB17" i="40"/>
  <c r="AA39" i="39"/>
  <c r="U42" i="39"/>
  <c r="AB23" i="39"/>
  <c r="AB41" i="39"/>
  <c r="W25" i="39"/>
  <c r="AC25" i="39"/>
  <c r="S14" i="39"/>
  <c r="U43" i="39"/>
  <c r="AB43" i="39"/>
  <c r="AB11" i="39"/>
  <c r="AA27" i="39"/>
  <c r="S27" i="39"/>
  <c r="AC17" i="39"/>
  <c r="AB39" i="39"/>
  <c r="W34" i="39"/>
  <c r="S8" i="39"/>
  <c r="S20" i="36"/>
  <c r="S28" i="36"/>
  <c r="AC20" i="36"/>
  <c r="AB28" i="36"/>
  <c r="W9" i="36"/>
  <c r="W22" i="36"/>
  <c r="W23" i="36"/>
  <c r="S9" i="36"/>
  <c r="U25" i="35"/>
  <c r="W33" i="35"/>
  <c r="AA30" i="35"/>
  <c r="U24" i="35"/>
  <c r="W35" i="35"/>
  <c r="W36" i="37"/>
  <c r="S27" i="37"/>
  <c r="W32" i="37"/>
  <c r="U36" i="37"/>
  <c r="S40" i="37"/>
  <c r="S33" i="37"/>
  <c r="AC34" i="37"/>
  <c r="AB35" i="37"/>
  <c r="AA11" i="37"/>
  <c r="AA31" i="37"/>
  <c r="U19" i="37"/>
  <c r="AA29" i="37"/>
  <c r="AA8" i="37"/>
  <c r="AB40" i="34"/>
  <c r="U19" i="34"/>
  <c r="W19" i="34"/>
  <c r="AB45" i="34"/>
  <c r="U25" i="34"/>
  <c r="AB36" i="34"/>
  <c r="W33" i="34"/>
  <c r="AC29" i="34"/>
  <c r="W29" i="34"/>
  <c r="AA32" i="34"/>
  <c r="S37" i="34"/>
  <c r="U38" i="34"/>
  <c r="AC40" i="34"/>
  <c r="W40" i="34"/>
  <c r="AA19" i="34"/>
  <c r="S19" i="34"/>
  <c r="AA36" i="34"/>
  <c r="AA8" i="34"/>
  <c r="S8" i="34"/>
  <c r="AC43" i="34"/>
  <c r="W43" i="34"/>
  <c r="W23" i="34"/>
  <c r="AC23" i="34"/>
  <c r="AC35" i="34"/>
  <c r="U12" i="34"/>
  <c r="AB12" i="34"/>
  <c r="AC37" i="33"/>
  <c r="W46" i="33"/>
  <c r="U39" i="33"/>
  <c r="U38" i="33"/>
  <c r="S33" i="33"/>
  <c r="AA30" i="33"/>
  <c r="W14" i="33"/>
  <c r="AC30" i="33"/>
  <c r="W30" i="33"/>
  <c r="AC13" i="33"/>
  <c r="S11" i="33"/>
  <c r="U37" i="33"/>
  <c r="W9" i="33"/>
  <c r="W8" i="33"/>
  <c r="S44" i="21"/>
  <c r="AB42" i="21"/>
  <c r="S45" i="21"/>
  <c r="F33" i="21"/>
  <c r="S33" i="21" s="1"/>
  <c r="J33" i="21"/>
  <c r="AC33" i="21" s="1"/>
  <c r="H33" i="21"/>
  <c r="F37" i="21"/>
  <c r="AA37" i="21" s="1"/>
  <c r="AA26" i="21"/>
  <c r="AB14" i="21"/>
  <c r="U40" i="21"/>
  <c r="AC15" i="21"/>
  <c r="U13" i="21"/>
  <c r="AB13" i="21"/>
  <c r="W8" i="21"/>
  <c r="S35" i="21"/>
  <c r="J37" i="21"/>
  <c r="W37" i="21" s="1"/>
  <c r="H15" i="21"/>
  <c r="U15" i="21" s="1"/>
  <c r="J17" i="21"/>
  <c r="AC19" i="21"/>
  <c r="W39" i="21"/>
  <c r="AC14" i="21"/>
  <c r="W30" i="21"/>
  <c r="H45" i="21"/>
  <c r="U45" i="21" s="1"/>
  <c r="F29" i="21"/>
  <c r="S29" i="21" s="1"/>
  <c r="F13" i="21"/>
  <c r="AA13" i="21" s="1"/>
  <c r="AC38" i="21"/>
  <c r="H32" i="21"/>
  <c r="AB32" i="21" s="1"/>
  <c r="H9" i="21"/>
  <c r="U9" i="21" s="1"/>
  <c r="J9" i="21"/>
  <c r="W9" i="21" s="1"/>
  <c r="J32" i="21"/>
  <c r="AC32" i="21" s="1"/>
  <c r="F32" i="21"/>
  <c r="AA32" i="21" s="1"/>
  <c r="U17" i="21"/>
  <c r="S19" i="21"/>
  <c r="S9" i="21"/>
  <c r="AA9" i="21"/>
  <c r="K141" i="21"/>
  <c r="K144" i="21"/>
  <c r="K143" i="21"/>
  <c r="U27" i="21"/>
  <c r="AB25" i="21"/>
  <c r="AB44" i="21"/>
  <c r="AA30" i="21"/>
  <c r="W13" i="21"/>
  <c r="W42" i="21"/>
  <c r="AC45" i="21"/>
  <c r="F10" i="21"/>
  <c r="AA10" i="21" s="1"/>
  <c r="K145" i="21"/>
  <c r="W25" i="21"/>
  <c r="W31" i="21"/>
  <c r="S17" i="21"/>
  <c r="AA15" i="21"/>
  <c r="AC27" i="21"/>
  <c r="AC26" i="21"/>
  <c r="AC34" i="21"/>
  <c r="W10" i="21"/>
  <c r="AB36" i="21"/>
  <c r="W30" i="40"/>
  <c r="C19" i="39"/>
  <c r="C15" i="40"/>
  <c r="C17" i="40"/>
  <c r="C23" i="40"/>
  <c r="C21" i="40"/>
  <c r="U30" i="40"/>
  <c r="B54" i="43"/>
  <c r="B65" i="43"/>
  <c r="B49" i="43"/>
  <c r="B52" i="43"/>
  <c r="B56" i="43"/>
  <c r="B60" i="43"/>
  <c r="B63" i="43"/>
  <c r="B67" i="43"/>
  <c r="D22" i="15"/>
  <c r="E4" i="4"/>
  <c r="B5" i="62" s="1"/>
  <c r="B73" i="72" s="1"/>
  <c r="C4" i="4"/>
  <c r="E7" i="70"/>
  <c r="AA39" i="40"/>
  <c r="S12" i="33"/>
  <c r="AA12" i="33"/>
  <c r="J32" i="39"/>
  <c r="I107" i="39"/>
  <c r="J107" i="39" s="1"/>
  <c r="K107" i="39" s="1"/>
  <c r="L107" i="39" s="1"/>
  <c r="M107" i="39" s="1"/>
  <c r="H32" i="39"/>
  <c r="AA32" i="39"/>
  <c r="S32" i="39"/>
  <c r="AB21" i="39"/>
  <c r="U21" i="39"/>
  <c r="AA21" i="39"/>
  <c r="S21" i="39"/>
  <c r="AC21" i="39"/>
  <c r="AB9" i="35"/>
  <c r="S9" i="35"/>
  <c r="W26" i="35"/>
  <c r="AB26" i="35"/>
  <c r="U26" i="35"/>
  <c r="AC17" i="37"/>
  <c r="J19" i="37"/>
  <c r="AC19" i="37" s="1"/>
  <c r="G75" i="37"/>
  <c r="AA19" i="37"/>
  <c r="J23" i="37"/>
  <c r="G79" i="37"/>
  <c r="J10" i="37"/>
  <c r="G63" i="37"/>
  <c r="H11" i="37"/>
  <c r="AB10" i="37"/>
  <c r="U10" i="37"/>
  <c r="G70" i="34"/>
  <c r="H70" i="34" s="1"/>
  <c r="I70" i="34" s="1"/>
  <c r="J70" i="34" s="1"/>
  <c r="K70" i="34" s="1"/>
  <c r="L70" i="34" s="1"/>
  <c r="M70" i="34" s="1"/>
  <c r="H11" i="34"/>
  <c r="AB10" i="34"/>
  <c r="J10" i="34"/>
  <c r="AC10" i="34" s="1"/>
  <c r="W35" i="33"/>
  <c r="J36" i="33"/>
  <c r="W36" i="33" s="1"/>
  <c r="H36" i="33"/>
  <c r="U36" i="33" s="1"/>
  <c r="S36" i="33"/>
  <c r="AA36" i="33"/>
  <c r="AC32" i="33"/>
  <c r="U27" i="33"/>
  <c r="AB27" i="33"/>
  <c r="J27" i="33"/>
  <c r="W27" i="33" s="1"/>
  <c r="AB25" i="33"/>
  <c r="S25" i="33"/>
  <c r="J25" i="33"/>
  <c r="W25" i="33" s="1"/>
  <c r="U23" i="33"/>
  <c r="F23" i="33"/>
  <c r="S23" i="33" s="1"/>
  <c r="AC23" i="33"/>
  <c r="AA19" i="33"/>
  <c r="H19" i="33"/>
  <c r="H17" i="33"/>
  <c r="AB17" i="33" s="1"/>
  <c r="F17" i="33"/>
  <c r="W17" i="33"/>
  <c r="U10" i="33"/>
  <c r="AB10" i="33"/>
  <c r="AC37" i="21"/>
  <c r="AB15" i="21"/>
  <c r="J23" i="21"/>
  <c r="F85" i="21"/>
  <c r="G85" i="21" s="1"/>
  <c r="H23" i="21"/>
  <c r="S13" i="21"/>
  <c r="D6" i="52"/>
  <c r="AB45" i="21"/>
  <c r="W33" i="21"/>
  <c r="AA33" i="21"/>
  <c r="W32" i="21"/>
  <c r="AB9" i="21"/>
  <c r="S32" i="21"/>
  <c r="AC9" i="21"/>
  <c r="U32" i="21"/>
  <c r="S10" i="21"/>
  <c r="E6" i="70"/>
  <c r="U32" i="39"/>
  <c r="AB32" i="39"/>
  <c r="AC32" i="39"/>
  <c r="W32" i="39"/>
  <c r="W19" i="37"/>
  <c r="W23" i="37"/>
  <c r="AC23" i="37"/>
  <c r="AB11" i="37"/>
  <c r="U11" i="37"/>
  <c r="H63" i="37"/>
  <c r="I63" i="37" s="1"/>
  <c r="J63" i="37" s="1"/>
  <c r="K63" i="37" s="1"/>
  <c r="L63" i="37" s="1"/>
  <c r="M63" i="37" s="1"/>
  <c r="J11" i="37"/>
  <c r="AC11" i="37" s="1"/>
  <c r="W10" i="37"/>
  <c r="AC10" i="37"/>
  <c r="U11" i="34"/>
  <c r="AB11" i="34"/>
  <c r="W10" i="34"/>
  <c r="J11" i="34"/>
  <c r="AC36" i="33"/>
  <c r="AB36" i="33"/>
  <c r="AC27" i="33"/>
  <c r="AC25" i="33"/>
  <c r="AA23" i="33"/>
  <c r="AB19" i="33"/>
  <c r="U19" i="33"/>
  <c r="AA17" i="33"/>
  <c r="S17" i="33"/>
  <c r="U23" i="21"/>
  <c r="AB23" i="21"/>
  <c r="AC23" i="21"/>
  <c r="W23" i="21"/>
  <c r="W11" i="37"/>
  <c r="W11" i="34"/>
  <c r="AC11" i="34"/>
  <c r="AE7" i="1"/>
  <c r="AE8" i="1"/>
  <c r="AE6" i="1"/>
  <c r="AG6" i="1"/>
  <c r="H109" i="9"/>
  <c r="M49" i="9" s="1"/>
  <c r="H112" i="9"/>
  <c r="D21" i="53" s="1"/>
  <c r="B39" i="72" s="1"/>
  <c r="H111" i="9"/>
  <c r="D19" i="53" s="1"/>
  <c r="AD3" i="71"/>
  <c r="J1" i="73"/>
  <c r="H77" i="43"/>
  <c r="H51" i="43"/>
  <c r="H59" i="43"/>
  <c r="H61" i="43"/>
  <c r="M4" i="43"/>
  <c r="M5" i="43"/>
  <c r="N12" i="43"/>
  <c r="N11" i="43"/>
  <c r="M10" i="43"/>
  <c r="M2" i="43"/>
  <c r="M7" i="43"/>
  <c r="H70" i="43"/>
  <c r="N9" i="43"/>
  <c r="M8" i="43"/>
  <c r="N10" i="43"/>
  <c r="H74" i="43"/>
  <c r="M6" i="43"/>
  <c r="N7" i="43"/>
  <c r="N4" i="43"/>
  <c r="N2" i="43"/>
  <c r="N17" i="43"/>
  <c r="L17" i="43"/>
  <c r="O17" i="43"/>
  <c r="M17" i="43"/>
  <c r="E17" i="43"/>
  <c r="D58" i="21"/>
  <c r="E58" i="21" s="1"/>
  <c r="F58" i="21" s="1"/>
  <c r="G58" i="21" s="1"/>
  <c r="C24" i="12"/>
  <c r="AB14" i="71"/>
  <c r="X12" i="71"/>
  <c r="X11" i="71"/>
  <c r="AA12" i="71"/>
  <c r="AA11" i="71"/>
  <c r="X15" i="71"/>
  <c r="Y11" i="71"/>
  <c r="Z11" i="71" s="1"/>
  <c r="AB12" i="71"/>
  <c r="AB11" i="71"/>
  <c r="C94" i="9"/>
  <c r="C92" i="9"/>
  <c r="Y12" i="71"/>
  <c r="Z12" i="71" s="1"/>
  <c r="X3" i="71"/>
  <c r="G20" i="43"/>
  <c r="G17" i="43"/>
  <c r="C16" i="43" s="1"/>
  <c r="D5" i="43" s="1"/>
  <c r="F63" i="40"/>
  <c r="F65" i="40" s="1"/>
  <c r="E41" i="43"/>
  <c r="C41" i="43"/>
  <c r="E2" i="68"/>
  <c r="B7" i="76"/>
  <c r="F38" i="67"/>
  <c r="F36" i="15"/>
  <c r="L48" i="67"/>
  <c r="J15" i="15"/>
  <c r="L48" i="15"/>
  <c r="J15" i="67"/>
  <c r="B8" i="76"/>
  <c r="M28" i="67"/>
  <c r="M28" i="15"/>
  <c r="M23" i="15"/>
  <c r="L47" i="67"/>
  <c r="F3" i="73"/>
  <c r="E12" i="76"/>
  <c r="F20" i="31"/>
  <c r="M29" i="67"/>
  <c r="M29" i="15"/>
  <c r="D2" i="21"/>
  <c r="F16" i="15"/>
  <c r="F9" i="15"/>
  <c r="F26" i="67"/>
  <c r="M6" i="67"/>
  <c r="AO6" i="1"/>
  <c r="F37" i="67"/>
  <c r="B10" i="76"/>
  <c r="F42" i="67"/>
  <c r="F7" i="73"/>
  <c r="E9" i="76"/>
  <c r="D2" i="37"/>
  <c r="AO8" i="1"/>
  <c r="AO11" i="1"/>
  <c r="E13" i="76"/>
  <c r="AO10" i="1"/>
  <c r="C76" i="15"/>
  <c r="M22" i="15"/>
  <c r="F9" i="67"/>
  <c r="F8" i="15"/>
  <c r="M27" i="67"/>
  <c r="F40" i="67"/>
  <c r="F7" i="67"/>
  <c r="F7" i="15"/>
  <c r="E11" i="76"/>
  <c r="D2" i="36"/>
  <c r="F35" i="67"/>
  <c r="M8" i="15"/>
  <c r="C76" i="67"/>
  <c r="M21" i="67"/>
  <c r="E2" i="69"/>
  <c r="F6" i="73"/>
  <c r="AO13" i="1"/>
  <c r="F4" i="73"/>
  <c r="M23" i="67"/>
  <c r="M9" i="15"/>
  <c r="M22" i="67"/>
  <c r="M6" i="15"/>
  <c r="AO12" i="1"/>
  <c r="D3" i="73"/>
  <c r="D2" i="33"/>
  <c r="F35" i="15"/>
  <c r="F16" i="67"/>
  <c r="E10" i="76"/>
  <c r="M26" i="15"/>
  <c r="F13" i="67"/>
  <c r="E7" i="76"/>
  <c r="F41" i="67"/>
  <c r="E8" i="76"/>
  <c r="F8" i="67"/>
  <c r="M26" i="67"/>
  <c r="B9" i="76"/>
  <c r="M8" i="67"/>
  <c r="F26" i="15"/>
  <c r="M21" i="15"/>
  <c r="M27" i="15"/>
  <c r="D7" i="73"/>
  <c r="AO7" i="1"/>
  <c r="B13" i="76"/>
  <c r="F38" i="15"/>
  <c r="F5" i="73"/>
  <c r="F43" i="67"/>
  <c r="L47" i="15"/>
  <c r="M24" i="15"/>
  <c r="F41" i="15"/>
  <c r="F36" i="67"/>
  <c r="B11" i="76"/>
  <c r="F6" i="15"/>
  <c r="M24" i="67"/>
  <c r="F40" i="15"/>
  <c r="F13" i="15"/>
  <c r="F43" i="15"/>
  <c r="F6" i="67"/>
  <c r="D4" i="73"/>
  <c r="M9" i="67"/>
  <c r="F37" i="15"/>
  <c r="AO9" i="1"/>
  <c r="F42" i="15"/>
  <c r="B12" i="76"/>
  <c r="D2" i="34"/>
  <c r="D2" i="35"/>
  <c r="D23" i="15" l="1"/>
  <c r="G25" i="12"/>
  <c r="G41" i="11"/>
  <c r="G27" i="12"/>
  <c r="G41" i="68"/>
  <c r="D22" i="67"/>
  <c r="BA13" i="3"/>
  <c r="G13" i="3"/>
  <c r="BA15" i="3"/>
  <c r="AP6" i="1"/>
  <c r="AZ567" i="3"/>
  <c r="U17" i="33"/>
  <c r="AB32" i="37"/>
  <c r="U32" i="37"/>
  <c r="AA25" i="39"/>
  <c r="S25" i="39"/>
  <c r="W41" i="39"/>
  <c r="AC41" i="39"/>
  <c r="S13" i="37"/>
  <c r="AA13" i="37"/>
  <c r="AC40" i="37"/>
  <c r="W40" i="37"/>
  <c r="W36" i="34"/>
  <c r="AC36" i="34"/>
  <c r="AB32" i="33"/>
  <c r="U32" i="33"/>
  <c r="AC27" i="39"/>
  <c r="W27" i="39"/>
  <c r="AC23" i="39"/>
  <c r="W23" i="39"/>
  <c r="AB8" i="40"/>
  <c r="U8" i="40"/>
  <c r="H40" i="40"/>
  <c r="J40" i="40"/>
  <c r="BL576" i="3"/>
  <c r="BA576" i="3"/>
  <c r="AZ576" i="3" s="1"/>
  <c r="BA573" i="3"/>
  <c r="BL571" i="3"/>
  <c r="BA569" i="3"/>
  <c r="BA565" i="3"/>
  <c r="BT5" i="3"/>
  <c r="BO5" i="3"/>
  <c r="H49" i="43"/>
  <c r="H48" i="43"/>
  <c r="H54" i="43"/>
  <c r="H60" i="43"/>
  <c r="H67" i="43"/>
  <c r="D16" i="53"/>
  <c r="B34" i="72" s="1"/>
  <c r="S37" i="21"/>
  <c r="AC10" i="33"/>
  <c r="AB41" i="33"/>
  <c r="AA29" i="21"/>
  <c r="U15" i="33"/>
  <c r="AA31" i="33"/>
  <c r="AB44" i="33"/>
  <c r="AB30" i="34"/>
  <c r="AC46" i="34"/>
  <c r="AA31" i="34"/>
  <c r="AB37" i="37"/>
  <c r="W29" i="36"/>
  <c r="AC25" i="36"/>
  <c r="S13" i="39"/>
  <c r="W34" i="40"/>
  <c r="H64" i="43"/>
  <c r="AC11" i="21"/>
  <c r="S27" i="34"/>
  <c r="AA12" i="39"/>
  <c r="W19" i="39"/>
  <c r="U21" i="40"/>
  <c r="W38" i="40"/>
  <c r="AC38" i="39"/>
  <c r="W39" i="34"/>
  <c r="AC39" i="34"/>
  <c r="S34" i="33"/>
  <c r="AA34" i="33"/>
  <c r="AZ380" i="3"/>
  <c r="W15" i="39"/>
  <c r="AC15" i="39"/>
  <c r="AC33" i="36"/>
  <c r="AC43" i="33"/>
  <c r="W43" i="33"/>
  <c r="AB32" i="40"/>
  <c r="U32" i="40"/>
  <c r="AA37" i="37"/>
  <c r="S37" i="37"/>
  <c r="U41" i="34"/>
  <c r="AB41" i="34"/>
  <c r="U35" i="34"/>
  <c r="AB35" i="34"/>
  <c r="S26" i="36"/>
  <c r="AA26" i="36"/>
  <c r="AA14" i="36"/>
  <c r="S14" i="36"/>
  <c r="AA42" i="33"/>
  <c r="S42" i="33"/>
  <c r="AA36" i="39"/>
  <c r="BQ5" i="3"/>
  <c r="AZ545" i="3"/>
  <c r="BL569" i="3"/>
  <c r="AZ569" i="3" s="1"/>
  <c r="AZ587" i="3"/>
  <c r="W36" i="39"/>
  <c r="W14" i="40"/>
  <c r="AC14" i="40"/>
  <c r="S12" i="40"/>
  <c r="AA12" i="40"/>
  <c r="AC14" i="39"/>
  <c r="W14" i="39"/>
  <c r="S14" i="33"/>
  <c r="AA14" i="33"/>
  <c r="AC37" i="37"/>
  <c r="W37" i="37"/>
  <c r="U14" i="36"/>
  <c r="AB14" i="36"/>
  <c r="AA15" i="34"/>
  <c r="S15" i="40"/>
  <c r="AA15" i="40"/>
  <c r="AA17" i="40"/>
  <c r="S17" i="40"/>
  <c r="AA37" i="40"/>
  <c r="S37" i="40"/>
  <c r="AC15" i="33"/>
  <c r="W15" i="33"/>
  <c r="U17" i="34"/>
  <c r="AB17" i="34"/>
  <c r="AC29" i="35"/>
  <c r="W29" i="35"/>
  <c r="U37" i="40"/>
  <c r="AB37" i="40"/>
  <c r="U11" i="21"/>
  <c r="AB11" i="21"/>
  <c r="S38" i="39"/>
  <c r="AB40" i="39"/>
  <c r="U40" i="39"/>
  <c r="AA16" i="36"/>
  <c r="S16" i="36"/>
  <c r="AB26" i="21"/>
  <c r="U26" i="21"/>
  <c r="W40" i="21"/>
  <c r="AC40" i="21"/>
  <c r="AB43" i="21"/>
  <c r="U43" i="21"/>
  <c r="S43" i="21"/>
  <c r="AA43" i="21"/>
  <c r="F12" i="21"/>
  <c r="H12" i="21"/>
  <c r="J12" i="21"/>
  <c r="J29" i="21"/>
  <c r="H29" i="21"/>
  <c r="H31" i="21"/>
  <c r="F31" i="21"/>
  <c r="H46" i="21"/>
  <c r="J46" i="21"/>
  <c r="F46" i="21"/>
  <c r="B74" i="43"/>
  <c r="C27" i="39"/>
  <c r="AC42" i="33"/>
  <c r="W42" i="33"/>
  <c r="H28" i="33"/>
  <c r="F28" i="33"/>
  <c r="J28" i="33"/>
  <c r="J26" i="33"/>
  <c r="F26" i="33"/>
  <c r="H26" i="33"/>
  <c r="U8" i="34"/>
  <c r="AB8" i="34"/>
  <c r="AC34" i="34"/>
  <c r="W34" i="34"/>
  <c r="AA8" i="35"/>
  <c r="S8" i="35"/>
  <c r="H13" i="33"/>
  <c r="F13" i="33"/>
  <c r="J29" i="33"/>
  <c r="H29" i="33"/>
  <c r="F29" i="33"/>
  <c r="J31" i="33"/>
  <c r="H31" i="33"/>
  <c r="H45" i="33"/>
  <c r="J45" i="33"/>
  <c r="F45" i="33"/>
  <c r="J14" i="34"/>
  <c r="F14" i="34"/>
  <c r="H14" i="34"/>
  <c r="F30" i="34"/>
  <c r="J30" i="34"/>
  <c r="H32" i="34"/>
  <c r="J32" i="34"/>
  <c r="H46" i="34"/>
  <c r="F46" i="34"/>
  <c r="H11" i="35"/>
  <c r="J11" i="35"/>
  <c r="F11" i="35"/>
  <c r="J11" i="36"/>
  <c r="H11" i="36"/>
  <c r="F11" i="36"/>
  <c r="AC28" i="37"/>
  <c r="W28" i="37"/>
  <c r="H38" i="37"/>
  <c r="F38" i="37"/>
  <c r="J12" i="40"/>
  <c r="H12" i="40"/>
  <c r="H14" i="40"/>
  <c r="F14" i="40"/>
  <c r="W11" i="39"/>
  <c r="AC11" i="39"/>
  <c r="U15" i="39"/>
  <c r="AB15" i="39"/>
  <c r="AB43" i="33"/>
  <c r="U43" i="33"/>
  <c r="AZ577" i="3"/>
  <c r="AZ571" i="3"/>
  <c r="AZ574" i="3"/>
  <c r="AA28" i="40"/>
  <c r="S28" i="40"/>
  <c r="AA22" i="35"/>
  <c r="S22" i="35"/>
  <c r="W30" i="35"/>
  <c r="AC30" i="35"/>
  <c r="AB23" i="40"/>
  <c r="U23" i="40"/>
  <c r="AB36" i="40"/>
  <c r="U36" i="40"/>
  <c r="U39" i="40"/>
  <c r="AB39" i="40"/>
  <c r="AA38" i="40"/>
  <c r="S38" i="40"/>
  <c r="AC41" i="21"/>
  <c r="W41" i="21"/>
  <c r="BA577" i="3"/>
  <c r="BA572" i="3"/>
  <c r="AZ572" i="3" s="1"/>
  <c r="BL570" i="3"/>
  <c r="BL568" i="3"/>
  <c r="BA568" i="3"/>
  <c r="BA564" i="3"/>
  <c r="AZ564" i="3" s="1"/>
  <c r="BL563" i="3"/>
  <c r="AZ563" i="3" s="1"/>
  <c r="BL562" i="3"/>
  <c r="C20" i="43"/>
  <c r="AZ387" i="3"/>
  <c r="AZ369" i="3"/>
  <c r="AZ345" i="3"/>
  <c r="AZ389" i="3"/>
  <c r="AZ382" i="3"/>
  <c r="AZ364" i="3"/>
  <c r="AZ356" i="3"/>
  <c r="AZ342" i="3"/>
  <c r="AZ313" i="3"/>
  <c r="AZ305" i="3"/>
  <c r="BL565" i="3"/>
  <c r="AZ565" i="3" s="1"/>
  <c r="BL573" i="3"/>
  <c r="AZ573" i="3" s="1"/>
  <c r="AZ583" i="3"/>
  <c r="AZ580" i="3"/>
  <c r="AZ584" i="3"/>
  <c r="BL586" i="3"/>
  <c r="AZ586" i="3" s="1"/>
  <c r="H23" i="35"/>
  <c r="J23" i="35"/>
  <c r="BL540" i="3"/>
  <c r="BA539" i="3"/>
  <c r="BL530" i="3"/>
  <c r="AZ402" i="3"/>
  <c r="AZ406" i="3"/>
  <c r="AZ413" i="3"/>
  <c r="AZ419" i="3"/>
  <c r="AZ424" i="3"/>
  <c r="AZ435" i="3"/>
  <c r="AZ444" i="3"/>
  <c r="AZ451" i="3"/>
  <c r="AZ456" i="3"/>
  <c r="AZ458" i="3"/>
  <c r="AZ462" i="3"/>
  <c r="AZ475" i="3"/>
  <c r="AZ332" i="3"/>
  <c r="AZ212" i="3"/>
  <c r="AZ231" i="3"/>
  <c r="AZ298" i="3"/>
  <c r="I4" i="6"/>
  <c r="G3" i="43" s="1"/>
  <c r="AE11" i="43" s="1"/>
  <c r="AE13" i="43" s="1"/>
  <c r="G582" i="3"/>
  <c r="G566" i="3"/>
  <c r="G552" i="3"/>
  <c r="BA551" i="3"/>
  <c r="AZ551" i="3" s="1"/>
  <c r="BL550" i="3"/>
  <c r="BA550" i="3"/>
  <c r="G550" i="3"/>
  <c r="G549" i="3"/>
  <c r="G526" i="3"/>
  <c r="G525" i="3"/>
  <c r="BA524" i="3"/>
  <c r="G524" i="3"/>
  <c r="BA523" i="3"/>
  <c r="G523" i="3"/>
  <c r="BL521" i="3"/>
  <c r="G521" i="3"/>
  <c r="G520" i="3"/>
  <c r="G519" i="3"/>
  <c r="BL518" i="3"/>
  <c r="G518" i="3"/>
  <c r="G516" i="3"/>
  <c r="G515" i="3"/>
  <c r="BA514" i="3"/>
  <c r="G514" i="3"/>
  <c r="G513" i="3"/>
  <c r="G512" i="3"/>
  <c r="G511" i="3"/>
  <c r="G510" i="3"/>
  <c r="G508" i="3"/>
  <c r="G507" i="3"/>
  <c r="G506" i="3"/>
  <c r="G505" i="3"/>
  <c r="G504" i="3"/>
  <c r="BA503" i="3"/>
  <c r="G503" i="3"/>
  <c r="G502" i="3"/>
  <c r="G501" i="3"/>
  <c r="G500" i="3"/>
  <c r="G499" i="3"/>
  <c r="BR5" i="3"/>
  <c r="G28" i="6" s="1"/>
  <c r="G495" i="3"/>
  <c r="BL494" i="3"/>
  <c r="BD5" i="3"/>
  <c r="BE5" i="3"/>
  <c r="F7" i="1"/>
  <c r="A15" i="62"/>
  <c r="B61" i="72" s="1"/>
  <c r="BL13" i="3"/>
  <c r="G400" i="3"/>
  <c r="BL400" i="3"/>
  <c r="AZ400" i="3" s="1"/>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AZ466" i="3" s="1"/>
  <c r="BA467" i="3"/>
  <c r="AZ467" i="3" s="1"/>
  <c r="G472" i="3"/>
  <c r="BL472" i="3"/>
  <c r="AZ472" i="3" s="1"/>
  <c r="G475" i="3"/>
  <c r="BL475" i="3"/>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G39" i="3"/>
  <c r="G40" i="3"/>
  <c r="BL40" i="3"/>
  <c r="BL42" i="3"/>
  <c r="AZ42" i="3" s="1"/>
  <c r="G45" i="3"/>
  <c r="G46" i="3"/>
  <c r="BL46" i="3"/>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G74" i="3"/>
  <c r="G75" i="3"/>
  <c r="G76" i="3"/>
  <c r="BL76" i="3"/>
  <c r="G79" i="3"/>
  <c r="G80" i="3"/>
  <c r="G81" i="3"/>
  <c r="BL81" i="3"/>
  <c r="AZ81" i="3" s="1"/>
  <c r="BL84" i="3"/>
  <c r="AZ84" i="3" s="1"/>
  <c r="BL86" i="3"/>
  <c r="AZ86" i="3" s="1"/>
  <c r="BA87" i="3"/>
  <c r="AZ87" i="3" s="1"/>
  <c r="D54" i="71"/>
  <c r="C55" i="71"/>
  <c r="C56" i="71" s="1"/>
  <c r="AZ46" i="3"/>
  <c r="AZ62" i="3"/>
  <c r="AZ76" i="3"/>
  <c r="K13" i="1"/>
  <c r="M13" i="1" s="1"/>
  <c r="O13" i="1" s="1"/>
  <c r="P13" i="1" s="1"/>
  <c r="D46" i="71"/>
  <c r="C47" i="7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K10" i="1"/>
  <c r="M10" i="1" s="1"/>
  <c r="K100" i="43"/>
  <c r="I10" i="66"/>
  <c r="P27" i="6"/>
  <c r="C44" i="71"/>
  <c r="D71" i="71"/>
  <c r="D34" i="71"/>
  <c r="C23" i="71"/>
  <c r="AB29" i="71"/>
  <c r="AB25" i="71"/>
  <c r="X23" i="71"/>
  <c r="X29" i="71"/>
  <c r="AB23" i="71"/>
  <c r="AB27" i="71"/>
  <c r="F31" i="71"/>
  <c r="F32" i="71" s="1"/>
  <c r="V32" i="71" s="1"/>
  <c r="Y30" i="71"/>
  <c r="Z30" i="71" s="1"/>
  <c r="B43" i="71"/>
  <c r="B44" i="71" s="1"/>
  <c r="S44" i="71" s="1"/>
  <c r="AB13" i="71"/>
  <c r="C32" i="66"/>
  <c r="E26" i="66" s="1"/>
  <c r="AC21" i="21"/>
  <c r="W21" i="34"/>
  <c r="C21" i="69"/>
  <c r="AB21" i="33"/>
  <c r="S18" i="36"/>
  <c r="B55" i="43"/>
  <c r="B51" i="71"/>
  <c r="B52" i="71" s="1"/>
  <c r="S52" i="71" s="1"/>
  <c r="AE10" i="43"/>
  <c r="C4" i="12"/>
  <c r="BL15" i="3"/>
  <c r="AZ15" i="3" s="1"/>
  <c r="AP8" i="1"/>
  <c r="F34" i="15"/>
  <c r="F62" i="15" s="1"/>
  <c r="M20" i="67"/>
  <c r="M18" i="67"/>
  <c r="D68" i="9"/>
  <c r="F31" i="12"/>
  <c r="F30" i="68"/>
  <c r="F48" i="68" s="1"/>
  <c r="C40" i="69"/>
  <c r="C5" i="11"/>
  <c r="D23" i="67"/>
  <c r="G10" i="1"/>
  <c r="O10" i="1"/>
  <c r="P10" i="1" s="1"/>
  <c r="AZ13" i="3"/>
  <c r="F22" i="43"/>
  <c r="AZ14" i="3"/>
  <c r="G14" i="3"/>
  <c r="E2" i="70"/>
  <c r="J101" i="43"/>
  <c r="J103" i="43" s="1"/>
  <c r="O9" i="1"/>
  <c r="P9" i="1" s="1"/>
  <c r="AR11" i="1"/>
  <c r="M7" i="1"/>
  <c r="O7" i="1" s="1"/>
  <c r="T11" i="1"/>
  <c r="G7" i="1"/>
  <c r="G8" i="1"/>
  <c r="G11" i="1"/>
  <c r="G9" i="1"/>
  <c r="C48" i="68"/>
  <c r="D68" i="39"/>
  <c r="C77" i="9"/>
  <c r="C74" i="9" s="1"/>
  <c r="C65" i="40"/>
  <c r="L59" i="34"/>
  <c r="M59" i="34" s="1"/>
  <c r="N59" i="34" s="1"/>
  <c r="O59" i="34" s="1"/>
  <c r="F7" i="34"/>
  <c r="H58" i="21"/>
  <c r="I58" i="21" s="1"/>
  <c r="J58" i="21" s="1"/>
  <c r="K58" i="21" s="1"/>
  <c r="L58" i="21" s="1"/>
  <c r="M58" i="21" s="1"/>
  <c r="N58" i="21" s="1"/>
  <c r="O58" i="21" s="1"/>
  <c r="H7" i="21"/>
  <c r="F48" i="35"/>
  <c r="G48" i="35" s="1"/>
  <c r="H48" i="35" s="1"/>
  <c r="I48" i="35" s="1"/>
  <c r="J48" i="35" s="1"/>
  <c r="K48" i="35" s="1"/>
  <c r="L48" i="35" s="1"/>
  <c r="M48" i="35" s="1"/>
  <c r="N48" i="35" s="1"/>
  <c r="O48" i="35" s="1"/>
  <c r="H7" i="35"/>
  <c r="F46" i="36"/>
  <c r="G63" i="40"/>
  <c r="D65" i="40"/>
  <c r="F7" i="21"/>
  <c r="J7" i="21"/>
  <c r="D20" i="53"/>
  <c r="B40" i="72" s="1"/>
  <c r="B38" i="72"/>
  <c r="L68" i="9"/>
  <c r="M68" i="9" s="1"/>
  <c r="L65" i="9"/>
  <c r="M65" i="9" s="1"/>
  <c r="L66" i="9"/>
  <c r="M66" i="9" s="1"/>
  <c r="L64" i="9"/>
  <c r="M64" i="9" s="1"/>
  <c r="L63" i="9"/>
  <c r="M63" i="9" s="1"/>
  <c r="M69" i="9" s="1"/>
  <c r="N69" i="9" s="1"/>
  <c r="L67" i="9"/>
  <c r="M67" i="9" s="1"/>
  <c r="I52" i="37"/>
  <c r="J52" i="37" s="1"/>
  <c r="K52" i="37" s="1"/>
  <c r="L52" i="37" s="1"/>
  <c r="M52" i="37" s="1"/>
  <c r="N52" i="37" s="1"/>
  <c r="O52" i="37" s="1"/>
  <c r="C5" i="43"/>
  <c r="T14" i="43" s="1"/>
  <c r="V14" i="43" s="1"/>
  <c r="AC27" i="40"/>
  <c r="W27" i="40"/>
  <c r="H110" i="9"/>
  <c r="D18" i="53" s="1"/>
  <c r="B35" i="72" s="1"/>
  <c r="S23" i="21"/>
  <c r="AA23" i="21"/>
  <c r="S11" i="34"/>
  <c r="AA11" i="34"/>
  <c r="AA30" i="40"/>
  <c r="S30" i="40"/>
  <c r="U20" i="36"/>
  <c r="AB20" i="36"/>
  <c r="W36" i="40"/>
  <c r="AC36" i="40"/>
  <c r="S32" i="40"/>
  <c r="AA32" i="40"/>
  <c r="AA31" i="40"/>
  <c r="S31" i="40"/>
  <c r="AC41" i="34"/>
  <c r="W41" i="34"/>
  <c r="S41" i="34"/>
  <c r="AA41" i="34"/>
  <c r="AB27" i="34"/>
  <c r="U27" i="34"/>
  <c r="S25" i="21"/>
  <c r="AA25" i="21"/>
  <c r="AC10" i="36"/>
  <c r="W10" i="36"/>
  <c r="W13" i="40"/>
  <c r="AC13" i="40"/>
  <c r="S16" i="35"/>
  <c r="AA16" i="35"/>
  <c r="U27" i="39"/>
  <c r="AB27" i="39"/>
  <c r="AB39" i="37"/>
  <c r="U39" i="37"/>
  <c r="AA26" i="33"/>
  <c r="S26" i="33"/>
  <c r="F28" i="34"/>
  <c r="J28" i="34"/>
  <c r="AC8" i="40"/>
  <c r="W8" i="40"/>
  <c r="AB34" i="40"/>
  <c r="U34" i="40"/>
  <c r="AB38" i="40"/>
  <c r="U38" i="40"/>
  <c r="U41" i="21"/>
  <c r="AB41" i="21"/>
  <c r="BL549" i="3"/>
  <c r="BA549" i="3"/>
  <c r="AZ549" i="3" s="1"/>
  <c r="BL541" i="3"/>
  <c r="BA541" i="3"/>
  <c r="AZ541" i="3" s="1"/>
  <c r="BL539" i="3"/>
  <c r="AZ539" i="3" s="1"/>
  <c r="BL537" i="3"/>
  <c r="BA537" i="3"/>
  <c r="BL535" i="3"/>
  <c r="BA535" i="3"/>
  <c r="BL533" i="3"/>
  <c r="BA533" i="3"/>
  <c r="BL531" i="3"/>
  <c r="BL529" i="3"/>
  <c r="BA529" i="3"/>
  <c r="AZ529" i="3" s="1"/>
  <c r="BL527" i="3"/>
  <c r="BA527" i="3"/>
  <c r="AZ527" i="3" s="1"/>
  <c r="BL525" i="3"/>
  <c r="BA525" i="3"/>
  <c r="AZ525" i="3" s="1"/>
  <c r="BL523" i="3"/>
  <c r="AZ523" i="3" s="1"/>
  <c r="BA521" i="3"/>
  <c r="AZ521" i="3" s="1"/>
  <c r="BL519" i="3"/>
  <c r="BA519" i="3"/>
  <c r="AZ519" i="3" s="1"/>
  <c r="BL517" i="3"/>
  <c r="BA517" i="3"/>
  <c r="AZ517" i="3" s="1"/>
  <c r="BL514" i="3"/>
  <c r="AZ514" i="3" s="1"/>
  <c r="BA512" i="3"/>
  <c r="AZ512" i="3" s="1"/>
  <c r="BL510" i="3"/>
  <c r="BA510" i="3"/>
  <c r="AZ510" i="3" s="1"/>
  <c r="BL507" i="3"/>
  <c r="BA507" i="3"/>
  <c r="BA505" i="3"/>
  <c r="AZ505" i="3" s="1"/>
  <c r="BL503" i="3"/>
  <c r="AZ503" i="3" s="1"/>
  <c r="BA501" i="3"/>
  <c r="AZ501" i="3" s="1"/>
  <c r="BA499" i="3"/>
  <c r="AZ499" i="3" s="1"/>
  <c r="BA497" i="3"/>
  <c r="AZ497" i="3" s="1"/>
  <c r="BL496" i="3"/>
  <c r="BA496" i="3"/>
  <c r="BJ5" i="3"/>
  <c r="H5" i="3"/>
  <c r="G494" i="3"/>
  <c r="BK5" i="3"/>
  <c r="G493" i="3"/>
  <c r="AC5" i="3"/>
  <c r="H7" i="34"/>
  <c r="J7" i="34"/>
  <c r="F7" i="35"/>
  <c r="J7" i="35"/>
  <c r="H7" i="37"/>
  <c r="F7" i="37"/>
  <c r="C30" i="68"/>
  <c r="D126" i="9"/>
  <c r="H7" i="33"/>
  <c r="F7" i="33"/>
  <c r="J7" i="33"/>
  <c r="D17" i="53"/>
  <c r="B36" i="72" s="1"/>
  <c r="D124" i="9"/>
  <c r="S17" i="37"/>
  <c r="S26" i="35"/>
  <c r="O6" i="1"/>
  <c r="AC17" i="21"/>
  <c r="W17" i="21"/>
  <c r="AB34" i="33"/>
  <c r="AB33" i="34"/>
  <c r="AA40" i="34"/>
  <c r="AA35" i="37"/>
  <c r="AB20" i="35"/>
  <c r="AC31" i="39"/>
  <c r="S8" i="40"/>
  <c r="P11" i="1"/>
  <c r="AA10" i="33"/>
  <c r="U28" i="34"/>
  <c r="U44" i="34"/>
  <c r="S23" i="37"/>
  <c r="AA23" i="37"/>
  <c r="AB17" i="37"/>
  <c r="S36" i="37"/>
  <c r="AA22" i="36"/>
  <c r="AB27" i="36"/>
  <c r="U12" i="39"/>
  <c r="U37" i="39"/>
  <c r="AA27" i="40"/>
  <c r="F53" i="9"/>
  <c r="F30" i="11"/>
  <c r="F28" i="67"/>
  <c r="C28" i="67" s="1"/>
  <c r="F52" i="9"/>
  <c r="F32" i="67"/>
  <c r="F60" i="67" s="1"/>
  <c r="F30" i="69"/>
  <c r="F32" i="15"/>
  <c r="F60" i="15" s="1"/>
  <c r="M18" i="15"/>
  <c r="F54" i="9"/>
  <c r="AR13" i="1"/>
  <c r="AQ13" i="1"/>
  <c r="P12" i="1"/>
  <c r="AR12" i="1"/>
  <c r="T12" i="1"/>
  <c r="AA39" i="34"/>
  <c r="AC27" i="34"/>
  <c r="AA32" i="37"/>
  <c r="S32" i="37"/>
  <c r="AA27" i="36"/>
  <c r="S27" i="36"/>
  <c r="AA23" i="39"/>
  <c r="S23" i="39"/>
  <c r="AA43" i="34"/>
  <c r="S43" i="34"/>
  <c r="AA20" i="35"/>
  <c r="S20" i="35"/>
  <c r="S33" i="34"/>
  <c r="AA33" i="34"/>
  <c r="F48" i="9"/>
  <c r="O52" i="9" s="1"/>
  <c r="H52" i="43"/>
  <c r="H56" i="43"/>
  <c r="AZ321" i="3"/>
  <c r="AZ119" i="3"/>
  <c r="H62" i="43"/>
  <c r="H65" i="43"/>
  <c r="H63" i="43"/>
  <c r="U37" i="21"/>
  <c r="AB37" i="21"/>
  <c r="AZ559" i="3"/>
  <c r="S14" i="37"/>
  <c r="AA14" i="37"/>
  <c r="AC37" i="40"/>
  <c r="W37" i="40"/>
  <c r="U33" i="40"/>
  <c r="AB33" i="40"/>
  <c r="AC38" i="37"/>
  <c r="W38" i="37"/>
  <c r="U28" i="37"/>
  <c r="AB28" i="37"/>
  <c r="AA28" i="37"/>
  <c r="S28" i="37"/>
  <c r="AB25" i="36"/>
  <c r="U25" i="36"/>
  <c r="AA35" i="35"/>
  <c r="S35" i="35"/>
  <c r="W25" i="35"/>
  <c r="AC25" i="35"/>
  <c r="AC13" i="35"/>
  <c r="W13" i="35"/>
  <c r="AC47" i="34"/>
  <c r="W47" i="34"/>
  <c r="U47" i="34"/>
  <c r="AB47" i="34"/>
  <c r="W45" i="34"/>
  <c r="AC45" i="34"/>
  <c r="AC31" i="34"/>
  <c r="W31" i="34"/>
  <c r="AA27" i="21"/>
  <c r="S27" i="21"/>
  <c r="AC25" i="34"/>
  <c r="W25" i="34"/>
  <c r="U37" i="34"/>
  <c r="AB37" i="34"/>
  <c r="AC31" i="36"/>
  <c r="W31" i="36"/>
  <c r="AB8" i="37"/>
  <c r="U8" i="37"/>
  <c r="J37" i="39"/>
  <c r="F37" i="39"/>
  <c r="AC32" i="40"/>
  <c r="W32" i="40"/>
  <c r="AB33" i="21"/>
  <c r="U33" i="21"/>
  <c r="W34" i="33"/>
  <c r="AC34" i="33"/>
  <c r="H73" i="43"/>
  <c r="H75" i="43"/>
  <c r="H78" i="43"/>
  <c r="AA24" i="35"/>
  <c r="S24" i="35"/>
  <c r="AZ495" i="3"/>
  <c r="AZ531" i="3"/>
  <c r="AZ518" i="3"/>
  <c r="AA14" i="40"/>
  <c r="S14" i="40"/>
  <c r="S13" i="36"/>
  <c r="AA13" i="36"/>
  <c r="W11" i="33"/>
  <c r="AC11" i="33"/>
  <c r="AC16" i="35"/>
  <c r="W16" i="35"/>
  <c r="AA23" i="35"/>
  <c r="S23" i="35"/>
  <c r="S34" i="36"/>
  <c r="AA34" i="36"/>
  <c r="S11" i="21"/>
  <c r="AA11" i="21"/>
  <c r="AB38" i="39"/>
  <c r="U38" i="39"/>
  <c r="AB40" i="40"/>
  <c r="U40" i="40"/>
  <c r="AC12" i="40"/>
  <c r="W12" i="40"/>
  <c r="H13" i="40"/>
  <c r="F13" i="40"/>
  <c r="AZ550" i="3"/>
  <c r="BA540" i="3"/>
  <c r="AZ540" i="3" s="1"/>
  <c r="BL538" i="3"/>
  <c r="BA538" i="3"/>
  <c r="BL536" i="3"/>
  <c r="BA536" i="3"/>
  <c r="BL534" i="3"/>
  <c r="BA534" i="3"/>
  <c r="BL532" i="3"/>
  <c r="BA532" i="3"/>
  <c r="AZ532" i="3" s="1"/>
  <c r="BA530" i="3"/>
  <c r="AZ530" i="3" s="1"/>
  <c r="BL528" i="3"/>
  <c r="AZ528" i="3" s="1"/>
  <c r="BL526" i="3"/>
  <c r="BA526" i="3"/>
  <c r="AZ526" i="3" s="1"/>
  <c r="BL524" i="3"/>
  <c r="AZ524" i="3" s="1"/>
  <c r="BL522" i="3"/>
  <c r="BA522" i="3"/>
  <c r="BL520" i="3"/>
  <c r="BA520" i="3"/>
  <c r="BL516" i="3"/>
  <c r="BA516" i="3"/>
  <c r="BL515" i="3"/>
  <c r="BA515" i="3"/>
  <c r="BL513" i="3"/>
  <c r="AZ513" i="3" s="1"/>
  <c r="BL511" i="3"/>
  <c r="BA511" i="3"/>
  <c r="AZ511" i="3" s="1"/>
  <c r="BA509" i="3"/>
  <c r="AZ509" i="3" s="1"/>
  <c r="BL508" i="3"/>
  <c r="BA508" i="3"/>
  <c r="BL506" i="3"/>
  <c r="BA506" i="3"/>
  <c r="BL504" i="3"/>
  <c r="BA504" i="3"/>
  <c r="BL502" i="3"/>
  <c r="BA502" i="3"/>
  <c r="BA500" i="3"/>
  <c r="AZ500" i="3" s="1"/>
  <c r="BL498" i="3"/>
  <c r="BA498" i="3"/>
  <c r="AZ498" i="3" s="1"/>
  <c r="BM5" i="3"/>
  <c r="F29" i="6" s="1"/>
  <c r="BF5" i="3"/>
  <c r="BA494" i="3"/>
  <c r="AZ494" i="3" s="1"/>
  <c r="BB5" i="3"/>
  <c r="BS5" i="3"/>
  <c r="F28" i="6" s="1"/>
  <c r="BN5" i="3"/>
  <c r="G29" i="6" s="1"/>
  <c r="BL493" i="3"/>
  <c r="BG5" i="3"/>
  <c r="BA493" i="3"/>
  <c r="AZ493" i="3" s="1"/>
  <c r="BC5" i="3"/>
  <c r="AZ362" i="3"/>
  <c r="AZ557" i="3"/>
  <c r="AZ581" i="3"/>
  <c r="AZ562" i="3"/>
  <c r="AZ570" i="3"/>
  <c r="AZ578" i="3"/>
  <c r="AB35" i="35"/>
  <c r="U35" i="35"/>
  <c r="S13" i="35"/>
  <c r="AA13" i="35"/>
  <c r="AA44" i="34"/>
  <c r="S44" i="34"/>
  <c r="H28" i="21"/>
  <c r="F28" i="21"/>
  <c r="J28" i="21"/>
  <c r="AB40" i="33"/>
  <c r="U40" i="33"/>
  <c r="J9" i="34"/>
  <c r="H9" i="34"/>
  <c r="F9" i="34"/>
  <c r="U12" i="35"/>
  <c r="AB12" i="35"/>
  <c r="J34" i="35"/>
  <c r="H34" i="35"/>
  <c r="F34" i="35"/>
  <c r="AC8" i="36"/>
  <c r="W8" i="36"/>
  <c r="AB9" i="36"/>
  <c r="U9" i="36"/>
  <c r="U12" i="36"/>
  <c r="AB12" i="36"/>
  <c r="AC28" i="36"/>
  <c r="W28" i="36"/>
  <c r="F32" i="36"/>
  <c r="H32" i="36"/>
  <c r="J32" i="36"/>
  <c r="H25" i="37"/>
  <c r="F25" i="37"/>
  <c r="J25" i="37"/>
  <c r="U8" i="39"/>
  <c r="AB8" i="39"/>
  <c r="AA40" i="39"/>
  <c r="S40" i="39"/>
  <c r="AA44" i="39"/>
  <c r="S44" i="39"/>
  <c r="J13" i="39"/>
  <c r="H13" i="39"/>
  <c r="H44" i="39"/>
  <c r="J44" i="39"/>
  <c r="B77" i="43"/>
  <c r="C25" i="39"/>
  <c r="AB8" i="35"/>
  <c r="U8" i="35"/>
  <c r="AC28" i="35"/>
  <c r="W28" i="35"/>
  <c r="F12" i="34"/>
  <c r="J12" i="34"/>
  <c r="J12" i="35"/>
  <c r="F12" i="35"/>
  <c r="AC31" i="37"/>
  <c r="W31" i="37"/>
  <c r="AB14" i="37"/>
  <c r="U14" i="37"/>
  <c r="S40" i="33"/>
  <c r="AA40" i="33"/>
  <c r="S38" i="34"/>
  <c r="AA38" i="34"/>
  <c r="AB30" i="35"/>
  <c r="U30" i="35"/>
  <c r="BL585" i="3"/>
  <c r="AZ585" i="3" s="1"/>
  <c r="B71" i="43"/>
  <c r="C21" i="39"/>
  <c r="AC40" i="33"/>
  <c r="W40" i="33"/>
  <c r="W8" i="35"/>
  <c r="AC8" i="35"/>
  <c r="H36" i="35"/>
  <c r="J36" i="35"/>
  <c r="U8" i="36"/>
  <c r="AB8" i="36"/>
  <c r="H34" i="36"/>
  <c r="J34" i="36"/>
  <c r="H33" i="36"/>
  <c r="F33" i="36"/>
  <c r="AA10" i="37"/>
  <c r="S10" i="37"/>
  <c r="AB9" i="39"/>
  <c r="U9" i="39"/>
  <c r="H31" i="39"/>
  <c r="F31" i="39"/>
  <c r="H45" i="39"/>
  <c r="F45" i="39"/>
  <c r="J45" i="39"/>
  <c r="W9" i="40"/>
  <c r="AC9" i="40"/>
  <c r="AA34" i="40"/>
  <c r="S34" i="40"/>
  <c r="AA40" i="40"/>
  <c r="S40" i="40"/>
  <c r="W40" i="40"/>
  <c r="AC40" i="40"/>
  <c r="W31" i="35"/>
  <c r="AC31" i="35"/>
  <c r="AA30" i="36"/>
  <c r="S30" i="36"/>
  <c r="AC30" i="36"/>
  <c r="W30" i="36"/>
  <c r="J35" i="39"/>
  <c r="F35" i="39"/>
  <c r="G551" i="3"/>
  <c r="BL548" i="3"/>
  <c r="AZ548"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2" i="3"/>
  <c r="AZ285" i="3"/>
  <c r="AZ290" i="3"/>
  <c r="AZ293" i="3"/>
  <c r="AZ153" i="3"/>
  <c r="AZ169" i="3"/>
  <c r="AZ25" i="3"/>
  <c r="AZ30" i="3"/>
  <c r="AZ40" i="3"/>
  <c r="AZ49" i="3"/>
  <c r="AZ54" i="3"/>
  <c r="AZ65" i="3"/>
  <c r="AZ70" i="3"/>
  <c r="AZ92" i="3"/>
  <c r="AZ103" i="3"/>
  <c r="E19" i="71"/>
  <c r="E18" i="71" s="1"/>
  <c r="V20" i="71"/>
  <c r="AA18" i="71"/>
  <c r="AA20" i="71"/>
  <c r="X25" i="71"/>
  <c r="X26" i="71"/>
  <c r="X27" i="71"/>
  <c r="AA31" i="71"/>
  <c r="AA29" i="71"/>
  <c r="C39" i="71"/>
  <c r="D39" i="71" s="1"/>
  <c r="D38" i="71"/>
  <c r="T60" i="71"/>
  <c r="D60" i="71"/>
  <c r="V60" i="71"/>
  <c r="F59" i="71"/>
  <c r="Q60" i="71"/>
  <c r="T68" i="71"/>
  <c r="D68" i="71"/>
  <c r="M56" i="9"/>
  <c r="K56" i="9"/>
  <c r="AA15" i="71"/>
  <c r="AA16" i="71"/>
  <c r="E16" i="71"/>
  <c r="X14" i="71"/>
  <c r="B16" i="71"/>
  <c r="X13" i="71"/>
  <c r="X16" i="71"/>
  <c r="AA13" i="71"/>
  <c r="AA10" i="71"/>
  <c r="X10" i="71"/>
  <c r="X7" i="71"/>
  <c r="X6" i="71"/>
  <c r="X5" i="71"/>
  <c r="AA7" i="71"/>
  <c r="AA6" i="71"/>
  <c r="AA3" i="71"/>
  <c r="X9" i="71"/>
  <c r="AA9" i="71"/>
  <c r="AB5" i="71"/>
  <c r="M100" i="43"/>
  <c r="I100" i="43"/>
  <c r="E100" i="43"/>
  <c r="D100" i="43"/>
  <c r="C40" i="68"/>
  <c r="C21" i="68"/>
  <c r="S18" i="35"/>
  <c r="C29" i="39"/>
  <c r="B66" i="43"/>
  <c r="P57" i="71"/>
  <c r="C28" i="71"/>
  <c r="P59" i="71"/>
  <c r="N58" i="71"/>
  <c r="D55" i="71"/>
  <c r="C58" i="71"/>
  <c r="AA19" i="71"/>
  <c r="AB19" i="71"/>
  <c r="C67" i="71"/>
  <c r="O60" i="71"/>
  <c r="N59" i="71"/>
  <c r="D26" i="71"/>
  <c r="X19" i="71"/>
  <c r="Y29" i="71"/>
  <c r="Z29" i="71" s="1"/>
  <c r="AA26" i="71"/>
  <c r="Y25" i="71"/>
  <c r="Z25" i="71" s="1"/>
  <c r="X24" i="71"/>
  <c r="X22" i="71"/>
  <c r="E32" i="71"/>
  <c r="U32" i="71" s="1"/>
  <c r="B28" i="71"/>
  <c r="S28" i="71" s="1"/>
  <c r="AA21" i="71"/>
  <c r="B24" i="71"/>
  <c r="S24" i="71" s="1"/>
  <c r="B20" i="71"/>
  <c r="X18" i="71"/>
  <c r="X20" i="71"/>
  <c r="Y21" i="71"/>
  <c r="Z21" i="71" s="1"/>
  <c r="Y17" i="71"/>
  <c r="Z17" i="71" s="1"/>
  <c r="Y18" i="71"/>
  <c r="Z18" i="71" s="1"/>
  <c r="Y19" i="71"/>
  <c r="Z19" i="71" s="1"/>
  <c r="Y20" i="71"/>
  <c r="Z20" i="71" s="1"/>
  <c r="AB21" i="71"/>
  <c r="AB18" i="71"/>
  <c r="AB20" i="71"/>
  <c r="F22" i="71"/>
  <c r="F23" i="71" s="1"/>
  <c r="F24" i="71" s="1"/>
  <c r="V24" i="71" s="1"/>
  <c r="Y23" i="71"/>
  <c r="Z23" i="71" s="1"/>
  <c r="AA22" i="71"/>
  <c r="AA23" i="71"/>
  <c r="Y24" i="71"/>
  <c r="Z24" i="71" s="1"/>
  <c r="AB24" i="71"/>
  <c r="Y27" i="71"/>
  <c r="Z27" i="71" s="1"/>
  <c r="AA25" i="71"/>
  <c r="AA24" i="71"/>
  <c r="Y28" i="71"/>
  <c r="Z28" i="71" s="1"/>
  <c r="C31" i="71"/>
  <c r="P60" i="71"/>
  <c r="U60" i="71"/>
  <c r="Z12" i="43"/>
  <c r="Z10" i="43"/>
  <c r="AD12" i="43"/>
  <c r="AD10" i="43"/>
  <c r="AF12" i="43"/>
  <c r="AF10" i="43"/>
  <c r="AH12" i="43"/>
  <c r="AH10" i="43"/>
  <c r="Y16" i="71"/>
  <c r="Z16" i="71" s="1"/>
  <c r="F14" i="71"/>
  <c r="F13" i="71" s="1"/>
  <c r="F12" i="71" s="1"/>
  <c r="F11" i="71" s="1"/>
  <c r="F10" i="71" s="1"/>
  <c r="F9" i="71" s="1"/>
  <c r="Y13" i="71"/>
  <c r="Z13" i="71" s="1"/>
  <c r="AA14" i="71"/>
  <c r="AA5" i="71"/>
  <c r="AC12" i="43"/>
  <c r="AC10" i="43"/>
  <c r="AG12" i="43"/>
  <c r="AG10" i="43"/>
  <c r="Y14" i="71"/>
  <c r="Z14" i="71" s="1"/>
  <c r="Y15" i="71"/>
  <c r="Z15" i="71" s="1"/>
  <c r="C16" i="71"/>
  <c r="AB15" i="71"/>
  <c r="AB16" i="71"/>
  <c r="Y10" i="71"/>
  <c r="Z10" i="71" s="1"/>
  <c r="AB10" i="71"/>
  <c r="Y6" i="71"/>
  <c r="Z6" i="71" s="1"/>
  <c r="Y9" i="71"/>
  <c r="Z9" i="71" s="1"/>
  <c r="AB9" i="71"/>
  <c r="Y5" i="71"/>
  <c r="Z5" i="71" s="1"/>
  <c r="AB7" i="71"/>
  <c r="AB6" i="7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X8" i="71"/>
  <c r="AB8" i="71"/>
  <c r="T15" i="43"/>
  <c r="V15" i="43" s="1"/>
  <c r="Y3" i="71"/>
  <c r="Z3" i="71" s="1"/>
  <c r="F8" i="71"/>
  <c r="F7" i="71" s="1"/>
  <c r="F6" i="71" s="1"/>
  <c r="F5" i="71" s="1"/>
  <c r="AF3" i="71"/>
  <c r="P22" i="43" s="1"/>
  <c r="C34" i="43"/>
  <c r="T10" i="43"/>
  <c r="V10" i="43" s="1"/>
  <c r="C33" i="43"/>
  <c r="T16" i="43"/>
  <c r="V16" i="43" s="1"/>
  <c r="T13" i="43"/>
  <c r="V13" i="43" s="1"/>
  <c r="T8" i="43"/>
  <c r="V8" i="43" s="1"/>
  <c r="C38" i="43"/>
  <c r="C6" i="67"/>
  <c r="B10" i="70"/>
  <c r="Q71" i="15"/>
  <c r="C34" i="15"/>
  <c r="F63" i="15"/>
  <c r="C62" i="15" s="1"/>
  <c r="B6" i="70"/>
  <c r="J53" i="15"/>
  <c r="L56" i="15" s="1"/>
  <c r="J57" i="15"/>
  <c r="J55" i="15" s="1"/>
  <c r="J58" i="15" s="1"/>
  <c r="Q50" i="15" s="1"/>
  <c r="I54" i="15"/>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J20" i="15"/>
  <c r="F68" i="15"/>
  <c r="C16" i="67"/>
  <c r="C14" i="67"/>
  <c r="C17" i="67"/>
  <c r="C17" i="15"/>
  <c r="D6" i="73"/>
  <c r="C14" i="15"/>
  <c r="D5" i="73"/>
  <c r="C16" i="15"/>
  <c r="K1" i="73" l="1"/>
  <c r="L101" i="43"/>
  <c r="L103" i="43" s="1"/>
  <c r="AI11" i="43"/>
  <c r="AI13" i="43" s="1"/>
  <c r="B113" i="43"/>
  <c r="D116" i="43" s="1"/>
  <c r="E116" i="43" s="1"/>
  <c r="F116" i="43" s="1"/>
  <c r="G116" i="43" s="1"/>
  <c r="H116" i="43" s="1"/>
  <c r="K101" i="43"/>
  <c r="K102" i="43" s="1"/>
  <c r="Z11" i="43"/>
  <c r="Z13" i="43" s="1"/>
  <c r="Z7" i="43"/>
  <c r="G22" i="43"/>
  <c r="C101" i="43"/>
  <c r="C102" i="43" s="1"/>
  <c r="AJ11" i="43"/>
  <c r="AJ13" i="43" s="1"/>
  <c r="M101" i="43"/>
  <c r="M109" i="43" s="1"/>
  <c r="G101" i="43"/>
  <c r="G104" i="43" s="1"/>
  <c r="E101" i="43"/>
  <c r="E102" i="43" s="1"/>
  <c r="Y11" i="43"/>
  <c r="Y13" i="43" s="1"/>
  <c r="Q16" i="1"/>
  <c r="F27" i="69" s="1"/>
  <c r="C47" i="69" s="1"/>
  <c r="D45" i="69" s="1"/>
  <c r="H101" i="43"/>
  <c r="H109" i="43" s="1"/>
  <c r="H16" i="1"/>
  <c r="F101" i="43"/>
  <c r="F107" i="43" s="1"/>
  <c r="N101" i="43"/>
  <c r="N102" i="43" s="1"/>
  <c r="E22" i="43"/>
  <c r="I101" i="43"/>
  <c r="I105" i="43" s="1"/>
  <c r="D101" i="43"/>
  <c r="D109" i="43" s="1"/>
  <c r="AB11" i="43"/>
  <c r="AB13" i="43" s="1"/>
  <c r="AC11" i="43"/>
  <c r="AC13" i="43" s="1"/>
  <c r="AH11" i="43"/>
  <c r="AH13" i="43" s="1"/>
  <c r="J22" i="43"/>
  <c r="AA11" i="43"/>
  <c r="AA13" i="43" s="1"/>
  <c r="H22" i="43"/>
  <c r="AF11" i="43"/>
  <c r="AF13" i="43" s="1"/>
  <c r="AG11" i="43"/>
  <c r="AG13" i="43" s="1"/>
  <c r="AD11" i="43"/>
  <c r="AD13" i="43" s="1"/>
  <c r="N104" i="46"/>
  <c r="C36" i="69"/>
  <c r="BL5" i="3"/>
  <c r="AZ502" i="3"/>
  <c r="AZ504" i="3"/>
  <c r="AZ506" i="3"/>
  <c r="AZ515" i="3"/>
  <c r="AZ516" i="3"/>
  <c r="D23" i="71"/>
  <c r="C24" i="71"/>
  <c r="T56" i="71"/>
  <c r="D56" i="71"/>
  <c r="AZ477" i="3"/>
  <c r="AZ446" i="3"/>
  <c r="AC23" i="35"/>
  <c r="W23" i="35"/>
  <c r="AZ568" i="3"/>
  <c r="AB12" i="40"/>
  <c r="U12" i="40"/>
  <c r="S38" i="37"/>
  <c r="AA38" i="37"/>
  <c r="S11" i="36"/>
  <c r="AA11" i="36"/>
  <c r="W11" i="36"/>
  <c r="AC11" i="36"/>
  <c r="AC11" i="35"/>
  <c r="W11" i="35"/>
  <c r="S46" i="34"/>
  <c r="AA46" i="34"/>
  <c r="W32" i="34"/>
  <c r="AC32" i="34"/>
  <c r="W30" i="34"/>
  <c r="AC30" i="34"/>
  <c r="U14" i="34"/>
  <c r="AB14" i="34"/>
  <c r="AC14" i="34"/>
  <c r="W14" i="34"/>
  <c r="W45" i="33"/>
  <c r="AC45" i="33"/>
  <c r="U31" i="33"/>
  <c r="AB31" i="33"/>
  <c r="AA29" i="33"/>
  <c r="S29" i="33"/>
  <c r="AC29" i="33"/>
  <c r="W29" i="33"/>
  <c r="U13" i="33"/>
  <c r="AB13" i="33"/>
  <c r="AC28" i="33"/>
  <c r="W28" i="33"/>
  <c r="AB28" i="33"/>
  <c r="U28" i="33"/>
  <c r="AC46" i="21"/>
  <c r="W46" i="21"/>
  <c r="S31" i="21"/>
  <c r="AA31" i="21"/>
  <c r="U29" i="21"/>
  <c r="AB29" i="21"/>
  <c r="AC12" i="21"/>
  <c r="W12" i="21"/>
  <c r="S12" i="21"/>
  <c r="AA12" i="21"/>
  <c r="T44" i="71"/>
  <c r="D44" i="71"/>
  <c r="I21" i="66"/>
  <c r="D1" i="66"/>
  <c r="E10" i="66" s="1"/>
  <c r="D47" i="71"/>
  <c r="C48" i="71"/>
  <c r="U23" i="35"/>
  <c r="AB23" i="35"/>
  <c r="AB14" i="40"/>
  <c r="U14" i="40"/>
  <c r="AB38" i="37"/>
  <c r="U38" i="37"/>
  <c r="AB11" i="36"/>
  <c r="U11" i="36"/>
  <c r="S11" i="35"/>
  <c r="AA11" i="35"/>
  <c r="U11" i="35"/>
  <c r="AB11" i="35"/>
  <c r="AB46" i="34"/>
  <c r="U46" i="34"/>
  <c r="U32" i="34"/>
  <c r="AB32" i="34"/>
  <c r="AA30" i="34"/>
  <c r="S30" i="34"/>
  <c r="AA14" i="34"/>
  <c r="S14" i="34"/>
  <c r="AA45" i="33"/>
  <c r="S45" i="33"/>
  <c r="AB45" i="33"/>
  <c r="U45" i="33"/>
  <c r="AC31" i="33"/>
  <c r="W31" i="33"/>
  <c r="U29" i="33"/>
  <c r="AB29" i="33"/>
  <c r="S13" i="33"/>
  <c r="AA13" i="33"/>
  <c r="U26" i="33"/>
  <c r="AB26" i="33"/>
  <c r="W26" i="33"/>
  <c r="AC26" i="33"/>
  <c r="AA28" i="33"/>
  <c r="S28" i="33"/>
  <c r="AA46" i="21"/>
  <c r="S46" i="21"/>
  <c r="U46" i="21"/>
  <c r="AB46" i="21"/>
  <c r="U31" i="21"/>
  <c r="AB31" i="21"/>
  <c r="AC29" i="21"/>
  <c r="W29" i="21"/>
  <c r="AB12" i="21"/>
  <c r="U12" i="21"/>
  <c r="C31" i="12"/>
  <c r="G16" i="1"/>
  <c r="F10" i="39" s="1"/>
  <c r="AA10" i="39" s="1"/>
  <c r="G30" i="6"/>
  <c r="G31" i="6" s="1"/>
  <c r="E8" i="6"/>
  <c r="E5" i="6"/>
  <c r="P7" i="1"/>
  <c r="J104" i="43"/>
  <c r="J107" i="43"/>
  <c r="J102" i="43"/>
  <c r="J109" i="43"/>
  <c r="J105" i="43"/>
  <c r="J106" i="43"/>
  <c r="I117" i="43"/>
  <c r="J117" i="43" s="1"/>
  <c r="K117" i="43" s="1"/>
  <c r="L117" i="43" s="1"/>
  <c r="M117" i="43" s="1"/>
  <c r="C18" i="15"/>
  <c r="C15" i="15"/>
  <c r="E68" i="39"/>
  <c r="D70" i="39"/>
  <c r="G35" i="43"/>
  <c r="I35" i="43" s="1"/>
  <c r="E28" i="6"/>
  <c r="F30" i="6"/>
  <c r="C15" i="71"/>
  <c r="T16" i="71"/>
  <c r="D16" i="71"/>
  <c r="U16" i="71" s="1"/>
  <c r="D31" i="71"/>
  <c r="C32" i="71"/>
  <c r="D58" i="71"/>
  <c r="O57" i="71"/>
  <c r="O58" i="71"/>
  <c r="T28" i="71"/>
  <c r="D28" i="71"/>
  <c r="W35" i="39"/>
  <c r="AC35" i="39"/>
  <c r="S45" i="39"/>
  <c r="AA45" i="39"/>
  <c r="AA31" i="39"/>
  <c r="S31" i="39"/>
  <c r="AA33" i="36"/>
  <c r="S33" i="36"/>
  <c r="AC34" i="36"/>
  <c r="W34" i="36"/>
  <c r="W36" i="35"/>
  <c r="AC36" i="35"/>
  <c r="W12" i="35"/>
  <c r="AC12" i="35"/>
  <c r="S12" i="34"/>
  <c r="AA12" i="34"/>
  <c r="AB44" i="39"/>
  <c r="U44" i="39"/>
  <c r="W13" i="39"/>
  <c r="AC13" i="39"/>
  <c r="AA25" i="37"/>
  <c r="S25" i="37"/>
  <c r="AC32" i="36"/>
  <c r="W32" i="36"/>
  <c r="S32" i="36"/>
  <c r="AA32" i="36"/>
  <c r="AB34" i="35"/>
  <c r="U34" i="35"/>
  <c r="AA9" i="34"/>
  <c r="S9" i="34"/>
  <c r="W9" i="34"/>
  <c r="AC9" i="34"/>
  <c r="S28" i="21"/>
  <c r="AA28" i="21"/>
  <c r="E12" i="6"/>
  <c r="E13" i="6"/>
  <c r="E11" i="6"/>
  <c r="E15" i="6"/>
  <c r="E10" i="6"/>
  <c r="E14" i="6"/>
  <c r="AA13" i="40"/>
  <c r="S13" i="40"/>
  <c r="G5" i="3"/>
  <c r="B3" i="3" s="1"/>
  <c r="E551" i="3" s="1"/>
  <c r="AA37" i="39"/>
  <c r="S37" i="39"/>
  <c r="BA5" i="3"/>
  <c r="AA7" i="33"/>
  <c r="R48" i="33" s="1"/>
  <c r="S7" i="33"/>
  <c r="I14" i="74"/>
  <c r="B8" i="74" s="1"/>
  <c r="D127" i="9"/>
  <c r="D13" i="52" s="1"/>
  <c r="D12" i="52"/>
  <c r="S7" i="37"/>
  <c r="AA7" i="37"/>
  <c r="R42" i="37" s="1"/>
  <c r="AC7" i="35"/>
  <c r="V38" i="35" s="1"/>
  <c r="I38" i="35" s="1"/>
  <c r="W7" i="35"/>
  <c r="U7" i="34"/>
  <c r="AB7" i="34"/>
  <c r="T49" i="34" s="1"/>
  <c r="G49" i="34" s="1"/>
  <c r="W28" i="34"/>
  <c r="AC28" i="34"/>
  <c r="P6" i="1"/>
  <c r="AA7" i="21"/>
  <c r="R48" i="21" s="1"/>
  <c r="S7" i="21"/>
  <c r="H63" i="40"/>
  <c r="G65" i="40"/>
  <c r="AB7" i="21"/>
  <c r="T48" i="21" s="1"/>
  <c r="G48" i="21" s="1"/>
  <c r="U7" i="21"/>
  <c r="S7" i="34"/>
  <c r="AA7" i="34"/>
  <c r="R49" i="34" s="1"/>
  <c r="G36" i="43"/>
  <c r="I36" i="43" s="1"/>
  <c r="B19" i="71"/>
  <c r="B18" i="71" s="1"/>
  <c r="S20" i="71"/>
  <c r="C66" i="71"/>
  <c r="D66" i="71" s="1"/>
  <c r="D67" i="71"/>
  <c r="B15" i="71"/>
  <c r="B14" i="71" s="1"/>
  <c r="B13" i="71" s="1"/>
  <c r="B12" i="71" s="1"/>
  <c r="S16" i="71"/>
  <c r="E15" i="71"/>
  <c r="E14" i="71" s="1"/>
  <c r="E13" i="71" s="1"/>
  <c r="E12" i="71" s="1"/>
  <c r="V16" i="71"/>
  <c r="F58" i="71"/>
  <c r="Q59" i="71"/>
  <c r="AA35" i="39"/>
  <c r="S35" i="39"/>
  <c r="W45" i="39"/>
  <c r="AC45" i="39"/>
  <c r="U45" i="39"/>
  <c r="AB45" i="39"/>
  <c r="AB31" i="39"/>
  <c r="U31" i="39"/>
  <c r="AB33" i="36"/>
  <c r="U33" i="36"/>
  <c r="AB34" i="36"/>
  <c r="U34" i="36"/>
  <c r="AB36" i="35"/>
  <c r="U36" i="35"/>
  <c r="S12" i="35"/>
  <c r="AA12" i="35"/>
  <c r="W12" i="34"/>
  <c r="AC12" i="34"/>
  <c r="AC44" i="39"/>
  <c r="W44" i="39"/>
  <c r="U13" i="39"/>
  <c r="AB13" i="39"/>
  <c r="AC25" i="37"/>
  <c r="W25" i="37"/>
  <c r="U25" i="37"/>
  <c r="AB25" i="37"/>
  <c r="AB32" i="36"/>
  <c r="U32" i="36"/>
  <c r="S34" i="35"/>
  <c r="AA34" i="35"/>
  <c r="W34" i="35"/>
  <c r="AC34" i="35"/>
  <c r="AB9" i="34"/>
  <c r="U9" i="34"/>
  <c r="W28" i="21"/>
  <c r="AC28" i="21"/>
  <c r="AB28" i="21"/>
  <c r="U28" i="21"/>
  <c r="E29" i="6"/>
  <c r="AZ508" i="3"/>
  <c r="AZ520" i="3"/>
  <c r="AZ522" i="3"/>
  <c r="AZ534" i="3"/>
  <c r="AZ536" i="3"/>
  <c r="AZ538" i="3"/>
  <c r="U13" i="40"/>
  <c r="AB13" i="40"/>
  <c r="W37" i="39"/>
  <c r="AC37" i="39"/>
  <c r="F48" i="69"/>
  <c r="C48" i="69"/>
  <c r="C30" i="69"/>
  <c r="C48" i="11"/>
  <c r="C30" i="11"/>
  <c r="D10" i="52"/>
  <c r="D125" i="9"/>
  <c r="D11" i="52" s="1"/>
  <c r="H14" i="74"/>
  <c r="B7" i="74" s="1"/>
  <c r="W7" i="33"/>
  <c r="AC7" i="33"/>
  <c r="V48" i="33" s="1"/>
  <c r="I48" i="33" s="1"/>
  <c r="AB7" i="33"/>
  <c r="T48" i="33" s="1"/>
  <c r="G48" i="33" s="1"/>
  <c r="U7" i="33"/>
  <c r="U7" i="37"/>
  <c r="AB7" i="37"/>
  <c r="T42" i="37" s="1"/>
  <c r="G42" i="37" s="1"/>
  <c r="AA7" i="35"/>
  <c r="R38" i="35" s="1"/>
  <c r="S7" i="35"/>
  <c r="AC7" i="34"/>
  <c r="V49" i="34" s="1"/>
  <c r="I49" i="34" s="1"/>
  <c r="W7" i="34"/>
  <c r="AZ496" i="3"/>
  <c r="AZ507" i="3"/>
  <c r="AZ533" i="3"/>
  <c r="AZ535" i="3"/>
  <c r="AZ537" i="3"/>
  <c r="AA28" i="34"/>
  <c r="S28" i="34"/>
  <c r="J7" i="37"/>
  <c r="W7" i="21"/>
  <c r="AC7" i="21"/>
  <c r="V48" i="21" s="1"/>
  <c r="I48" i="21" s="1"/>
  <c r="G46" i="36"/>
  <c r="AB7" i="35"/>
  <c r="T38" i="35" s="1"/>
  <c r="G38" i="35" s="1"/>
  <c r="U7" i="35"/>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G1" i="73"/>
  <c r="G109" i="43" l="1"/>
  <c r="B40" i="1"/>
  <c r="F25" i="12" s="1"/>
  <c r="M104" i="43"/>
  <c r="L106" i="43"/>
  <c r="B116" i="43"/>
  <c r="C116" i="43" s="1"/>
  <c r="L105" i="43"/>
  <c r="B118" i="43"/>
  <c r="C118" i="43" s="1"/>
  <c r="L104" i="43"/>
  <c r="L107" i="43"/>
  <c r="F104" i="43"/>
  <c r="F109" i="43"/>
  <c r="L102" i="43"/>
  <c r="G118" i="43"/>
  <c r="H118" i="43" s="1"/>
  <c r="B115" i="43"/>
  <c r="I115" i="43"/>
  <c r="J115" i="43" s="1"/>
  <c r="K115" i="43" s="1"/>
  <c r="L115" i="43" s="1"/>
  <c r="M115" i="43" s="1"/>
  <c r="F103" i="43"/>
  <c r="L109" i="43"/>
  <c r="G105" i="43"/>
  <c r="C103" i="43"/>
  <c r="C107" i="43"/>
  <c r="E107" i="43"/>
  <c r="M105" i="43"/>
  <c r="K109" i="43"/>
  <c r="M103" i="43"/>
  <c r="C106" i="43"/>
  <c r="K105" i="43"/>
  <c r="N107" i="43"/>
  <c r="F27" i="11"/>
  <c r="C47" i="11" s="1"/>
  <c r="D45" i="11" s="1"/>
  <c r="I107" i="43"/>
  <c r="B117" i="43"/>
  <c r="C117" i="43" s="1"/>
  <c r="I118" i="43"/>
  <c r="J118" i="43" s="1"/>
  <c r="K118" i="43" s="1"/>
  <c r="L118" i="43" s="1"/>
  <c r="M118" i="43" s="1"/>
  <c r="D117" i="43"/>
  <c r="E117" i="43" s="1"/>
  <c r="F117" i="43" s="1"/>
  <c r="G117" i="43" s="1"/>
  <c r="H117" i="43" s="1"/>
  <c r="D115" i="43"/>
  <c r="E115" i="43" s="1"/>
  <c r="F115" i="43" s="1"/>
  <c r="G115" i="43" s="1"/>
  <c r="H115" i="43" s="1"/>
  <c r="D118" i="43"/>
  <c r="E118" i="43" s="1"/>
  <c r="F118" i="43" s="1"/>
  <c r="I116" i="43"/>
  <c r="J116" i="43" s="1"/>
  <c r="K116" i="43" s="1"/>
  <c r="L116" i="43" s="1"/>
  <c r="M116" i="43" s="1"/>
  <c r="G106" i="43"/>
  <c r="N103" i="43"/>
  <c r="H104" i="43"/>
  <c r="F45" i="69"/>
  <c r="F28" i="12"/>
  <c r="C29" i="12" s="1"/>
  <c r="D28" i="12" s="1"/>
  <c r="C109" i="43"/>
  <c r="C105" i="43"/>
  <c r="C104" i="43"/>
  <c r="K107" i="43"/>
  <c r="E106" i="43"/>
  <c r="M107" i="43"/>
  <c r="K104" i="43"/>
  <c r="M102" i="43"/>
  <c r="F27" i="68"/>
  <c r="C29" i="68" s="1"/>
  <c r="D27" i="68" s="1"/>
  <c r="C29" i="69"/>
  <c r="D27" i="69" s="1"/>
  <c r="E104" i="43"/>
  <c r="E109" i="43"/>
  <c r="K103" i="43"/>
  <c r="K106" i="43"/>
  <c r="M106" i="43"/>
  <c r="E103" i="43"/>
  <c r="E105" i="43"/>
  <c r="H107" i="43"/>
  <c r="H105" i="43"/>
  <c r="G107" i="43"/>
  <c r="G103" i="43"/>
  <c r="G102" i="43"/>
  <c r="H106" i="43"/>
  <c r="H102" i="43"/>
  <c r="H103" i="43"/>
  <c r="N109" i="43"/>
  <c r="D105" i="43"/>
  <c r="C13" i="12"/>
  <c r="I102" i="43"/>
  <c r="N105" i="43"/>
  <c r="D104" i="43"/>
  <c r="D106" i="43"/>
  <c r="D102" i="43"/>
  <c r="I103" i="43"/>
  <c r="I106" i="43"/>
  <c r="I109" i="43"/>
  <c r="N104" i="43"/>
  <c r="D107" i="43"/>
  <c r="D103" i="43"/>
  <c r="I104" i="43"/>
  <c r="N106" i="43"/>
  <c r="F105" i="43"/>
  <c r="F102" i="43"/>
  <c r="F106" i="43"/>
  <c r="D22" i="43"/>
  <c r="AZ5" i="3"/>
  <c r="AY6" i="3" s="1"/>
  <c r="T24" i="71"/>
  <c r="D24" i="71"/>
  <c r="T48" i="71"/>
  <c r="D48" i="71"/>
  <c r="K15" i="1"/>
  <c r="L20" i="6"/>
  <c r="L21" i="6"/>
  <c r="L19" i="6"/>
  <c r="J10" i="40"/>
  <c r="AC10" i="40" s="1"/>
  <c r="J10" i="39"/>
  <c r="W10" i="39" s="1"/>
  <c r="H10" i="40"/>
  <c r="AB10" i="40" s="1"/>
  <c r="H10" i="39"/>
  <c r="S10" i="39"/>
  <c r="F10" i="40"/>
  <c r="AA10" i="40" s="1"/>
  <c r="E493" i="3"/>
  <c r="E494" i="3"/>
  <c r="D19" i="12"/>
  <c r="C19" i="12" s="1"/>
  <c r="D9" i="68"/>
  <c r="C9" i="68" s="1"/>
  <c r="D9" i="11"/>
  <c r="C9" i="11" s="1"/>
  <c r="D9" i="69"/>
  <c r="C9" i="69" s="1"/>
  <c r="F27" i="6"/>
  <c r="E56" i="39"/>
  <c r="E51" i="40"/>
  <c r="C19" i="15"/>
  <c r="C20" i="15" s="1"/>
  <c r="C26" i="15" s="1"/>
  <c r="S5" i="43"/>
  <c r="T5" i="43" s="1"/>
  <c r="V5" i="43" s="1"/>
  <c r="S3" i="43"/>
  <c r="T3" i="43" s="1"/>
  <c r="V3" i="43" s="1"/>
  <c r="S4" i="43"/>
  <c r="T4" i="43" s="1"/>
  <c r="V4" i="43" s="1"/>
  <c r="S7" i="43"/>
  <c r="T7" i="43" s="1"/>
  <c r="V7" i="43" s="1"/>
  <c r="S6" i="43"/>
  <c r="T6" i="43" s="1"/>
  <c r="V6" i="43" s="1"/>
  <c r="S2" i="43"/>
  <c r="T2" i="43" s="1"/>
  <c r="V2" i="43" s="1"/>
  <c r="C26" i="43" s="1"/>
  <c r="C23" i="43"/>
  <c r="C21" i="43" s="1"/>
  <c r="C29" i="43" s="1"/>
  <c r="C115" i="43"/>
  <c r="E16" i="6"/>
  <c r="E70" i="39"/>
  <c r="F68" i="39"/>
  <c r="G42" i="35"/>
  <c r="H42" i="35" s="1"/>
  <c r="G43" i="35"/>
  <c r="H43" i="35" s="1"/>
  <c r="H46" i="36"/>
  <c r="G46" i="37"/>
  <c r="H46" i="37" s="1"/>
  <c r="I52" i="33"/>
  <c r="J52" i="33" s="1"/>
  <c r="Q58" i="71"/>
  <c r="Q57" i="71"/>
  <c r="E11" i="71"/>
  <c r="E10" i="71" s="1"/>
  <c r="E9" i="71" s="1"/>
  <c r="E8" i="71" s="1"/>
  <c r="V12" i="71"/>
  <c r="B11" i="71"/>
  <c r="B10" i="71" s="1"/>
  <c r="B9" i="71" s="1"/>
  <c r="B8" i="71" s="1"/>
  <c r="S12" i="71"/>
  <c r="R50" i="34"/>
  <c r="E49" i="34"/>
  <c r="G53" i="34"/>
  <c r="H53" i="34" s="1"/>
  <c r="G54" i="34"/>
  <c r="H54" i="34" s="1"/>
  <c r="R43" i="37"/>
  <c r="E42" i="37"/>
  <c r="R49" i="33"/>
  <c r="E48" i="33"/>
  <c r="I53" i="33" s="1"/>
  <c r="J53" i="33" s="1"/>
  <c r="E64" i="39"/>
  <c r="E59" i="40"/>
  <c r="E60" i="40"/>
  <c r="E65" i="39"/>
  <c r="E63" i="39"/>
  <c r="E58" i="40"/>
  <c r="T32" i="71"/>
  <c r="D32" i="71"/>
  <c r="C14" i="71"/>
  <c r="D15" i="71"/>
  <c r="E30" i="6"/>
  <c r="K14" i="1"/>
  <c r="I52" i="21"/>
  <c r="J52" i="21" s="1"/>
  <c r="W7" i="37"/>
  <c r="AC7" i="37"/>
  <c r="V42" i="37" s="1"/>
  <c r="I42" i="37" s="1"/>
  <c r="I53" i="34"/>
  <c r="J53" i="34" s="1"/>
  <c r="I54" i="34"/>
  <c r="J54" i="34" s="1"/>
  <c r="R39" i="35"/>
  <c r="E38" i="35"/>
  <c r="G52" i="33"/>
  <c r="H52" i="33" s="1"/>
  <c r="G53" i="33"/>
  <c r="H53" i="33" s="1"/>
  <c r="G52" i="21"/>
  <c r="H52" i="21" s="1"/>
  <c r="G53" i="21"/>
  <c r="H53" i="21" s="1"/>
  <c r="H65" i="40"/>
  <c r="I63" i="40"/>
  <c r="R49" i="21"/>
  <c r="E48" i="21"/>
  <c r="I42" i="35"/>
  <c r="J42" i="35" s="1"/>
  <c r="E53" i="3"/>
  <c r="E125" i="3"/>
  <c r="E175" i="3"/>
  <c r="E217" i="3"/>
  <c r="E319" i="3"/>
  <c r="E366" i="3"/>
  <c r="E553" i="3"/>
  <c r="E343" i="3"/>
  <c r="E268" i="3"/>
  <c r="E153" i="3"/>
  <c r="E282" i="3"/>
  <c r="E322" i="3"/>
  <c r="E426" i="3"/>
  <c r="N6" i="3"/>
  <c r="AJ6" i="3"/>
  <c r="E328" i="3"/>
  <c r="E329" i="3"/>
  <c r="E347" i="3"/>
  <c r="E583" i="3"/>
  <c r="E545" i="3"/>
  <c r="AA6" i="3"/>
  <c r="E567" i="3"/>
  <c r="X6" i="3"/>
  <c r="E399" i="3"/>
  <c r="E461" i="3"/>
  <c r="E280" i="3"/>
  <c r="E227" i="3"/>
  <c r="E246" i="3"/>
  <c r="E205" i="3"/>
  <c r="E124" i="3"/>
  <c r="E165" i="3"/>
  <c r="E293" i="3"/>
  <c r="E128" i="3"/>
  <c r="E270" i="3"/>
  <c r="E311" i="3"/>
  <c r="E390" i="3"/>
  <c r="E358" i="3"/>
  <c r="S6" i="3"/>
  <c r="E559" i="3"/>
  <c r="AR6" i="3"/>
  <c r="E570" i="3"/>
  <c r="E561" i="3"/>
  <c r="M6" i="3"/>
  <c r="V6" i="3"/>
  <c r="AB6" i="3"/>
  <c r="E418" i="3"/>
  <c r="E407" i="3"/>
  <c r="E439" i="3"/>
  <c r="E387" i="3"/>
  <c r="E338" i="3"/>
  <c r="E320" i="3"/>
  <c r="E380" i="3"/>
  <c r="E321"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560" i="3"/>
  <c r="E543" i="3"/>
  <c r="E405" i="3"/>
  <c r="E437" i="3"/>
  <c r="E427" i="3"/>
  <c r="E458" i="3"/>
  <c r="E456" i="3"/>
  <c r="E472" i="3"/>
  <c r="E486" i="3"/>
  <c r="E474" i="3"/>
  <c r="E469" i="3"/>
  <c r="E481" i="3"/>
  <c r="E406" i="3"/>
  <c r="E422" i="3"/>
  <c r="E438" i="3"/>
  <c r="E408" i="3"/>
  <c r="E424" i="3"/>
  <c r="E440" i="3"/>
  <c r="E457" i="3"/>
  <c r="E451" i="3"/>
  <c r="E465" i="3"/>
  <c r="E490" i="3"/>
  <c r="E288" i="3"/>
  <c r="E360" i="3"/>
  <c r="E344" i="3"/>
  <c r="E562" i="3"/>
  <c r="E556" i="3"/>
  <c r="E587" i="3"/>
  <c r="AH6" i="3"/>
  <c r="W6" i="3"/>
  <c r="AE6" i="3"/>
  <c r="J6" i="3"/>
  <c r="E571" i="3"/>
  <c r="E577"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69" i="3"/>
  <c r="E114" i="3"/>
  <c r="E278" i="3"/>
  <c r="E415" i="3"/>
  <c r="E563" i="3"/>
  <c r="E395" i="3"/>
  <c r="E172" i="3"/>
  <c r="E445" i="3"/>
  <c r="E550"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93" i="3"/>
  <c r="E575" i="3"/>
  <c r="E542" i="3"/>
  <c r="E552" i="3"/>
  <c r="E442" i="3"/>
  <c r="E466" i="3"/>
  <c r="E487" i="3"/>
  <c r="E398" i="3"/>
  <c r="E416" i="3"/>
  <c r="E459" i="3"/>
  <c r="E374" i="3"/>
  <c r="AP6" i="3"/>
  <c r="E500" i="3"/>
  <c r="E582" i="3"/>
  <c r="E413" i="3"/>
  <c r="E460" i="3"/>
  <c r="E520" i="3"/>
  <c r="E436" i="3"/>
  <c r="E39" i="3"/>
  <c r="E90" i="3"/>
  <c r="E57" i="3"/>
  <c r="E131" i="3"/>
  <c r="E187" i="3"/>
  <c r="E132" i="3"/>
  <c r="E155" i="3"/>
  <c r="E192" i="3"/>
  <c r="E240" i="3"/>
  <c r="E258" i="3"/>
  <c r="E297" i="3"/>
  <c r="E241" i="3"/>
  <c r="E259" i="3"/>
  <c r="E292" i="3"/>
  <c r="E348" i="3"/>
  <c r="E363" i="3"/>
  <c r="E377" i="3"/>
  <c r="E317" i="3"/>
  <c r="E334" i="3"/>
  <c r="E384" i="3"/>
  <c r="E572" i="3"/>
  <c r="E544" i="3"/>
  <c r="E58" i="3"/>
  <c r="E76" i="3"/>
  <c r="E110" i="3"/>
  <c r="E59" i="3"/>
  <c r="E540" i="3"/>
  <c r="E462" i="3"/>
  <c r="E446" i="3"/>
  <c r="E47" i="3"/>
  <c r="E98" i="3"/>
  <c r="E65" i="3"/>
  <c r="E138" i="3"/>
  <c r="E195" i="3"/>
  <c r="E163" i="3"/>
  <c r="E248" i="3"/>
  <c r="E209" i="3"/>
  <c r="E266" i="3"/>
  <c r="E307" i="3"/>
  <c r="E386" i="3"/>
  <c r="E354" i="3"/>
  <c r="E584" i="3"/>
  <c r="E66" i="3"/>
  <c r="E84" i="3"/>
  <c r="E67" i="3"/>
  <c r="E87" i="3"/>
  <c r="E127" i="3"/>
  <c r="E250" i="3"/>
  <c r="E284" i="3"/>
  <c r="E341" i="3"/>
  <c r="Y6" i="3"/>
  <c r="E68" i="3"/>
  <c r="E63" i="3"/>
  <c r="E81" i="3"/>
  <c r="E179" i="3"/>
  <c r="E222" i="3"/>
  <c r="E323" i="3"/>
  <c r="E373" i="3"/>
  <c r="E82" i="3"/>
  <c r="E237" i="3"/>
  <c r="E261" i="3"/>
  <c r="E565" i="3"/>
  <c r="E183" i="3"/>
  <c r="E213" i="3"/>
  <c r="E361" i="3"/>
  <c r="E302" i="3"/>
  <c r="E239" i="3"/>
  <c r="E579" i="3"/>
  <c r="E569" i="3"/>
  <c r="E431" i="3"/>
  <c r="E396" i="3"/>
  <c r="E247" i="3"/>
  <c r="E229" i="3"/>
  <c r="E201" i="3"/>
  <c r="E151" i="3"/>
  <c r="E397" i="3"/>
  <c r="E314" i="3"/>
  <c r="E568" i="3"/>
  <c r="I6" i="3"/>
  <c r="E16" i="3"/>
  <c r="AK6"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AO6" i="3"/>
  <c r="E411" i="3"/>
  <c r="E448" i="3"/>
  <c r="E478" i="3"/>
  <c r="E485" i="3"/>
  <c r="E548" i="3"/>
  <c r="P6" i="3"/>
  <c r="E414" i="3"/>
  <c r="E400" i="3"/>
  <c r="E432" i="3"/>
  <c r="E443" i="3"/>
  <c r="E477" i="3"/>
  <c r="E345" i="3"/>
  <c r="E367" i="3"/>
  <c r="E558" i="3"/>
  <c r="E557" i="3"/>
  <c r="E547" i="3"/>
  <c r="E581" i="3"/>
  <c r="AS6" i="3"/>
  <c r="E403" i="3"/>
  <c r="E444" i="3"/>
  <c r="E476" i="3"/>
  <c r="E489" i="3"/>
  <c r="E546" i="3"/>
  <c r="E404" i="3"/>
  <c r="E447" i="3"/>
  <c r="E28" i="3"/>
  <c r="E71" i="3"/>
  <c r="E88" i="3"/>
  <c r="E27" i="3"/>
  <c r="E70" i="3"/>
  <c r="E92" i="3"/>
  <c r="E121" i="3"/>
  <c r="E162" i="3"/>
  <c r="E182" i="3"/>
  <c r="E203" i="3"/>
  <c r="E119" i="3"/>
  <c r="E150" i="3"/>
  <c r="E139" i="3"/>
  <c r="E171" i="3"/>
  <c r="E202" i="3"/>
  <c r="E208" i="3"/>
  <c r="E225" i="3"/>
  <c r="E256" i="3"/>
  <c r="E242" i="3"/>
  <c r="E279" i="3"/>
  <c r="E281" i="3"/>
  <c r="E214" i="3"/>
  <c r="E226" i="3"/>
  <c r="E257" i="3"/>
  <c r="E243" i="3"/>
  <c r="E274" i="3"/>
  <c r="E276" i="3"/>
  <c r="E351" i="3"/>
  <c r="E332" i="3"/>
  <c r="E315" i="3"/>
  <c r="E346" i="3"/>
  <c r="E357" i="3"/>
  <c r="E394" i="3"/>
  <c r="E333" i="3"/>
  <c r="E318" i="3"/>
  <c r="E356" i="3"/>
  <c r="E362" i="3"/>
  <c r="E372" i="3"/>
  <c r="E14" i="3"/>
  <c r="AL6"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42" i="3"/>
  <c r="E3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22" i="3"/>
  <c r="E101" i="3"/>
  <c r="E83" i="3"/>
  <c r="E260" i="3"/>
  <c r="E120" i="3"/>
  <c r="E45" i="3"/>
  <c r="E277" i="3"/>
  <c r="E224" i="3"/>
  <c r="E177" i="3"/>
  <c r="E133" i="3"/>
  <c r="E286" i="3"/>
  <c r="E312" i="3"/>
  <c r="AD6" i="3"/>
  <c r="E499" i="3"/>
  <c r="R6" i="3"/>
  <c r="E421" i="3"/>
  <c r="E464" i="3"/>
  <c r="E541" i="3"/>
  <c r="E430" i="3"/>
  <c r="E449" i="3"/>
  <c r="E255" i="3"/>
  <c r="I3" i="6"/>
  <c r="E566" i="3"/>
  <c r="E554" i="3"/>
  <c r="E517" i="3"/>
  <c r="E435" i="3"/>
  <c r="E491" i="3"/>
  <c r="E417" i="3"/>
  <c r="E479" i="3"/>
  <c r="E56" i="3"/>
  <c r="E37" i="3"/>
  <c r="E95" i="3"/>
  <c r="E152" i="3"/>
  <c r="E126" i="3"/>
  <c r="E166" i="3"/>
  <c r="E186" i="3"/>
  <c r="E211" i="3"/>
  <c r="E272" i="3"/>
  <c r="E295" i="3"/>
  <c r="E210" i="3"/>
  <c r="E273" i="3"/>
  <c r="E291" i="3"/>
  <c r="E316" i="3"/>
  <c r="E331" i="3"/>
  <c r="E378" i="3"/>
  <c r="E349" i="3"/>
  <c r="E375" i="3"/>
  <c r="E389" i="3"/>
  <c r="E504" i="3"/>
  <c r="AM6" i="3"/>
  <c r="E30" i="3"/>
  <c r="E44" i="3"/>
  <c r="E109" i="3"/>
  <c r="E29" i="3"/>
  <c r="E480" i="3"/>
  <c r="E441" i="3"/>
  <c r="E484" i="3"/>
  <c r="E425" i="3"/>
  <c r="E467" i="3"/>
  <c r="E64" i="3"/>
  <c r="E46" i="3"/>
  <c r="E103" i="3"/>
  <c r="E160" i="3"/>
  <c r="E142" i="3"/>
  <c r="E200" i="3"/>
  <c r="E267" i="3"/>
  <c r="E249" i="3"/>
  <c r="E300" i="3"/>
  <c r="E371" i="3"/>
  <c r="E310" i="3"/>
  <c r="E492" i="3"/>
  <c r="E23" i="3"/>
  <c r="E24" i="3"/>
  <c r="E48" i="3"/>
  <c r="E33" i="3"/>
  <c r="E144" i="3"/>
  <c r="E184" i="3"/>
  <c r="E233" i="3"/>
  <c r="E355" i="3"/>
  <c r="E381" i="3"/>
  <c r="E51" i="3"/>
  <c r="E19" i="3"/>
  <c r="E154" i="3"/>
  <c r="E118" i="3"/>
  <c r="E264" i="3"/>
  <c r="E283" i="3"/>
  <c r="E309" i="3"/>
  <c r="E513" i="3"/>
  <c r="E21" i="3"/>
  <c r="E391" i="3"/>
  <c r="E522" i="3"/>
  <c r="E580" i="3"/>
  <c r="E537" i="3"/>
  <c r="E535" i="3"/>
  <c r="E531" i="3"/>
  <c r="E17" i="3"/>
  <c r="E549" i="3"/>
  <c r="E516" i="3"/>
  <c r="E511" i="3"/>
  <c r="E505" i="3"/>
  <c r="E503" i="3"/>
  <c r="E352" i="3"/>
  <c r="E508" i="3"/>
  <c r="E376" i="3"/>
  <c r="E145" i="3"/>
  <c r="E335" i="3"/>
  <c r="E13" i="3"/>
  <c r="E498" i="3"/>
  <c r="E497" i="3"/>
  <c r="E529" i="3"/>
  <c r="E496" i="3"/>
  <c r="E539" i="3"/>
  <c r="E525" i="3"/>
  <c r="E523" i="3"/>
  <c r="E514" i="3"/>
  <c r="E501" i="3"/>
  <c r="E325" i="3"/>
  <c r="E509" i="3"/>
  <c r="E536" i="3"/>
  <c r="E534" i="3"/>
  <c r="E528" i="3"/>
  <c r="E304" i="3"/>
  <c r="E526" i="3"/>
  <c r="E524" i="3"/>
  <c r="E521" i="3"/>
  <c r="E515" i="3"/>
  <c r="E512" i="3"/>
  <c r="E510" i="3"/>
  <c r="E502" i="3"/>
  <c r="E538" i="3"/>
  <c r="E161" i="3"/>
  <c r="E532" i="3"/>
  <c r="E530" i="3"/>
  <c r="E506" i="3"/>
  <c r="E336" i="3"/>
  <c r="E141" i="3"/>
  <c r="E305" i="3"/>
  <c r="E189" i="3"/>
  <c r="E564" i="3"/>
  <c r="E527" i="3"/>
  <c r="E533" i="3"/>
  <c r="E519" i="3"/>
  <c r="E507" i="3"/>
  <c r="E61" i="39"/>
  <c r="E56" i="40"/>
  <c r="E57" i="40"/>
  <c r="E62" i="39"/>
  <c r="C19" i="67"/>
  <c r="C20" i="67" s="1"/>
  <c r="C26" i="67" s="1"/>
  <c r="J26" i="67"/>
  <c r="J29" i="67" s="1"/>
  <c r="J24" i="67"/>
  <c r="J24" i="15"/>
  <c r="J26" i="15"/>
  <c r="J29" i="15" s="1"/>
  <c r="C53" i="67"/>
  <c r="C48" i="67" s="1"/>
  <c r="C10" i="67"/>
  <c r="C5" i="67" s="1"/>
  <c r="C53" i="15"/>
  <c r="C48" i="15" s="1"/>
  <c r="C10" i="15"/>
  <c r="C5" i="15" s="1"/>
  <c r="F22" i="11" l="1"/>
  <c r="C44" i="11" s="1"/>
  <c r="D41" i="11" s="1"/>
  <c r="F24" i="15"/>
  <c r="C24" i="15" s="1"/>
  <c r="F22" i="69"/>
  <c r="F41" i="69" s="1"/>
  <c r="F22" i="68"/>
  <c r="C44" i="68" s="1"/>
  <c r="D41" i="68" s="1"/>
  <c r="F24" i="67"/>
  <c r="C24" i="67" s="1"/>
  <c r="C47" i="68"/>
  <c r="D45" i="68" s="1"/>
  <c r="D113" i="43"/>
  <c r="C29" i="11"/>
  <c r="D27" i="11" s="1"/>
  <c r="F45" i="68"/>
  <c r="E3" i="6"/>
  <c r="D3" i="34" s="1"/>
  <c r="L27" i="6"/>
  <c r="F31" i="6"/>
  <c r="W10" i="40"/>
  <c r="U10" i="40"/>
  <c r="S10" i="40"/>
  <c r="U10" i="39"/>
  <c r="AB10" i="39"/>
  <c r="AC10" i="39"/>
  <c r="AC6" i="3"/>
  <c r="H6" i="3"/>
  <c r="E66" i="39"/>
  <c r="E27" i="6"/>
  <c r="E31" i="6" s="1"/>
  <c r="E29" i="43"/>
  <c r="C30" i="43"/>
  <c r="E30" i="43" s="1"/>
  <c r="C27" i="43" s="1"/>
  <c r="G68" i="39"/>
  <c r="F70" i="39"/>
  <c r="E52" i="21"/>
  <c r="F52" i="21" s="1"/>
  <c r="E53" i="21"/>
  <c r="F53" i="21" s="1"/>
  <c r="I65" i="40"/>
  <c r="J63" i="40"/>
  <c r="E43" i="35"/>
  <c r="F43" i="35" s="1"/>
  <c r="E42" i="35"/>
  <c r="F42" i="35" s="1"/>
  <c r="I47" i="37"/>
  <c r="J47" i="37" s="1"/>
  <c r="I46" i="37"/>
  <c r="J46" i="37" s="1"/>
  <c r="I53" i="21"/>
  <c r="J53" i="21" s="1"/>
  <c r="M14" i="1"/>
  <c r="C34" i="69"/>
  <c r="K16" i="1"/>
  <c r="C49" i="33"/>
  <c r="C48" i="33"/>
  <c r="C42" i="37"/>
  <c r="C43" i="37"/>
  <c r="C50" i="34"/>
  <c r="C49" i="34"/>
  <c r="B7" i="71"/>
  <c r="B6" i="71" s="1"/>
  <c r="B5" i="71" s="1"/>
  <c r="S8" i="71"/>
  <c r="E7" i="71"/>
  <c r="E6" i="71" s="1"/>
  <c r="E5" i="71" s="1"/>
  <c r="V8" i="71"/>
  <c r="I43" i="35"/>
  <c r="J43" i="35" s="1"/>
  <c r="C48" i="21"/>
  <c r="C49" i="21"/>
  <c r="C38" i="35"/>
  <c r="C39" i="35"/>
  <c r="B2" i="35" s="1"/>
  <c r="B3" i="35" s="1"/>
  <c r="D14" i="71"/>
  <c r="C13" i="71"/>
  <c r="E52" i="33"/>
  <c r="F52" i="33" s="1"/>
  <c r="E53" i="33"/>
  <c r="F53" i="33" s="1"/>
  <c r="E46" i="37"/>
  <c r="F46" i="37" s="1"/>
  <c r="E47" i="37"/>
  <c r="F47" i="37" s="1"/>
  <c r="E54" i="34"/>
  <c r="F54" i="34" s="1"/>
  <c r="E53" i="34"/>
  <c r="F53" i="34" s="1"/>
  <c r="G47" i="37"/>
  <c r="H47" i="37" s="1"/>
  <c r="I46" i="36"/>
  <c r="AY225" i="3"/>
  <c r="AY529" i="3"/>
  <c r="AY180" i="3"/>
  <c r="AY260" i="3"/>
  <c r="AY395" i="3"/>
  <c r="AY358" i="3"/>
  <c r="AY342" i="3"/>
  <c r="AY463" i="3"/>
  <c r="AY420" i="3"/>
  <c r="AY549" i="3"/>
  <c r="AY544" i="3"/>
  <c r="AY533" i="3"/>
  <c r="BE6" i="3"/>
  <c r="AY108" i="3"/>
  <c r="AY61" i="3"/>
  <c r="AY60" i="3"/>
  <c r="AY28" i="3"/>
  <c r="AY206" i="3"/>
  <c r="AY201" i="3"/>
  <c r="AY170" i="3"/>
  <c r="AY138" i="3"/>
  <c r="AY133" i="3"/>
  <c r="AY125" i="3"/>
  <c r="AY283" i="3"/>
  <c r="AY278" i="3"/>
  <c r="AY247" i="3"/>
  <c r="AY262" i="3"/>
  <c r="AY230" i="3"/>
  <c r="AY219" i="3"/>
  <c r="AY397" i="3"/>
  <c r="AY374" i="3"/>
  <c r="AY554" i="3"/>
  <c r="BJ6" i="3"/>
  <c r="AY104" i="3"/>
  <c r="AY41" i="3"/>
  <c r="AY202" i="3"/>
  <c r="AY177" i="3"/>
  <c r="AY114" i="3"/>
  <c r="AY290" i="3"/>
  <c r="AY274" i="3"/>
  <c r="AY210" i="3"/>
  <c r="AY353" i="3"/>
  <c r="AY333" i="3"/>
  <c r="AY348" i="3"/>
  <c r="AY316" i="3"/>
  <c r="AY472" i="3"/>
  <c r="AY446" i="3"/>
  <c r="AY398" i="3"/>
  <c r="AY411" i="3"/>
  <c r="BQ6" i="3"/>
  <c r="AY561" i="3"/>
  <c r="BF6" i="3"/>
  <c r="AY546" i="3"/>
  <c r="AY510" i="3"/>
  <c r="AY501" i="3"/>
  <c r="AY514" i="3"/>
  <c r="AY519" i="3"/>
  <c r="AY96" i="3"/>
  <c r="AY48" i="3"/>
  <c r="AY189" i="3"/>
  <c r="AY169" i="3"/>
  <c r="AY287" i="3"/>
  <c r="AY251" i="3"/>
  <c r="AY223" i="3"/>
  <c r="AY369" i="3"/>
  <c r="AY345" i="3"/>
  <c r="AY344" i="3"/>
  <c r="AY312" i="3"/>
  <c r="AY484" i="3"/>
  <c r="AY453" i="3"/>
  <c r="AY442" i="3"/>
  <c r="AY439" i="3"/>
  <c r="AY407" i="3"/>
  <c r="AY506" i="3"/>
  <c r="AY14" i="3"/>
  <c r="AY524" i="3"/>
  <c r="AY565" i="3"/>
  <c r="AY542" i="3"/>
  <c r="BR6" i="3"/>
  <c r="AY531" i="3"/>
  <c r="BA6" i="3"/>
  <c r="AY94" i="3"/>
  <c r="AY46" i="3"/>
  <c r="AY192" i="3"/>
  <c r="AY156" i="3"/>
  <c r="AY135" i="3"/>
  <c r="AY280" i="3"/>
  <c r="AY264" i="3"/>
  <c r="AY221" i="3"/>
  <c r="AY376" i="3"/>
  <c r="AY331" i="3"/>
  <c r="AY469" i="3"/>
  <c r="AY456" i="3"/>
  <c r="AY437" i="3"/>
  <c r="AY558" i="3"/>
  <c r="AY512" i="3"/>
  <c r="AY587" i="3"/>
  <c r="AY86" i="3"/>
  <c r="AY70" i="3"/>
  <c r="AY27" i="3"/>
  <c r="AY179" i="3"/>
  <c r="AY159" i="3"/>
  <c r="AY119" i="3"/>
  <c r="AY273" i="3"/>
  <c r="AY256" i="3"/>
  <c r="AY213" i="3"/>
  <c r="AY367" i="3"/>
  <c r="AY338" i="3"/>
  <c r="AY490" i="3"/>
  <c r="AY448" i="3"/>
  <c r="AY429" i="3"/>
  <c r="BD6" i="3"/>
  <c r="AY511" i="3"/>
  <c r="AY58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382" i="3"/>
  <c r="AY371" i="3"/>
  <c r="AY366" i="3"/>
  <c r="AY335" i="3"/>
  <c r="AY303" i="3"/>
  <c r="AY318" i="3"/>
  <c r="AY473" i="3"/>
  <c r="AY470" i="3"/>
  <c r="AY460" i="3"/>
  <c r="AY428" i="3"/>
  <c r="AY441" i="3"/>
  <c r="AY409" i="3"/>
  <c r="AY106" i="3"/>
  <c r="AY26" i="3"/>
  <c r="AY300" i="3"/>
  <c r="AY245" i="3"/>
  <c r="AY228" i="3"/>
  <c r="AY217" i="3"/>
  <c r="AY372" i="3"/>
  <c r="AY327" i="3"/>
  <c r="AY310" i="3"/>
  <c r="AY465" i="3"/>
  <c r="AY452" i="3"/>
  <c r="AY433" i="3"/>
  <c r="AY401" i="3"/>
  <c r="AY513" i="3"/>
  <c r="BK6" i="3"/>
  <c r="AY569" i="3"/>
  <c r="AY541" i="3"/>
  <c r="AY553" i="3"/>
  <c r="AY97" i="3"/>
  <c r="AY92" i="3"/>
  <c r="AY77" i="3"/>
  <c r="AY45" i="3"/>
  <c r="AY76" i="3"/>
  <c r="AY44" i="3"/>
  <c r="AY33" i="3"/>
  <c r="AY190" i="3"/>
  <c r="AY185" i="3"/>
  <c r="AY154" i="3"/>
  <c r="AY165" i="3"/>
  <c r="AY149" i="3"/>
  <c r="AY118" i="3"/>
  <c r="AY299" i="3"/>
  <c r="AY294" i="3"/>
  <c r="AY263" i="3"/>
  <c r="AY231" i="3"/>
  <c r="AY246" i="3"/>
  <c r="AY214" i="3"/>
  <c r="AY392" i="3"/>
  <c r="AY381" i="3"/>
  <c r="AY357" i="3"/>
  <c r="AY360" i="3"/>
  <c r="BH6" i="3"/>
  <c r="AY109" i="3"/>
  <c r="AY73" i="3"/>
  <c r="AY56" i="3"/>
  <c r="AY24" i="3"/>
  <c r="AY197" i="3"/>
  <c r="AY166" i="3"/>
  <c r="AY145" i="3"/>
  <c r="AY295" i="3"/>
  <c r="AY259" i="3"/>
  <c r="AY242" i="3"/>
  <c r="AY388" i="3"/>
  <c r="AY377" i="3"/>
  <c r="AY349" i="3"/>
  <c r="AY317" i="3"/>
  <c r="AY332" i="3"/>
  <c r="AY491" i="3"/>
  <c r="AY475" i="3"/>
  <c r="AY488" i="3"/>
  <c r="AY457" i="3"/>
  <c r="AY462" i="3"/>
  <c r="AY430" i="3"/>
  <c r="AY414" i="3"/>
  <c r="AY427" i="3"/>
  <c r="AY581" i="3"/>
  <c r="BM6" i="3"/>
  <c r="AY585" i="3"/>
  <c r="AY534" i="3"/>
  <c r="AY571" i="3"/>
  <c r="AY495" i="3"/>
  <c r="BG6" i="3"/>
  <c r="AY16" i="3"/>
  <c r="AY584" i="3"/>
  <c r="AY494" i="3"/>
  <c r="AY582" i="3"/>
  <c r="AY101" i="3"/>
  <c r="AY65" i="3"/>
  <c r="AY80" i="3"/>
  <c r="AY37" i="3"/>
  <c r="AY194" i="3"/>
  <c r="AY158" i="3"/>
  <c r="AY137" i="3"/>
  <c r="AY129" i="3"/>
  <c r="AY282" i="3"/>
  <c r="AY266" i="3"/>
  <c r="AY234" i="3"/>
  <c r="AY380" i="3"/>
  <c r="AY364" i="3"/>
  <c r="AY329" i="3"/>
  <c r="AY313" i="3"/>
  <c r="AY328" i="3"/>
  <c r="AY487" i="3"/>
  <c r="AY471" i="3"/>
  <c r="AY468" i="3"/>
  <c r="AY458" i="3"/>
  <c r="AY426" i="3"/>
  <c r="AY410" i="3"/>
  <c r="AY423" i="3"/>
  <c r="AY579" i="3"/>
  <c r="AY499" i="3"/>
  <c r="D3" i="6"/>
  <c r="AY502" i="3"/>
  <c r="AY509" i="3"/>
  <c r="AY570" i="3"/>
  <c r="AY578" i="3"/>
  <c r="AY99" i="3"/>
  <c r="AY63" i="3"/>
  <c r="AY78" i="3"/>
  <c r="AY35" i="3"/>
  <c r="AY187" i="3"/>
  <c r="AY167" i="3"/>
  <c r="AY127" i="3"/>
  <c r="AY285" i="3"/>
  <c r="AY249" i="3"/>
  <c r="AY232" i="3"/>
  <c r="AY378" i="3"/>
  <c r="AY362" i="3"/>
  <c r="AY346" i="3"/>
  <c r="AY314" i="3"/>
  <c r="AY466" i="3"/>
  <c r="AY424" i="3"/>
  <c r="AY405" i="3"/>
  <c r="AY517" i="3"/>
  <c r="AY560" i="3"/>
  <c r="BL6" i="3"/>
  <c r="AY91" i="3"/>
  <c r="AY55" i="3"/>
  <c r="AY38" i="3"/>
  <c r="AY184" i="3"/>
  <c r="AY148" i="3"/>
  <c r="AY128" i="3"/>
  <c r="AY277" i="3"/>
  <c r="AY241" i="3"/>
  <c r="AY224" i="3"/>
  <c r="AY391" i="3"/>
  <c r="AY354" i="3"/>
  <c r="AY323" i="3"/>
  <c r="AY306" i="3"/>
  <c r="AY459" i="3"/>
  <c r="AY416" i="3"/>
  <c r="AY550" i="3"/>
  <c r="BC6" i="3"/>
  <c r="AY504" i="3"/>
  <c r="AY498" i="3"/>
  <c r="F41" i="68"/>
  <c r="B2" i="43"/>
  <c r="C60" i="15"/>
  <c r="C66" i="15"/>
  <c r="C23" i="15"/>
  <c r="C29" i="15" s="1"/>
  <c r="C26" i="69"/>
  <c r="D22" i="69" s="1"/>
  <c r="C26" i="68"/>
  <c r="D22" i="68" s="1"/>
  <c r="C26" i="12"/>
  <c r="D25" i="12" s="1"/>
  <c r="C38" i="67"/>
  <c r="C38" i="15"/>
  <c r="C66" i="67"/>
  <c r="C60" i="67"/>
  <c r="E6" i="76"/>
  <c r="B6" i="76"/>
  <c r="C23" i="11" l="1"/>
  <c r="C26" i="11"/>
  <c r="D22" i="11" s="1"/>
  <c r="C23" i="67"/>
  <c r="C29" i="67" s="1"/>
  <c r="C33" i="67" s="1"/>
  <c r="C31" i="67" s="1"/>
  <c r="C44" i="69"/>
  <c r="D41" i="69" s="1"/>
  <c r="M18" i="9"/>
  <c r="B118" i="9" s="1"/>
  <c r="B14" i="74" s="1"/>
  <c r="B1" i="74" s="1"/>
  <c r="C8" i="74" s="1"/>
  <c r="D3" i="37"/>
  <c r="B2" i="37" s="1"/>
  <c r="B3" i="37" s="1"/>
  <c r="D3" i="33"/>
  <c r="B2" i="33" s="1"/>
  <c r="B3" i="33" s="1"/>
  <c r="C17" i="4"/>
  <c r="B4" i="52" s="1"/>
  <c r="B43" i="72" s="1"/>
  <c r="D37" i="11"/>
  <c r="D3" i="21"/>
  <c r="L18" i="9"/>
  <c r="D19" i="11"/>
  <c r="C19" i="11" s="1"/>
  <c r="C24" i="11" s="1"/>
  <c r="D14" i="12"/>
  <c r="D17" i="12" s="1"/>
  <c r="C17" i="12" s="1"/>
  <c r="E6" i="6"/>
  <c r="D20" i="12" s="1"/>
  <c r="C20" i="12" s="1"/>
  <c r="E6" i="3"/>
  <c r="K26" i="6"/>
  <c r="M26" i="6" s="1"/>
  <c r="I26" i="6" s="1"/>
  <c r="S26" i="6" s="1"/>
  <c r="K25" i="6"/>
  <c r="M25" i="6" s="1"/>
  <c r="I25" i="6" s="1"/>
  <c r="S25" i="6" s="1"/>
  <c r="K20" i="6"/>
  <c r="K19" i="6"/>
  <c r="S6" i="1" s="1"/>
  <c r="K23" i="6"/>
  <c r="K24" i="6"/>
  <c r="M24" i="6" s="1"/>
  <c r="I24" i="6" s="1"/>
  <c r="S24" i="6" s="1"/>
  <c r="K21" i="6"/>
  <c r="K22" i="6"/>
  <c r="E2" i="76"/>
  <c r="G70" i="39"/>
  <c r="H68" i="39"/>
  <c r="M19" i="9"/>
  <c r="C118" i="9" s="1"/>
  <c r="C14" i="74" s="1"/>
  <c r="B2" i="74" s="1"/>
  <c r="D8" i="6"/>
  <c r="D14" i="6"/>
  <c r="D5" i="6"/>
  <c r="D12" i="6"/>
  <c r="D13" i="6"/>
  <c r="E61" i="40"/>
  <c r="D25" i="6"/>
  <c r="D15" i="6"/>
  <c r="D22" i="6"/>
  <c r="D21" i="6"/>
  <c r="D24" i="6"/>
  <c r="D20" i="6"/>
  <c r="D6" i="6"/>
  <c r="D9" i="6"/>
  <c r="D10" i="6"/>
  <c r="L19" i="9"/>
  <c r="D29" i="6"/>
  <c r="D19" i="6"/>
  <c r="D26" i="6"/>
  <c r="C18" i="4"/>
  <c r="D23" i="6"/>
  <c r="D11" i="6"/>
  <c r="D28" i="6"/>
  <c r="J46" i="36"/>
  <c r="C12" i="71"/>
  <c r="D13" i="71"/>
  <c r="B2" i="21"/>
  <c r="B3" i="21" s="1"/>
  <c r="C7" i="74"/>
  <c r="O14" i="1"/>
  <c r="O16" i="1" s="1"/>
  <c r="M16" i="1"/>
  <c r="K63" i="40"/>
  <c r="J65" i="40"/>
  <c r="C20" i="11"/>
  <c r="C25" i="11" s="1"/>
  <c r="B2" i="34"/>
  <c r="B3" i="34" s="1"/>
  <c r="C35" i="69"/>
  <c r="C38" i="69"/>
  <c r="B2" i="76"/>
  <c r="B3" i="43"/>
  <c r="J14" i="15"/>
  <c r="C57" i="15"/>
  <c r="C36" i="15"/>
  <c r="C33" i="15"/>
  <c r="C31" i="15" s="1"/>
  <c r="C13" i="15"/>
  <c r="Q49" i="15"/>
  <c r="J19" i="15"/>
  <c r="J17" i="15" s="1"/>
  <c r="J59" i="15"/>
  <c r="J60" i="15" s="1"/>
  <c r="C36" i="67" l="1"/>
  <c r="D10" i="11"/>
  <c r="C10" i="11" s="1"/>
  <c r="J19" i="67"/>
  <c r="J17" i="67" s="1"/>
  <c r="Q49" i="67"/>
  <c r="J14" i="67"/>
  <c r="J13" i="67" s="1"/>
  <c r="J23" i="67" s="1"/>
  <c r="C22" i="11"/>
  <c r="J59" i="67"/>
  <c r="J60" i="67" s="1"/>
  <c r="Q48" i="67" s="1"/>
  <c r="C57" i="67"/>
  <c r="C64" i="67" s="1"/>
  <c r="C13" i="67"/>
  <c r="C56" i="67" s="1"/>
  <c r="C65" i="67" s="1"/>
  <c r="D10" i="69"/>
  <c r="D19" i="69" s="1"/>
  <c r="D10" i="68"/>
  <c r="C10" i="68" s="1"/>
  <c r="M23" i="6"/>
  <c r="I23" i="6" s="1"/>
  <c r="S23" i="6" s="1"/>
  <c r="S10" i="1"/>
  <c r="M22" i="6"/>
  <c r="I22" i="6" s="1"/>
  <c r="S22" i="6" s="1"/>
  <c r="S9" i="1"/>
  <c r="M21" i="6"/>
  <c r="I21" i="6" s="1"/>
  <c r="S21" i="6" s="1"/>
  <c r="S8" i="1"/>
  <c r="M20" i="6"/>
  <c r="I20" i="6" s="1"/>
  <c r="S7" i="1"/>
  <c r="AQ6" i="1"/>
  <c r="T6" i="1"/>
  <c r="AR6" i="1"/>
  <c r="H25" i="6"/>
  <c r="R25" i="6" s="1"/>
  <c r="H24" i="6"/>
  <c r="R24" i="6" s="1"/>
  <c r="H26" i="6"/>
  <c r="R26" i="6" s="1"/>
  <c r="D30" i="6"/>
  <c r="K27" i="6"/>
  <c r="M19" i="6"/>
  <c r="D16" i="6"/>
  <c r="B3" i="76"/>
  <c r="C28" i="11"/>
  <c r="C27" i="11" s="1"/>
  <c r="H70" i="39"/>
  <c r="I68" i="39"/>
  <c r="P14" i="1"/>
  <c r="P16" i="1" s="1"/>
  <c r="C11" i="12" s="1"/>
  <c r="K46" i="36"/>
  <c r="A7" i="51"/>
  <c r="B7" i="72" s="1"/>
  <c r="C4" i="52"/>
  <c r="B45" i="72" s="1"/>
  <c r="A10" i="51"/>
  <c r="B9" i="72" s="1"/>
  <c r="D27" i="6"/>
  <c r="C10" i="69"/>
  <c r="C8" i="69" s="1"/>
  <c r="C5" i="69" s="1"/>
  <c r="L63" i="40"/>
  <c r="K65" i="40"/>
  <c r="N16" i="1"/>
  <c r="L16" i="1"/>
  <c r="C11" i="71"/>
  <c r="D12" i="71"/>
  <c r="U12" i="71" s="1"/>
  <c r="T12" i="71"/>
  <c r="D8" i="74"/>
  <c r="D7" i="74"/>
  <c r="Q48" i="15"/>
  <c r="L46" i="15"/>
  <c r="C61" i="67"/>
  <c r="C59" i="67" s="1"/>
  <c r="C64" i="15"/>
  <c r="C61" i="15"/>
  <c r="C59" i="15" s="1"/>
  <c r="C37" i="67"/>
  <c r="C30" i="67" s="1"/>
  <c r="C39" i="67" s="1"/>
  <c r="C56" i="15"/>
  <c r="C65" i="15" s="1"/>
  <c r="Q70" i="15"/>
  <c r="C37" i="15"/>
  <c r="C30" i="15" s="1"/>
  <c r="C39" i="15" s="1"/>
  <c r="C75" i="15"/>
  <c r="J22" i="15"/>
  <c r="J13" i="15"/>
  <c r="J23" i="15" s="1"/>
  <c r="L51" i="15"/>
  <c r="L51" i="67"/>
  <c r="L46" i="67" l="1"/>
  <c r="J22" i="67"/>
  <c r="C75" i="67"/>
  <c r="C31" i="11"/>
  <c r="Q70" i="67"/>
  <c r="D19" i="68"/>
  <c r="H23" i="6"/>
  <c r="R23" i="6" s="1"/>
  <c r="R10" i="1" s="1"/>
  <c r="H21" i="6"/>
  <c r="R21" i="6" s="1"/>
  <c r="R8" i="1" s="1"/>
  <c r="H22" i="6"/>
  <c r="R22" i="6" s="1"/>
  <c r="R9" i="1" s="1"/>
  <c r="AR9" i="1"/>
  <c r="AQ9" i="1"/>
  <c r="T9" i="1"/>
  <c r="AQ10" i="1"/>
  <c r="AR10" i="1"/>
  <c r="T10" i="1"/>
  <c r="F34" i="11"/>
  <c r="F11" i="12"/>
  <c r="F34" i="68"/>
  <c r="S16" i="1"/>
  <c r="AQ7" i="1"/>
  <c r="AR7" i="1"/>
  <c r="T7" i="1"/>
  <c r="S20" i="6"/>
  <c r="H20" i="6"/>
  <c r="R20" i="6" s="1"/>
  <c r="R7" i="1" s="1"/>
  <c r="AQ8" i="1"/>
  <c r="T8" i="1"/>
  <c r="AR8" i="1"/>
  <c r="D31" i="6"/>
  <c r="I6" i="6" s="1"/>
  <c r="M27" i="6"/>
  <c r="I19" i="6"/>
  <c r="I70" i="39"/>
  <c r="J68" i="39"/>
  <c r="C10" i="71"/>
  <c r="D11" i="71"/>
  <c r="F50" i="11"/>
  <c r="F50" i="69"/>
  <c r="F50" i="68"/>
  <c r="M63" i="40"/>
  <c r="L65" i="40"/>
  <c r="C23" i="69"/>
  <c r="C15" i="12"/>
  <c r="C12" i="12"/>
  <c r="C19" i="68"/>
  <c r="D37" i="68"/>
  <c r="C19" i="69"/>
  <c r="C24" i="69" s="1"/>
  <c r="D37" i="69"/>
  <c r="C37" i="69" s="1"/>
  <c r="C33" i="69" s="1"/>
  <c r="L46" i="36"/>
  <c r="C58" i="15"/>
  <c r="C67" i="15" s="1"/>
  <c r="C68" i="15" s="1"/>
  <c r="C71" i="15" s="1"/>
  <c r="J16" i="15"/>
  <c r="J25" i="15" s="1"/>
  <c r="J16" i="67"/>
  <c r="J25" i="67" s="1"/>
  <c r="C80" i="67"/>
  <c r="C79" i="67" s="1"/>
  <c r="C80" i="15"/>
  <c r="C79" i="15" s="1"/>
  <c r="C58" i="67"/>
  <c r="C67" i="67" s="1"/>
  <c r="C68" i="67" s="1"/>
  <c r="Q69" i="15"/>
  <c r="Q68" i="15" s="1"/>
  <c r="C40" i="15"/>
  <c r="Q69" i="67"/>
  <c r="C40" i="67"/>
  <c r="Q68" i="67" l="1"/>
  <c r="C36" i="11"/>
  <c r="C37" i="11"/>
  <c r="C34" i="11"/>
  <c r="C36" i="68"/>
  <c r="C34" i="68"/>
  <c r="C37" i="68"/>
  <c r="C23" i="12"/>
  <c r="C14" i="12"/>
  <c r="C16" i="12" s="1"/>
  <c r="T16" i="1"/>
  <c r="I5" i="6"/>
  <c r="H19" i="6"/>
  <c r="S19" i="6"/>
  <c r="S27" i="6" s="1"/>
  <c r="I27" i="6"/>
  <c r="J70" i="39"/>
  <c r="K68" i="39"/>
  <c r="C39" i="69"/>
  <c r="C43" i="69" s="1"/>
  <c r="C42" i="69"/>
  <c r="C24" i="68"/>
  <c r="C9" i="71"/>
  <c r="D10" i="71"/>
  <c r="M46" i="36"/>
  <c r="C20" i="69"/>
  <c r="N63" i="40"/>
  <c r="M65" i="40"/>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35" i="11" l="1"/>
  <c r="C38" i="11"/>
  <c r="C35" i="68"/>
  <c r="C38" i="68"/>
  <c r="H27" i="6"/>
  <c r="R19" i="6"/>
  <c r="K70" i="39"/>
  <c r="L68" i="39"/>
  <c r="C41" i="69"/>
  <c r="C28" i="69"/>
  <c r="C27" i="69" s="1"/>
  <c r="C25" i="69"/>
  <c r="C22" i="69" s="1"/>
  <c r="O63" i="40"/>
  <c r="O65" i="40" s="1"/>
  <c r="N65" i="40"/>
  <c r="N46" i="36"/>
  <c r="C8" i="71"/>
  <c r="D9" i="71"/>
  <c r="C46" i="69"/>
  <c r="C45" i="69" s="1"/>
  <c r="Q66" i="15"/>
  <c r="Q75" i="15" s="1"/>
  <c r="Q57" i="15"/>
  <c r="Q62" i="15" s="1"/>
  <c r="Q66" i="67"/>
  <c r="Q75" i="67" s="1"/>
  <c r="Q57" i="67"/>
  <c r="Q62" i="67" s="1"/>
  <c r="B2" i="67"/>
  <c r="B3" i="67"/>
  <c r="C33" i="11" l="1"/>
  <c r="C39" i="11" s="1"/>
  <c r="C43" i="11" s="1"/>
  <c r="C33" i="68"/>
  <c r="C39" i="68" s="1"/>
  <c r="C46" i="68" s="1"/>
  <c r="C45" i="68" s="1"/>
  <c r="R27" i="6"/>
  <c r="R6" i="1"/>
  <c r="R16" i="1" s="1"/>
  <c r="M68" i="39"/>
  <c r="L70" i="39"/>
  <c r="C49" i="69"/>
  <c r="C51" i="69" s="1"/>
  <c r="C7" i="71"/>
  <c r="T8" i="71"/>
  <c r="D8" i="71"/>
  <c r="U8" i="71" s="1"/>
  <c r="J7" i="40"/>
  <c r="F7" i="40"/>
  <c r="H7" i="40"/>
  <c r="O46" i="36"/>
  <c r="F7" i="36" s="1"/>
  <c r="C31" i="69"/>
  <c r="C42" i="11" l="1"/>
  <c r="C41" i="11" s="1"/>
  <c r="C42" i="68"/>
  <c r="C43" i="68"/>
  <c r="C46" i="11"/>
  <c r="C45" i="11" s="1"/>
  <c r="N68" i="39"/>
  <c r="M70" i="39"/>
  <c r="C52" i="69"/>
  <c r="B2" i="69" s="1"/>
  <c r="B3" i="69" s="1"/>
  <c r="AA7" i="36"/>
  <c r="R36" i="36" s="1"/>
  <c r="S7" i="36"/>
  <c r="H7" i="36"/>
  <c r="J7" i="36"/>
  <c r="AA7" i="40"/>
  <c r="R42" i="40" s="1"/>
  <c r="S7" i="40"/>
  <c r="U7" i="40"/>
  <c r="AB7" i="40"/>
  <c r="T42" i="40" s="1"/>
  <c r="G42" i="40" s="1"/>
  <c r="AC7" i="40"/>
  <c r="V42" i="40" s="1"/>
  <c r="I42" i="40" s="1"/>
  <c r="W7" i="40"/>
  <c r="D7" i="71"/>
  <c r="C6" i="71"/>
  <c r="C41" i="68" l="1"/>
  <c r="C49" i="68" s="1"/>
  <c r="C51" i="68" s="1"/>
  <c r="C49" i="11"/>
  <c r="C51" i="11" s="1"/>
  <c r="C52" i="11" s="1"/>
  <c r="B2" i="11" s="1"/>
  <c r="B3" i="11" s="1"/>
  <c r="C57" i="69"/>
  <c r="C56" i="69" s="1"/>
  <c r="N70" i="39"/>
  <c r="O68" i="39"/>
  <c r="O70" i="39" s="1"/>
  <c r="F7" i="39" s="1"/>
  <c r="I46" i="40"/>
  <c r="J46" i="40" s="1"/>
  <c r="D6" i="71"/>
  <c r="C5" i="71"/>
  <c r="G47" i="40"/>
  <c r="H47" i="40" s="1"/>
  <c r="G46" i="40"/>
  <c r="H46" i="40" s="1"/>
  <c r="R43" i="40"/>
  <c r="E42" i="40"/>
  <c r="W7" i="36"/>
  <c r="AC7" i="36"/>
  <c r="V36" i="36" s="1"/>
  <c r="I36" i="36" s="1"/>
  <c r="U7" i="36"/>
  <c r="AB7" i="36"/>
  <c r="T36" i="36" s="1"/>
  <c r="G36" i="36" s="1"/>
  <c r="R37" i="36"/>
  <c r="E36" i="36"/>
  <c r="C56" i="11" l="1"/>
  <c r="C57" i="11" s="1"/>
  <c r="AA7" i="39"/>
  <c r="R47" i="39" s="1"/>
  <c r="E47" i="39" s="1"/>
  <c r="S7" i="39"/>
  <c r="J7" i="39"/>
  <c r="H7" i="39"/>
  <c r="E40" i="36"/>
  <c r="F40" i="36" s="1"/>
  <c r="E41" i="36"/>
  <c r="F41" i="36" s="1"/>
  <c r="G41" i="36"/>
  <c r="H41" i="36" s="1"/>
  <c r="G40" i="36"/>
  <c r="H40" i="36" s="1"/>
  <c r="R48" i="39"/>
  <c r="I40" i="36"/>
  <c r="J40" i="36" s="1"/>
  <c r="I41" i="36"/>
  <c r="J41" i="36" s="1"/>
  <c r="E47" i="40"/>
  <c r="F47" i="40" s="1"/>
  <c r="E46" i="40"/>
  <c r="F46" i="40" s="1"/>
  <c r="D5" i="71"/>
  <c r="M20" i="43"/>
  <c r="I47" i="40"/>
  <c r="J47" i="40" s="1"/>
  <c r="C36" i="36"/>
  <c r="C37" i="36"/>
  <c r="B2" i="36" s="1"/>
  <c r="B3" i="36" s="1"/>
  <c r="C42" i="40"/>
  <c r="C43" i="40"/>
  <c r="AB7" i="39" l="1"/>
  <c r="T47" i="39" s="1"/>
  <c r="G47" i="39" s="1"/>
  <c r="E52" i="39" s="1"/>
  <c r="F52" i="39" s="1"/>
  <c r="U7" i="39"/>
  <c r="AC7" i="39"/>
  <c r="V47" i="39" s="1"/>
  <c r="I47" i="39" s="1"/>
  <c r="W7" i="39"/>
  <c r="E51" i="39"/>
  <c r="F51" i="39" s="1"/>
  <c r="B56" i="40"/>
  <c r="F56" i="40" s="1"/>
  <c r="B60" i="40"/>
  <c r="F60" i="40" s="1"/>
  <c r="B57" i="40"/>
  <c r="F57" i="40" s="1"/>
  <c r="B51" i="40"/>
  <c r="F51" i="40" s="1"/>
  <c r="F61" i="40"/>
  <c r="B2" i="40" s="1"/>
  <c r="B3" i="40" s="1"/>
  <c r="B53" i="40"/>
  <c r="F53" i="40" s="1"/>
  <c r="B55" i="40"/>
  <c r="F55" i="40" s="1"/>
  <c r="B58" i="40"/>
  <c r="F58" i="40" s="1"/>
  <c r="B54" i="40"/>
  <c r="F54" i="40" s="1"/>
  <c r="B59" i="40"/>
  <c r="F59" i="40" s="1"/>
  <c r="B52" i="40"/>
  <c r="F52" i="40" s="1"/>
  <c r="C47" i="39"/>
  <c r="C48" i="39"/>
  <c r="I51" i="39" l="1"/>
  <c r="J51" i="39" s="1"/>
  <c r="I52" i="39"/>
  <c r="J52" i="39" s="1"/>
  <c r="G52" i="39"/>
  <c r="H52" i="39" s="1"/>
  <c r="G51" i="39"/>
  <c r="H51" i="39" s="1"/>
  <c r="B59" i="39"/>
  <c r="F59" i="39" s="1"/>
  <c r="B58" i="39"/>
  <c r="F58" i="39" s="1"/>
  <c r="B60" i="39"/>
  <c r="F60" i="39" s="1"/>
  <c r="B65" i="39"/>
  <c r="F65" i="39" s="1"/>
  <c r="B62" i="39"/>
  <c r="F62" i="39" s="1"/>
  <c r="B56" i="39"/>
  <c r="F56" i="39" s="1"/>
  <c r="F66" i="39" s="1"/>
  <c r="B2" i="39" s="1"/>
  <c r="B3" i="39" s="1"/>
  <c r="B57" i="39"/>
  <c r="F57" i="39" s="1"/>
  <c r="B61" i="39"/>
  <c r="F61" i="39" s="1"/>
  <c r="B63" i="39"/>
  <c r="F63" i="39" s="1"/>
  <c r="B64" i="39"/>
  <c r="F64" i="39" s="1"/>
  <c r="C18" i="12" l="1"/>
  <c r="C21" i="12" s="1"/>
  <c r="C8" i="68"/>
  <c r="C22" i="12" l="1"/>
  <c r="C30" i="12" l="1"/>
  <c r="C28" i="12" s="1"/>
  <c r="C27" i="12"/>
  <c r="C25" i="12" s="1"/>
  <c r="C32" i="12" l="1"/>
  <c r="B2" i="12" s="1"/>
  <c r="D19" i="9"/>
  <c r="D102" i="9" l="1"/>
  <c r="D21" i="9"/>
  <c r="B3" i="12"/>
  <c r="D20" i="9"/>
  <c r="D103" i="9" l="1"/>
  <c r="C6" i="68" l="1"/>
  <c r="C7" i="68" l="1"/>
  <c r="C5" i="68" s="1"/>
  <c r="C20" i="68" l="1"/>
  <c r="C25" i="68" s="1"/>
  <c r="C23" i="68"/>
  <c r="C28" i="68" l="1"/>
  <c r="C27" i="68" s="1"/>
  <c r="C22" i="68"/>
  <c r="C31" i="68" l="1"/>
  <c r="C52" i="68" s="1"/>
  <c r="C57" i="68" s="1"/>
  <c r="C56" i="68" s="1"/>
  <c r="B2" i="68" l="1"/>
  <c r="B3" i="68" s="1"/>
  <c r="C19" i="9"/>
  <c r="C20" i="9"/>
  <c r="D35" i="9"/>
  <c r="D34" i="9"/>
  <c r="C102" i="9" l="1"/>
  <c r="G19" i="9"/>
  <c r="G21" i="9" s="1"/>
  <c r="D22" i="9"/>
  <c r="C21" i="9"/>
  <c r="G20" i="9"/>
  <c r="C103" i="9"/>
  <c r="C32" i="9" l="1"/>
  <c r="H118" i="9" l="1"/>
  <c r="C35" i="9"/>
  <c r="F118" i="9" l="1"/>
  <c r="C34" i="9"/>
  <c r="D118" i="9" s="1"/>
  <c r="H119" i="9"/>
  <c r="H5" i="52" s="1"/>
  <c r="H101" i="9"/>
  <c r="H4" i="52"/>
  <c r="C104" i="9"/>
  <c r="I118" i="9"/>
  <c r="D14" i="74"/>
  <c r="F14" i="74" l="1"/>
  <c r="E14" i="74"/>
  <c r="D45" i="9"/>
  <c r="M48" i="9"/>
  <c r="D5" i="53"/>
  <c r="H107" i="9"/>
  <c r="D119" i="9"/>
  <c r="D5" i="52" s="1"/>
  <c r="B49" i="72" s="1"/>
  <c r="D4" i="52"/>
  <c r="B47" i="72" s="1"/>
  <c r="H102" i="9"/>
  <c r="D7" i="53" s="1"/>
  <c r="B21" i="72" s="1"/>
  <c r="C105" i="9"/>
  <c r="I4" i="52"/>
  <c r="F119" i="9"/>
  <c r="F5" i="52" s="1"/>
  <c r="B53" i="72" s="1"/>
  <c r="G118" i="9"/>
  <c r="G4" i="52" s="1"/>
  <c r="B52" i="72" s="1"/>
  <c r="F4" i="52"/>
  <c r="B51" i="72" s="1"/>
  <c r="B20" i="72" l="1"/>
  <c r="D6" i="53"/>
  <c r="B22" i="72" s="1"/>
  <c r="D52" i="9"/>
  <c r="C72" i="9"/>
  <c r="C93" i="9"/>
  <c r="C86" i="9" s="1"/>
  <c r="C64" i="9"/>
  <c r="C63" i="9" s="1"/>
  <c r="C67" i="9" s="1"/>
  <c r="D55" i="9"/>
  <c r="M53" i="9" s="1"/>
  <c r="D53" i="9"/>
  <c r="C85" i="9"/>
  <c r="C95" i="9" s="1"/>
  <c r="C96" i="9" s="1"/>
  <c r="E96" i="9" s="1"/>
  <c r="E97" i="9" s="1"/>
  <c r="C78" i="9"/>
  <c r="C73" i="9" s="1"/>
  <c r="E118" i="9"/>
  <c r="E4" i="52" s="1"/>
  <c r="B48" i="72" s="1"/>
  <c r="D13" i="53"/>
  <c r="D122" i="9"/>
  <c r="H108" i="9"/>
  <c r="D15" i="53" s="1"/>
  <c r="B31" i="72" s="1"/>
  <c r="C97" i="9"/>
  <c r="D58" i="9" s="1"/>
  <c r="D56" i="9" s="1"/>
  <c r="M54" i="9" s="1"/>
  <c r="D14" i="53" l="1"/>
  <c r="B32" i="72" s="1"/>
  <c r="B30" i="72"/>
  <c r="D59" i="9"/>
  <c r="M55" i="9" s="1"/>
  <c r="N57" i="9" s="1"/>
  <c r="P57" i="9" s="1"/>
  <c r="C68" i="9"/>
  <c r="D54" i="9" s="1"/>
  <c r="C79" i="9"/>
  <c r="C80" i="9" s="1"/>
  <c r="E80" i="9" s="1"/>
  <c r="E81" i="9" s="1"/>
  <c r="D123" i="9"/>
  <c r="D9" i="52" s="1"/>
  <c r="G14" i="74"/>
  <c r="D8" i="52"/>
  <c r="C81" i="9"/>
  <c r="N58" i="9" l="1"/>
  <c r="N59" i="9"/>
  <c r="N61" i="9" s="1"/>
  <c r="N60" i="9" l="1"/>
  <c r="D15" i="74" l="1"/>
  <c r="G15" i="74" l="1"/>
  <c r="B6" i="74" s="1"/>
  <c r="F15" i="74"/>
  <c r="B5" i="74"/>
  <c r="E15" i="74"/>
  <c r="C6" i="74" l="1"/>
  <c r="D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D400" authorId="0" shapeId="0" xr:uid="{00000000-0006-0000-0A00-000001000000}">
      <text>
        <r>
          <rPr>
            <b/>
            <sz val="9"/>
            <rFont val="宋体"/>
            <family val="3"/>
            <charset val="134"/>
          </rPr>
          <t>lenovo:</t>
        </r>
        <r>
          <rPr>
            <sz val="9"/>
            <rFont val="宋体"/>
            <family val="3"/>
            <charset val="134"/>
          </rPr>
          <t xml:space="preserve">
大酬宾25周年促销房源</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2"/>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<sst xmlns="http://schemas.openxmlformats.org/spreadsheetml/2006/main" count="10231" uniqueCount="3761">
  <si>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</si>
  <si>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</si>
  <si>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</si>
  <si>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</si>
  <si>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</si>
  <si>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</si>
  <si>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</si>
  <si>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</si>
  <si>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</si>
  <si>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</si>
  <si>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</si>
  <si>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</si>
  <si>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</si>
  <si>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</si>
  <si>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</si>
  <si>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</si>
  <si>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</si>
  <si>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</si>
  <si>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</si>
  <si>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</si>
  <si>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</si>
  <si>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</si>
  <si>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</si>
  <si>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</si>
  <si>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</si>
  <si>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</si>
  <si>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</si>
  <si>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</si>
  <si>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</si>
  <si>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</si>
  <si>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</si>
  <si>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</si>
  <si>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</si>
  <si>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</si>
  <si>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</si>
  <si>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</si>
  <si>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</si>
  <si>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</si>
  <si>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</si>
  <si>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</si>
  <si>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</si>
  <si>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</si>
  <si>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</si>
  <si>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</si>
  <si>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</si>
  <si>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</si>
  <si>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</si>
  <si>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</si>
  <si>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</si>
  <si>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</si>
  <si>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</si>
  <si>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</si>
  <si>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</si>
  <si>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</si>
  <si>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</si>
  <si>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</si>
  <si>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</si>
  <si>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</si>
  <si>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</si>
  <si>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</si>
  <si>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</si>
  <si>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</si>
  <si>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</si>
  <si>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</si>
  <si>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</si>
  <si>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</si>
  <si>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</si>
  <si>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</si>
  <si>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</si>
  <si>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</si>
  <si>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</si>
  <si>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</si>
  <si>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</si>
  <si>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</si>
  <si>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</si>
  <si>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</si>
  <si>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</si>
  <si>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</si>
  <si>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</si>
  <si>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</si>
  <si>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</si>
  <si>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</si>
  <si>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</si>
  <si>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</si>
  <si>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</si>
  <si>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</si>
  <si>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</si>
  <si>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</si>
  <si>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</si>
  <si>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</si>
  <si>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</si>
  <si>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</si>
  <si>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</si>
  <si>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</si>
  <si>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</si>
  <si>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</si>
  <si>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</si>
  <si>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</si>
  <si>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</si>
  <si>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</si>
  <si>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</si>
  <si>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</si>
  <si>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</si>
  <si>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</si>
  <si>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</si>
  <si>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</si>
  <si>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</si>
  <si>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</si>
  <si>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</si>
  <si>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</si>
  <si>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</si>
  <si>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</si>
  <si>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</si>
  <si>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</si>
  <si>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</si>
  <si>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</si>
  <si>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</si>
  <si>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</si>
  <si>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</si>
  <si>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</si>
  <si>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</si>
  <si>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</si>
  <si>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</si>
  <si>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</si>
  <si>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</si>
  <si>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</si>
  <si>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</si>
  <si>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</si>
  <si>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</si>
  <si>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</si>
  <si>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</si>
  <si>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</si>
  <si>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</si>
  <si>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</si>
  <si>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</si>
  <si>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</si>
  <si>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</si>
  <si>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</si>
  <si>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</si>
  <si>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</si>
  <si>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</si>
  <si>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</si>
  <si>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</si>
  <si>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</si>
  <si>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</si>
  <si>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</si>
  <si>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</si>
  <si>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</si>
  <si>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</si>
  <si>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</si>
  <si>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</si>
  <si>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</si>
  <si>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</si>
  <si>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</si>
  <si>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</si>
  <si>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</si>
  <si>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</si>
  <si>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</si>
  <si>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</si>
  <si>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</si>
  <si>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</si>
  <si>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</si>
  <si>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</si>
  <si>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</si>
  <si>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</si>
  <si>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</si>
  <si>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</si>
  <si>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</si>
  <si>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</si>
  <si>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</si>
  <si>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</si>
  <si>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</si>
  <si>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</si>
  <si>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</si>
  <si>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</si>
  <si>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</si>
  <si>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</si>
  <si>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</si>
  <si>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</si>
  <si>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</si>
  <si>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</si>
  <si>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</si>
  <si>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</si>
  <si>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</si>
  <si>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</si>
  <si>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</si>
  <si>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</si>
  <si>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</si>
  <si>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</si>
  <si>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</si>
  <si>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</si>
  <si>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</si>
  <si>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</si>
  <si>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</si>
  <si>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</si>
  <si>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</si>
  <si>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</si>
  <si>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</si>
  <si>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</si>
  <si>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</si>
  <si>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</si>
  <si>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</si>
  <si>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</si>
  <si>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</si>
  <si>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</si>
  <si>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</si>
  <si>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</si>
  <si>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</si>
  <si>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</si>
  <si>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</si>
  <si>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</si>
  <si>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</si>
  <si>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</si>
  <si>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</si>
  <si>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</si>
  <si>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</si>
  <si>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</si>
  <si>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</si>
  <si>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</si>
  <si>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</si>
  <si>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</si>
  <si>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</si>
  <si>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</si>
  <si>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</si>
  <si>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</si>
  <si>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</si>
  <si>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</si>
  <si>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</si>
  <si>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</si>
  <si>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</si>
  <si>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</si>
  <si>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</si>
  <si>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</si>
  <si>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</si>
  <si>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</si>
  <si>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</si>
  <si>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</si>
  <si>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</si>
  <si>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</si>
  <si>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</si>
  <si>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</si>
  <si>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</si>
  <si>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</si>
  <si>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</si>
  <si>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</si>
  <si>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</si>
  <si>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</si>
  <si>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</si>
  <si>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</si>
  <si>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</si>
  <si>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</si>
  <si>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</si>
  <si>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</si>
  <si>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</si>
  <si>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</si>
  <si>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</si>
  <si>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</si>
  <si>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</si>
  <si>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</si>
  <si>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</si>
  <si>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</si>
  <si>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</si>
  <si>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</si>
  <si>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</si>
  <si>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</si>
  <si>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</si>
  <si>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</si>
  <si>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</si>
  <si>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</si>
  <si>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</si>
  <si>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</si>
  <si>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</si>
  <si>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</si>
  <si>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</si>
  <si>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</si>
  <si>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</si>
  <si>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</si>
  <si>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</si>
  <si>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</si>
  <si>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</si>
  <si>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</si>
  <si>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</si>
  <si>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</si>
  <si>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</si>
  <si>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</si>
  <si>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</si>
  <si>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</si>
  <si>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</si>
  <si>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</si>
  <si>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</si>
  <si>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</si>
  <si>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</si>
  <si>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</si>
  <si>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</si>
  <si>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</si>
  <si>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</si>
  <si>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</si>
  <si>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</si>
  <si>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</si>
  <si>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</si>
  <si>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</si>
  <si>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</si>
  <si>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</si>
  <si>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</si>
  <si>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</si>
  <si>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</si>
  <si>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</si>
  <si>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</si>
  <si>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</si>
  <si>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</si>
  <si>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</si>
  <si>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</si>
  <si>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</si>
  <si>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</si>
  <si>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</si>
  <si>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</si>
  <si>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</si>
  <si>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</si>
  <si>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</si>
  <si>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</si>
  <si>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</si>
  <si>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</si>
  <si>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</si>
  <si>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</si>
  <si>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</si>
  <si>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</si>
  <si>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</si>
  <si>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</si>
  <si>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</si>
  <si>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</si>
  <si>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</si>
  <si>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</si>
  <si>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</si>
  <si>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</si>
  <si>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</si>
  <si>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</si>
  <si>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</si>
  <si>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</si>
  <si>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</si>
  <si>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</si>
  <si>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</si>
  <si>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</si>
  <si>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</si>
  <si>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</si>
  <si>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</si>
  <si>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</si>
  <si>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</si>
  <si>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</si>
  <si>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</si>
  <si>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</si>
  <si>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</si>
  <si>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</si>
  <si>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</si>
  <si>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</si>
  <si>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</si>
  <si>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</si>
  <si>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</si>
  <si>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</si>
  <si>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</si>
  <si>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</si>
  <si>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</si>
  <si>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</si>
  <si>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</si>
  <si>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</si>
  <si>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</si>
  <si>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</si>
  <si>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</si>
  <si>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</si>
  <si>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</si>
  <si>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</si>
  <si>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</si>
  <si>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</si>
  <si>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</si>
  <si>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</si>
  <si>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</si>
  <si>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</si>
  <si>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</si>
  <si>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</si>
  <si>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</si>
  <si>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</si>
  <si>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</si>
  <si>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</si>
  <si>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</si>
  <si>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</si>
  <si>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</si>
  <si>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</si>
  <si>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</si>
  <si>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</si>
  <si>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</si>
  <si>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</si>
  <si>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</si>
  <si>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</si>
  <si>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</si>
  <si>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</si>
  <si>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</si>
  <si>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</si>
  <si>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</si>
  <si>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</si>
  <si>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</si>
  <si>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</si>
  <si>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</si>
  <si>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</si>
  <si>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</si>
  <si>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</si>
  <si>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</si>
  <si>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</si>
  <si>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</si>
  <si>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</si>
  <si>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</si>
  <si>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</si>
  <si>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</si>
  <si>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</si>
  <si>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</si>
  <si>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</si>
  <si>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</si>
  <si>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</si>
  <si>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</si>
  <si>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</si>
  <si>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</si>
  <si>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</si>
  <si>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</si>
  <si>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</si>
  <si>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</si>
  <si>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</si>
  <si>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</si>
  <si>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</si>
  <si>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</si>
  <si>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</si>
  <si>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</si>
  <si>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</si>
  <si>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</si>
  <si>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</si>
  <si>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</si>
  <si>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</si>
  <si>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</si>
  <si>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</si>
  <si>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</si>
  <si>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</si>
  <si>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</si>
  <si>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</si>
  <si>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</si>
  <si>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</si>
  <si>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</si>
  <si>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</si>
  <si>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</si>
  <si>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</si>
  <si>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</si>
  <si>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</si>
  <si>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</si>
  <si>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</si>
  <si>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</si>
  <si>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</si>
  <si>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</si>
  <si>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</si>
  <si>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</si>
  <si>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</si>
  <si>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</si>
  <si>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</si>
  <si>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</si>
  <si>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</si>
  <si>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</si>
  <si>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</si>
  <si>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</si>
  <si>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</si>
  <si>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</si>
  <si>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</si>
  <si>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</si>
  <si>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</si>
  <si>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</si>
  <si>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</si>
  <si>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</si>
  <si>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</si>
  <si>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</si>
  <si>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</si>
  <si>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</si>
  <si>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</si>
  <si>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</si>
  <si>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</si>
  <si>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</si>
  <si>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</si>
  <si>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</si>
  <si>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</si>
  <si>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</si>
  <si>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</si>
  <si>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</si>
  <si>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</si>
  <si>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</si>
  <si>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</si>
  <si>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</si>
  <si>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</si>
  <si>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</si>
  <si>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</si>
  <si>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</si>
  <si>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</si>
  <si>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</si>
  <si>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</si>
  <si>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</si>
  <si>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</si>
  <si>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</si>
  <si>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</si>
  <si>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</si>
  <si>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</si>
  <si>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</si>
  <si>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</si>
  <si>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</si>
  <si>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</si>
  <si>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</si>
  <si>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</si>
  <si>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</si>
  <si>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</si>
  <si>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</si>
  <si>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</si>
  <si>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</si>
  <si>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</si>
  <si>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</si>
  <si>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</si>
  <si>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</si>
  <si>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</si>
  <si>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</si>
  <si>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</si>
  <si>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</si>
  <si>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</si>
  <si>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</si>
  <si>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</si>
  <si>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</si>
  <si>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</si>
  <si>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</si>
  <si>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</si>
  <si>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</si>
  <si>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</si>
  <si>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</si>
  <si>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</si>
  <si>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</si>
  <si>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</si>
  <si>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</si>
  <si>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</si>
  <si>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</si>
  <si>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</si>
  <si>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</si>
  <si>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</si>
  <si>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</si>
  <si>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</si>
  <si>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</si>
  <si>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</si>
  <si>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</si>
  <si>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</si>
  <si>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</si>
  <si>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</si>
  <si>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</si>
  <si>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</si>
  <si>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</si>
  <si>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</si>
  <si>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</si>
  <si>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</si>
  <si>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</si>
  <si>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</si>
  <si>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</si>
  <si>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</si>
  <si>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</si>
  <si>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</si>
  <si>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</si>
  <si>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</si>
  <si>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</si>
  <si>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</si>
  <si>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</si>
  <si>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</si>
  <si>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</si>
  <si>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</si>
  <si>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</si>
  <si>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</si>
  <si>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</si>
  <si>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</si>
  <si>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</si>
  <si>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</si>
  <si>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</si>
  <si>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</si>
  <si>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</si>
  <si>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</si>
  <si>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</si>
  <si>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</si>
  <si>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</si>
  <si>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</si>
  <si>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</si>
  <si>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</si>
  <si>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</si>
  <si>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</si>
  <si>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</si>
  <si>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</si>
  <si>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</si>
  <si>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</si>
  <si>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</si>
  <si>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</si>
  <si>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</si>
  <si>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</si>
  <si>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</si>
  <si>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</si>
  <si>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</si>
  <si>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</si>
  <si>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</si>
  <si>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</si>
  <si>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</si>
  <si>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</si>
  <si>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</si>
  <si>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</si>
  <si>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</si>
  <si>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</si>
  <si>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</si>
  <si>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</si>
  <si>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</si>
  <si>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</si>
  <si>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</si>
  <si>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</si>
  <si>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</si>
  <si>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</si>
  <si>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</si>
  <si>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</si>
  <si>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</si>
  <si>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</si>
  <si>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</si>
  <si>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</si>
  <si>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</si>
  <si>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</si>
  <si>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</si>
  <si>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</si>
  <si>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</si>
  <si>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</si>
  <si>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</si>
  <si>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</si>
  <si>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</si>
  <si>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</si>
  <si>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</si>
  <si>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</si>
  <si>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</si>
  <si>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</si>
  <si>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</si>
  <si>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</si>
  <si>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</si>
  <si>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</si>
  <si>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</si>
  <si>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</si>
  <si>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</si>
  <si>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</si>
  <si>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</si>
  <si>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</si>
  <si>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</si>
  <si>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</si>
  <si>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</si>
  <si>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</si>
  <si>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</si>
  <si>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</si>
  <si>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</si>
  <si>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</si>
  <si>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</si>
  <si>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</si>
  <si>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</si>
  <si>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</si>
  <si>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</si>
  <si>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</si>
  <si>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</si>
  <si>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</si>
  <si>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</si>
  <si>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</si>
  <si>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</si>
  <si>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</si>
  <si>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</si>
  <si>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</si>
  <si>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</si>
  <si>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</si>
  <si>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</si>
  <si>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</si>
  <si>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</si>
  <si>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</si>
  <si>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</si>
  <si>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</si>
  <si>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</si>
  <si>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</si>
  <si>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</si>
  <si>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</si>
  <si>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</si>
  <si>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</si>
  <si>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</si>
  <si>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</si>
  <si>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</si>
  <si>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</si>
  <si>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</si>
  <si>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</si>
  <si>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</si>
  <si>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</si>
  <si>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</si>
  <si>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</si>
  <si>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</si>
  <si>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</si>
  <si>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</si>
  <si>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</si>
  <si>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</si>
  <si>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</si>
  <si>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</si>
  <si>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</si>
  <si>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</si>
  <si>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</si>
  <si>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</si>
  <si>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</si>
  <si>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</si>
  <si>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</si>
  <si>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</si>
  <si>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</si>
  <si>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</si>
  <si>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</si>
  <si>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</si>
  <si>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</si>
  <si>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</si>
  <si>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</si>
  <si>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</si>
  <si>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</si>
  <si>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</si>
  <si>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</si>
  <si>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</si>
  <si>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</si>
  <si>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</si>
  <si>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</si>
  <si>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</si>
  <si>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</si>
  <si>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</si>
  <si>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</si>
  <si>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</si>
  <si>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</si>
  <si>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</si>
  <si>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</si>
  <si>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</si>
  <si>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</si>
  <si>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</si>
  <si>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</si>
  <si>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</si>
  <si>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</si>
  <si>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</si>
  <si>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</si>
  <si>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</si>
  <si>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</si>
  <si>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</si>
  <si>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</si>
  <si>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</si>
  <si>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</si>
  <si>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</si>
  <si>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</si>
  <si>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</si>
  <si>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</si>
  <si>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</si>
  <si>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</si>
  <si>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</si>
  <si>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</si>
  <si>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</si>
  <si>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</si>
  <si>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</si>
  <si>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</si>
  <si>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</si>
  <si>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</si>
  <si>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</si>
  <si>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</si>
  <si>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</si>
  <si>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</si>
  <si>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</si>
  <si>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</si>
  <si>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</si>
  <si>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</si>
  <si>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</si>
  <si>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</si>
  <si>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</si>
  <si>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</si>
  <si>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</si>
  <si>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</si>
  <si>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</si>
  <si>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</si>
  <si>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</si>
  <si>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</si>
  <si>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</si>
  <si>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</si>
  <si>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</si>
  <si>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</si>
  <si>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</si>
  <si>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</si>
  <si>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</si>
  <si>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</si>
  <si>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</si>
  <si>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</si>
  <si>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</si>
  <si>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</si>
  <si>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</si>
  <si>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</si>
  <si>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</si>
  <si>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</si>
  <si>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</si>
  <si>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</si>
  <si>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</si>
  <si>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</si>
  <si>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</si>
  <si>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</si>
  <si>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</si>
  <si>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</si>
  <si>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</si>
  <si>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</si>
  <si>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</si>
  <si>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</si>
  <si>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</si>
  <si>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</si>
  <si>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</si>
  <si>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</si>
  <si>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</si>
  <si>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</si>
  <si>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</si>
  <si>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</si>
  <si>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</si>
  <si>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</si>
  <si>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</si>
  <si>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</si>
  <si>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</si>
  <si>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</si>
  <si>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</si>
  <si>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</si>
  <si>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</si>
  <si>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</si>
  <si>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</si>
  <si>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</si>
  <si>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</si>
  <si>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</si>
  <si>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</si>
  <si>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</si>
  <si>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</si>
  <si>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</si>
  <si>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</si>
  <si>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</si>
  <si>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</si>
  <si>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</si>
  <si>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</si>
  <si>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</si>
  <si>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</si>
  <si>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</si>
  <si>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</si>
  <si>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</si>
  <si>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</si>
  <si>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</si>
  <si>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</si>
  <si>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</si>
  <si>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</si>
  <si>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</si>
  <si>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</si>
  <si>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</si>
  <si>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</si>
  <si>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</si>
  <si>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</si>
  <si>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</si>
  <si>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</si>
  <si>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</si>
  <si>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</si>
  <si>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</si>
  <si>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</si>
  <si>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</si>
  <si>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</si>
  <si>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</si>
  <si>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</si>
  <si>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</si>
  <si>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</si>
  <si>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</si>
  <si>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</si>
  <si>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</si>
  <si>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</si>
  <si>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</si>
  <si>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</si>
  <si>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</si>
  <si>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</si>
  <si>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</si>
  <si>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</si>
  <si>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</si>
  <si>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</si>
  <si>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</si>
  <si>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</si>
  <si>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</si>
  <si>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</si>
  <si>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</si>
  <si>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</si>
  <si>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</si>
  <si>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</si>
  <si>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</si>
  <si>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</si>
  <si>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</si>
  <si>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</si>
  <si>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</si>
  <si>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</si>
  <si>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</si>
  <si>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</si>
  <si>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</si>
  <si>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</si>
  <si>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</si>
  <si>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</si>
  <si>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</si>
  <si>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</si>
  <si>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</si>
  <si>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</si>
  <si>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</si>
  <si>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</si>
  <si>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</si>
  <si>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</si>
  <si>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</si>
  <si>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</si>
  <si>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</si>
  <si>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</si>
  <si>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</si>
  <si>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</si>
  <si>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</si>
  <si>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</si>
  <si>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</si>
  <si>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</si>
  <si>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</si>
  <si>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</si>
  <si>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</si>
  <si>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</si>
  <si>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</si>
  <si>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</si>
  <si>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</si>
  <si>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</si>
  <si>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</si>
  <si>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</si>
  <si>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</si>
  <si>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</si>
  <si>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</si>
  <si>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</si>
  <si>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</si>
  <si>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</si>
  <si>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</si>
  <si>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</si>
  <si>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</si>
  <si>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</si>
  <si>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</si>
  <si>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</si>
  <si>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</si>
  <si>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</si>
  <si>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</si>
  <si>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</si>
  <si>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</si>
  <si>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</si>
  <si>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</si>
  <si>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</si>
  <si>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</si>
  <si>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</si>
  <si>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</si>
  <si>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</si>
  <si>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</si>
  <si>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</si>
  <si>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</si>
  <si>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</si>
  <si>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</si>
  <si>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</si>
  <si>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</si>
  <si>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</si>
  <si>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</si>
  <si>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</si>
  <si>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</si>
  <si>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</si>
  <si>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</si>
  <si>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</si>
  <si>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</si>
  <si>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</si>
  <si>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</si>
  <si>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</si>
  <si>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</si>
  <si>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</si>
  <si>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</si>
  <si>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</si>
  <si>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</si>
  <si>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</si>
  <si>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</si>
  <si>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</si>
  <si>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</si>
  <si>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</si>
  <si>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</si>
  <si>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</si>
  <si>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</si>
  <si>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</si>
  <si>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</si>
  <si>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</si>
  <si>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</si>
  <si>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</si>
  <si>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</si>
  <si>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</si>
  <si>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</si>
  <si>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</si>
  <si>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</si>
  <si>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</si>
  <si>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</si>
  <si>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</si>
  <si>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</si>
  <si>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</si>
  <si>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</si>
  <si>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</si>
  <si>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</si>
  <si>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</si>
  <si>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</si>
  <si>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</si>
  <si>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</si>
  <si>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</si>
  <si>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</si>
  <si>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</si>
  <si>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</si>
  <si>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</si>
  <si>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</si>
  <si>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</si>
  <si>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</si>
  <si>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</si>
  <si>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</si>
  <si>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</si>
  <si>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</si>
  <si>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</si>
  <si>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</si>
  <si>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</si>
  <si>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</si>
  <si>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</si>
  <si>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</si>
  <si>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</si>
  <si>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</si>
  <si>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</si>
  <si>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</si>
  <si>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</si>
  <si>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</si>
  <si>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</si>
  <si>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</si>
  <si>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</si>
  <si>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</si>
  <si>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</si>
  <si>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</si>
  <si>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</si>
  <si>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</si>
  <si>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</si>
  <si>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</si>
  <si>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</si>
  <si>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</si>
  <si>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</si>
  <si>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</si>
  <si>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</si>
  <si>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</si>
  <si>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</si>
  <si>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</si>
  <si>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</si>
  <si>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</si>
  <si>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</si>
  <si>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</si>
  <si>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</si>
  <si>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</si>
  <si>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</si>
  <si>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</si>
  <si>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</si>
  <si>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</si>
  <si>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</si>
  <si>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</si>
  <si>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</si>
  <si>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</si>
  <si>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</si>
  <si>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</si>
  <si>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</si>
  <si>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</si>
  <si>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</si>
  <si>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</si>
  <si>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</si>
  <si>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</si>
  <si>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</si>
  <si>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</si>
  <si>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</si>
  <si>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</si>
  <si>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</si>
  <si>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</si>
  <si>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</si>
  <si>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</si>
  <si>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</si>
  <si>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</si>
  <si>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</si>
  <si>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</si>
  <si>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</si>
  <si>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</si>
  <si>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</si>
  <si>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</si>
  <si>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</si>
  <si>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</si>
  <si>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</si>
  <si>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</si>
  <si>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</si>
  <si>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</si>
  <si>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</si>
  <si>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</si>
  <si>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</si>
  <si>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</si>
  <si>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</si>
  <si>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</si>
  <si>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</si>
  <si>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</si>
  <si>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</si>
  <si>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</si>
  <si>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</si>
  <si>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</si>
  <si>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</si>
  <si>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</si>
  <si>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</si>
  <si>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</si>
  <si>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</si>
  <si>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</si>
  <si>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</si>
  <si>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</si>
  <si>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</si>
  <si>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</si>
  <si>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</si>
  <si>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</si>
  <si>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</si>
  <si>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</si>
  <si>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</si>
  <si>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</si>
  <si>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</si>
  <si>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</si>
  <si>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</si>
  <si>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</si>
  <si>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</si>
  <si>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</si>
  <si>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</si>
  <si>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</si>
  <si>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</si>
  <si>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</si>
  <si>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</si>
  <si>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</si>
  <si>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</si>
  <si>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</si>
  <si>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</si>
  <si>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</si>
  <si>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</si>
  <si>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</si>
  <si>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</si>
  <si>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</si>
  <si>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</si>
  <si>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</si>
  <si>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</si>
  <si>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</si>
  <si>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</si>
  <si>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</si>
  <si>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</si>
  <si>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</si>
  <si>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</si>
  <si>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</si>
  <si>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</si>
  <si>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</si>
  <si>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</si>
  <si>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</si>
  <si>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</si>
  <si>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</si>
  <si>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</si>
  <si>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</si>
  <si>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</si>
  <si>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</si>
  <si>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</si>
  <si>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</si>
  <si>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</si>
  <si>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</si>
  <si>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</si>
  <si>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</si>
  <si>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</si>
  <si>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</si>
  <si>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</si>
  <si>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</si>
  <si>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</si>
  <si>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</si>
  <si>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</si>
  <si>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</si>
  <si>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</si>
  <si>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</si>
  <si>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</si>
  <si>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</si>
  <si>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</si>
  <si>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</si>
  <si>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</si>
  <si>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</si>
  <si>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</si>
  <si>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</si>
  <si>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</si>
  <si>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</si>
  <si>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</si>
  <si>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</si>
  <si>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</si>
  <si>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</si>
  <si>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</si>
  <si>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</si>
  <si>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</si>
  <si>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</si>
  <si>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</si>
  <si>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</si>
  <si>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</si>
  <si>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</si>
  <si>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</si>
  <si>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</si>
  <si>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</si>
  <si>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</si>
  <si>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</si>
  <si>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</si>
  <si>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</si>
  <si>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</si>
  <si>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</si>
  <si>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</si>
  <si>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</si>
  <si>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</si>
  <si>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</si>
  <si>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</si>
  <si>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</si>
  <si>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</si>
  <si>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</si>
  <si>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</si>
  <si>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</si>
  <si>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</si>
  <si>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</si>
  <si>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</si>
  <si>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</si>
  <si>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</si>
  <si>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</si>
  <si>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</si>
  <si>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</si>
  <si>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</si>
  <si>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</si>
  <si>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</si>
  <si>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</si>
  <si>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</si>
  <si>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</si>
  <si>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</si>
  <si>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</si>
  <si>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</si>
  <si>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</si>
  <si>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</si>
  <si>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</si>
  <si>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</si>
  <si>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</si>
  <si>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</si>
  <si>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</si>
  <si>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</si>
  <si>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</si>
  <si>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</si>
  <si>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</si>
  <si>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</si>
  <si>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</si>
  <si>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</si>
  <si>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</si>
  <si>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</si>
  <si>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</si>
  <si>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</si>
  <si>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</si>
  <si>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</si>
  <si>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</si>
  <si>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</si>
  <si>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</si>
  <si>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</si>
  <si>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</si>
  <si>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</si>
  <si>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</si>
  <si>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</si>
  <si>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</si>
  <si>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</si>
  <si>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</si>
  <si>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</si>
  <si>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</si>
  <si>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</si>
  <si>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</si>
  <si>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</si>
  <si>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</si>
  <si>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</si>
  <si>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</si>
  <si>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</si>
  <si>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</si>
  <si>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</si>
  <si>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</si>
  <si>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</si>
  <si>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</si>
  <si>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</si>
  <si>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</si>
  <si>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</si>
  <si>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</si>
  <si>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</si>
  <si>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</si>
  <si>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</si>
  <si>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</si>
  <si>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</si>
  <si>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</si>
  <si>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</si>
  <si>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</si>
  <si>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</si>
  <si>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</si>
  <si>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</si>
  <si>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</si>
  <si>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</si>
  <si>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</si>
  <si>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</si>
  <si>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</si>
  <si>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</si>
  <si>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</si>
  <si>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</si>
  <si>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</si>
  <si>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</si>
  <si>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</si>
  <si>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</si>
  <si>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</si>
  <si>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</si>
  <si>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</si>
  <si>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</si>
  <si>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</si>
  <si>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</si>
  <si>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</si>
  <si>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</si>
  <si>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</si>
  <si>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</si>
  <si>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</si>
  <si>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</si>
  <si>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</si>
  <si>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</si>
  <si>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</si>
  <si>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</si>
  <si>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</si>
  <si>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</si>
  <si>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</si>
  <si>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</si>
  <si>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</si>
  <si>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</si>
  <si>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</si>
  <si>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</si>
  <si>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</si>
  <si>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</si>
  <si>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</si>
  <si>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</si>
  <si>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</si>
  <si>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</si>
  <si>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</si>
  <si>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</si>
  <si>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</si>
  <si>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</si>
  <si>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</si>
  <si>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</si>
  <si>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</si>
  <si>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</si>
  <si>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</si>
  <si>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</si>
  <si>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</si>
  <si>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</si>
  <si>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</si>
  <si>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</si>
  <si>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</si>
  <si>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</si>
  <si>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</si>
  <si>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</si>
  <si>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</si>
  <si>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</si>
  <si>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</si>
  <si>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</si>
  <si>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</si>
  <si>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</si>
  <si>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</si>
  <si>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</si>
  <si>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</si>
  <si>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</si>
  <si>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</si>
  <si>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</si>
  <si>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</si>
  <si>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</si>
  <si>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</si>
  <si>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</si>
  <si>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</si>
  <si>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</si>
  <si>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</si>
  <si>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</si>
  <si>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</si>
  <si>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</si>
  <si>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</si>
  <si>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</si>
  <si>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</si>
  <si>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</si>
  <si>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</si>
  <si>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</si>
  <si>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</si>
  <si>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</si>
  <si>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</si>
  <si>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</si>
  <si>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</si>
  <si>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</si>
  <si>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</si>
  <si>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</si>
  <si>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</si>
  <si>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</si>
  <si>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</si>
  <si>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</si>
  <si>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</si>
  <si>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</si>
  <si>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</si>
  <si>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</si>
  <si>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</si>
  <si>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</si>
  <si>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</si>
  <si>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</si>
  <si>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</si>
  <si>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</si>
  <si>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</si>
  <si>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</si>
  <si>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</si>
  <si>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</si>
  <si>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</si>
  <si>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</si>
  <si>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</si>
  <si>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</si>
  <si>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</si>
  <si>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</si>
  <si>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</si>
  <si>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</si>
  <si>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</si>
  <si>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</si>
  <si>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</si>
  <si>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</si>
  <si>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</si>
  <si>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</si>
  <si>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</si>
  <si>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</si>
  <si>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</si>
  <si>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</si>
  <si>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</si>
  <si>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</si>
  <si>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</si>
  <si>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</si>
  <si>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</si>
  <si>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</si>
  <si>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</si>
  <si>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</si>
  <si>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</si>
  <si>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</si>
  <si>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</si>
  <si>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</si>
  <si>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</si>
  <si>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</si>
  <si>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</si>
  <si>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</si>
  <si>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</si>
  <si>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</si>
  <si>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</si>
  <si>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</si>
  <si>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</si>
  <si>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</si>
  <si>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</si>
  <si>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</si>
  <si>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</si>
  <si>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</si>
  <si>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</si>
  <si>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</si>
  <si>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</si>
  <si>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</si>
  <si>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</si>
  <si>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</si>
  <si>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</si>
  <si>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</si>
  <si>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</si>
  <si>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</si>
  <si>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</si>
  <si>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</si>
  <si>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</si>
  <si>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</si>
  <si>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</si>
  <si>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</si>
  <si>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</si>
  <si>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</si>
  <si>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</si>
  <si>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</si>
  <si>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</si>
  <si>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</si>
  <si>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</si>
  <si>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</si>
  <si>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</si>
  <si>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</si>
  <si>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</si>
  <si>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</si>
  <si>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</si>
  <si>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</si>
  <si>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</si>
  <si>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</si>
  <si>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</si>
  <si>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</si>
  <si>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</si>
  <si>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</si>
  <si>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</si>
  <si>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</si>
  <si>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</si>
  <si>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</si>
  <si>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</si>
  <si>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</si>
  <si>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</si>
  <si>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</si>
  <si>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</si>
  <si>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</si>
  <si>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</si>
  <si>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</si>
  <si>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</si>
  <si>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</si>
  <si>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</si>
  <si>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</si>
  <si>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</si>
  <si>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</si>
  <si>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</si>
  <si>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</si>
  <si>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</si>
  <si>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</si>
  <si>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</si>
  <si>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</si>
  <si>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</si>
  <si>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</si>
  <si>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</si>
  <si>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</si>
  <si>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</si>
  <si>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</si>
  <si>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</si>
  <si>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</si>
  <si>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</si>
  <si>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</si>
  <si>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</si>
  <si>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</si>
  <si>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</si>
  <si>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</si>
  <si>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</si>
  <si>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</si>
  <si>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</si>
  <si>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</si>
  <si>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</si>
  <si>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</si>
  <si>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</si>
  <si>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</si>
  <si>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</si>
  <si>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</si>
  <si>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</si>
  <si>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</si>
  <si>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</si>
  <si>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</si>
  <si>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</si>
  <si>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</si>
  <si>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</si>
  <si>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</si>
  <si>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</si>
  <si>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</si>
  <si>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</si>
  <si>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</si>
  <si>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</si>
  <si>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</si>
  <si>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</si>
  <si>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</si>
  <si>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</si>
  <si>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</si>
  <si>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</si>
  <si>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</si>
  <si>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</si>
  <si>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</si>
  <si>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</si>
  <si>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</si>
  <si>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</si>
  <si>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</si>
  <si>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</si>
  <si>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</si>
  <si>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</si>
  <si>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</si>
  <si>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</si>
  <si>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</si>
  <si>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</si>
  <si>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</si>
  <si>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</si>
  <si>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</si>
  <si>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</si>
  <si>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</si>
  <si>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</si>
  <si>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</si>
  <si>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</si>
  <si>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</si>
  <si>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</si>
  <si>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</si>
  <si>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</si>
  <si>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</si>
  <si>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</si>
  <si>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</si>
  <si>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</si>
  <si>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</si>
  <si>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</si>
  <si>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</si>
  <si>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</si>
  <si>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</si>
  <si>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</si>
  <si>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</si>
  <si>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</si>
  <si>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</si>
  <si>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</si>
  <si>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</si>
  <si>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</si>
  <si>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</si>
  <si>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</si>
  <si>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</si>
  <si>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</si>
  <si>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</si>
  <si>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</si>
  <si>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</si>
  <si>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</si>
  <si>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</si>
  <si>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</si>
  <si>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</si>
  <si>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</si>
  <si>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</si>
  <si>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</si>
  <si>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</si>
  <si>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</si>
  <si>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</si>
  <si>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</si>
  <si>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</si>
  <si>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</si>
  <si>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</si>
  <si>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</si>
  <si>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</si>
  <si>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</si>
  <si>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</si>
  <si>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</si>
  <si>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</si>
  <si>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</si>
  <si>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</si>
  <si>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</si>
  <si>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</si>
  <si>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</si>
  <si>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</si>
  <si>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</si>
  <si>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</si>
  <si>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</si>
  <si>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</si>
  <si>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</si>
  <si>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</si>
  <si>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</si>
  <si>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</si>
  <si>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</si>
  <si>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</si>
  <si>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</si>
  <si>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</si>
  <si>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</si>
  <si>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</si>
  <si>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</si>
  <si>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</si>
  <si>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</si>
  <si>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</si>
  <si>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</si>
  <si>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</si>
  <si>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</si>
  <si>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</si>
  <si>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</si>
  <si>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</si>
  <si>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</si>
  <si>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</si>
  <si>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</si>
  <si>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</si>
  <si>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</si>
  <si>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</si>
  <si>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</si>
  <si>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</si>
  <si>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</si>
  <si>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</si>
  <si>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</si>
  <si>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</si>
  <si>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</si>
  <si>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</si>
  <si>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</si>
  <si>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</si>
  <si>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</si>
  <si>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</si>
  <si>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</si>
  <si>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</si>
  <si>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</si>
  <si>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</si>
  <si>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</si>
  <si>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</si>
  <si>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</si>
  <si>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</si>
  <si>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</si>
  <si>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</si>
  <si>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</si>
  <si>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</si>
  <si>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</si>
  <si>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</si>
  <si>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</si>
  <si>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</si>
  <si>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</si>
  <si>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</si>
  <si>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</si>
  <si>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</si>
  <si>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</si>
  <si>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</si>
  <si>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</si>
  <si>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</si>
  <si>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</si>
  <si>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</si>
  <si>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</si>
  <si>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</si>
  <si>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</si>
  <si>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</si>
  <si>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</si>
  <si>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</si>
  <si>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</si>
  <si>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</si>
  <si>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</si>
  <si>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</si>
  <si>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</si>
  <si>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</si>
  <si>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</si>
  <si>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</si>
  <si>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</si>
  <si>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</si>
  <si>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</si>
  <si>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</si>
  <si>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</si>
  <si>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</si>
  <si>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</si>
  <si>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</si>
  <si>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</si>
  <si>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</si>
  <si>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</si>
  <si>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</si>
  <si>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</si>
  <si>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</si>
  <si>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</si>
  <si>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</si>
  <si>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</si>
  <si>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</si>
  <si>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</si>
  <si>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</si>
  <si>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</si>
  <si>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</si>
  <si>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</si>
  <si>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</si>
  <si>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</si>
  <si>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</si>
  <si>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</si>
  <si>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</si>
  <si>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</si>
  <si>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</si>
  <si>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</si>
  <si>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</si>
  <si>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</si>
  <si>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</si>
  <si>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</si>
  <si>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</si>
  <si>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</si>
  <si>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</si>
  <si>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</si>
  <si>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</si>
  <si>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</si>
  <si>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</si>
  <si>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</si>
  <si>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</si>
  <si>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</si>
  <si>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</si>
  <si>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</si>
  <si>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</si>
  <si>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</si>
  <si>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</si>
  <si>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</si>
  <si>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</si>
  <si>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</si>
  <si>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</si>
  <si>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</si>
  <si>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</si>
  <si>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</si>
  <si>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</si>
  <si>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</si>
  <si>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</si>
  <si>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</si>
  <si>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</si>
  <si>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</si>
  <si>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</si>
  <si>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</si>
  <si>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</si>
  <si>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</si>
  <si>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</si>
  <si>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</si>
  <si>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</si>
  <si>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</si>
  <si>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</si>
  <si>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</si>
  <si>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</si>
  <si>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</si>
  <si>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</si>
  <si>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</si>
  <si>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</si>
  <si>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</si>
  <si>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</si>
  <si>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</si>
  <si>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</si>
  <si>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</si>
  <si>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</si>
  <si>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</si>
  <si>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</si>
  <si>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</si>
  <si>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</si>
  <si>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</si>
  <si>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</si>
  <si>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</si>
  <si>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</si>
  <si>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</si>
  <si>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</si>
  <si>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</si>
  <si>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</si>
  <si>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</si>
  <si>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</si>
  <si>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</si>
  <si>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</si>
  <si>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</si>
  <si>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</si>
  <si>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</si>
  <si>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</si>
  <si>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</si>
  <si>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</si>
  <si>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</si>
  <si>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</si>
  <si>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</si>
  <si>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</si>
  <si>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</si>
  <si>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</si>
  <si>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</si>
  <si>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</si>
  <si>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</si>
  <si>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</si>
  <si>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</si>
  <si>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</si>
  <si>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</si>
  <si>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</si>
  <si>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</si>
  <si>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</si>
  <si>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</si>
  <si>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</si>
  <si>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</si>
  <si>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</si>
  <si>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</si>
  <si>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</si>
  <si>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</si>
  <si>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</si>
  <si>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</si>
  <si>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</si>
  <si>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</si>
  <si>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</si>
  <si>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</si>
  <si>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</si>
  <si>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</si>
  <si>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</si>
  <si>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</si>
  <si>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</si>
  <si>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</si>
  <si>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</si>
  <si>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</si>
  <si>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</si>
  <si>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</si>
  <si>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</si>
  <si>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</si>
  <si>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</si>
  <si>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</si>
  <si>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</si>
  <si>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</si>
  <si>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</si>
  <si>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</si>
  <si>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</si>
  <si>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</si>
  <si>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</si>
  <si>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</si>
  <si>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</si>
  <si>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</si>
  <si>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</si>
  <si>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</si>
  <si>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</si>
  <si>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</si>
  <si>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</si>
  <si>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</si>
  <si>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</si>
  <si>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</si>
  <si>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</si>
  <si>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</si>
  <si>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</si>
  <si>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</si>
  <si>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</si>
  <si>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</si>
  <si>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</si>
  <si>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</si>
  <si>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</si>
  <si>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</si>
  <si>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</si>
  <si>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</si>
  <si>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</si>
  <si>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</si>
  <si>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</si>
  <si>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</si>
  <si>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</si>
  <si>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</si>
  <si>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</si>
  <si>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</si>
  <si>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</si>
  <si>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</si>
  <si>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</si>
  <si>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</si>
  <si>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</si>
  <si>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</si>
  <si>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</si>
  <si>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</si>
  <si>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</si>
  <si>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</si>
  <si>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</si>
  <si>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</si>
  <si>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</si>
  <si>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</si>
  <si>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</si>
  <si>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</si>
  <si>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</si>
  <si>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</si>
  <si>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</si>
  <si>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</si>
  <si>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</si>
  <si>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</si>
  <si>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</si>
  <si>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</si>
  <si>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</si>
  <si>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</si>
  <si>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</si>
  <si>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</si>
  <si>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</si>
  <si>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</si>
  <si>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</si>
  <si>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</si>
  <si>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</si>
  <si>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</si>
  <si>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</si>
  <si>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</si>
  <si>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</si>
  <si>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</si>
  <si>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</si>
  <si>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</si>
  <si>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</si>
  <si>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</si>
  <si>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</si>
  <si>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</si>
  <si>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</si>
  <si>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</si>
  <si>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</si>
  <si>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</si>
  <si>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</si>
  <si>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</si>
  <si>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</si>
  <si>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</si>
  <si>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</si>
  <si>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</si>
  <si>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</si>
  <si>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</si>
  <si>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</si>
  <si>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</si>
  <si>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</si>
  <si>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</si>
  <si>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</si>
  <si>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</si>
  <si>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</si>
  <si>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</si>
  <si>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</si>
  <si>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</si>
  <si>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</si>
  <si>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</si>
  <si>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</si>
  <si>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</si>
  <si>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</si>
  <si>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</si>
  <si>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</si>
  <si>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</si>
  <si>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</si>
  <si>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</si>
  <si>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</si>
  <si>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</si>
  <si>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</si>
  <si>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</si>
  <si>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</si>
  <si>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</si>
  <si>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</si>
  <si>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</si>
  <si>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</si>
  <si>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</si>
  <si>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</si>
  <si>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</si>
  <si>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</si>
  <si>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</si>
  <si>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</si>
  <si>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</si>
  <si>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</si>
  <si>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</si>
  <si>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</si>
  <si>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</si>
  <si>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</si>
  <si>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</si>
  <si>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</si>
  <si>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</si>
  <si>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</si>
  <si>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</si>
  <si>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</si>
  <si>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</si>
  <si>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</si>
  <si>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</si>
  <si>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</si>
  <si>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</si>
  <si>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</si>
  <si>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</si>
  <si>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</si>
  <si>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</si>
  <si>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</si>
  <si>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</si>
  <si>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</si>
  <si>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</si>
  <si>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</si>
  <si>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</si>
  <si>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</si>
  <si>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</si>
  <si>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</si>
  <si>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</si>
  <si>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</si>
  <si>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</si>
  <si>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</si>
  <si>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</si>
  <si>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</si>
  <si>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</si>
  <si>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</si>
  <si>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</si>
  <si>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</si>
  <si>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</si>
  <si>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</si>
  <si>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</si>
  <si>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</si>
  <si>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</si>
  <si>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</si>
  <si>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</si>
  <si>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</si>
  <si>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</si>
  <si>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</si>
  <si>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</si>
  <si>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</si>
  <si>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</si>
  <si>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</si>
  <si>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</si>
  <si>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</si>
  <si>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</si>
  <si>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</si>
  <si>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</si>
  <si>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</si>
  <si>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</si>
  <si>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</si>
  <si>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</si>
  <si>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</si>
  <si>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</si>
  <si>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</si>
  <si>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</si>
  <si>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</si>
  <si>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</si>
  <si>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</si>
  <si>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</si>
  <si>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</si>
  <si>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</si>
  <si>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</si>
  <si>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</si>
  <si>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</si>
  <si>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</si>
  <si>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</si>
  <si>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</si>
  <si>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</si>
  <si>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</si>
  <si>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</si>
  <si>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</si>
  <si>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</si>
  <si>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</si>
  <si>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</si>
  <si>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</si>
  <si>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</si>
  <si>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</si>
  <si>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</si>
  <si>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</si>
  <si>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</si>
  <si>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</si>
  <si>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</si>
  <si>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</si>
  <si>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</si>
  <si>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</si>
  <si>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</si>
  <si>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</si>
  <si>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</si>
  <si>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</si>
  <si>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</si>
  <si>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</si>
  <si>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</si>
  <si>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</si>
  <si>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</si>
  <si>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</si>
  <si>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</si>
  <si>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</si>
  <si>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</si>
  <si>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</si>
  <si>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</si>
  <si>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</si>
  <si>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</si>
  <si>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</si>
  <si>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</si>
  <si>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</si>
  <si>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</si>
  <si>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</si>
  <si>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</si>
  <si>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</si>
  <si>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</si>
  <si>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</si>
  <si>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</si>
  <si>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</si>
  <si>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</si>
  <si>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</si>
  <si>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</si>
  <si>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</si>
  <si>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</si>
  <si>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</si>
  <si>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</si>
  <si>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</si>
  <si>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</si>
  <si>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</si>
  <si>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</si>
  <si>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</si>
  <si>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</si>
  <si>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</si>
  <si>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</si>
  <si>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</si>
  <si>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</si>
  <si>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</si>
  <si>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</si>
  <si>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</si>
  <si>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</si>
  <si>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</si>
  <si>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</si>
  <si>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</si>
  <si>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</si>
  <si>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</si>
  <si>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</si>
  <si>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</si>
  <si>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</si>
  <si>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</si>
  <si>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</si>
  <si>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</si>
  <si>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</si>
  <si>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</si>
  <si>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</si>
  <si>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</si>
  <si>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</si>
  <si>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</si>
  <si>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</si>
  <si>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</si>
  <si>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</si>
  <si>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</si>
  <si>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</si>
  <si>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</si>
  <si>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</si>
  <si>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</si>
  <si>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</si>
  <si>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</si>
  <si>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</si>
  <si>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</si>
  <si>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</si>
  <si>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</si>
  <si>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</si>
  <si>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</si>
  <si>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</si>
  <si>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</si>
  <si>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</si>
  <si>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</si>
  <si>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</si>
  <si>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</si>
  <si>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</si>
  <si>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</si>
  <si>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</si>
  <si>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</si>
  <si>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</si>
  <si>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</si>
  <si>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</si>
  <si>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</si>
  <si>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</si>
  <si>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</si>
  <si>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</si>
  <si>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</si>
  <si>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</si>
  <si>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</si>
  <si>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</si>
  <si>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</si>
  <si>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</si>
  <si>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</si>
  <si>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</si>
  <si>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</si>
  <si>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</si>
  <si>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</si>
  <si>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</si>
  <si>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</si>
  <si>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</si>
  <si>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</si>
  <si>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</si>
  <si>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</si>
  <si>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</si>
  <si>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</si>
  <si>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</si>
  <si>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</si>
  <si>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</si>
  <si>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</si>
  <si>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</si>
  <si>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</si>
  <si>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</si>
  <si>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</si>
  <si>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</si>
  <si>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</si>
  <si>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</si>
  <si>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</si>
  <si>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</si>
  <si>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</si>
  <si>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</si>
  <si>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</si>
  <si>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</si>
  <si>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</si>
  <si>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</si>
  <si>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</si>
  <si>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</si>
  <si>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</si>
  <si>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</si>
  <si>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</si>
  <si>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</si>
  <si>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</si>
  <si>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</si>
  <si>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</si>
  <si>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</si>
  <si>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</si>
  <si>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</si>
  <si>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</si>
  <si>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</si>
  <si>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</si>
  <si>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</si>
  <si>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</si>
  <si>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</si>
  <si>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</si>
  <si>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</si>
  <si>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</si>
  <si>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</si>
  <si>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</si>
  <si>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</si>
  <si>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</si>
  <si>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</si>
  <si>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</si>
  <si>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</si>
  <si>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</si>
  <si>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</si>
  <si>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</si>
  <si>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</si>
  <si>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</si>
  <si>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</si>
  <si>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</si>
  <si>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</si>
  <si>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</si>
  <si>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</si>
  <si>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</si>
  <si>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</si>
  <si>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</si>
  <si>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</si>
  <si>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</si>
  <si>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</si>
  <si>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</si>
  <si>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</si>
  <si>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</si>
  <si>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</si>
  <si>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</si>
  <si>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</si>
  <si>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</si>
  <si>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</si>
  <si>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</si>
  <si>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</si>
  <si>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</si>
  <si>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</si>
  <si>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</si>
  <si>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</si>
  <si>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</si>
  <si>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</si>
  <si>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</si>
  <si>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</si>
  <si>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</si>
  <si>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</si>
  <si>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</si>
  <si>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</si>
  <si>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</si>
  <si>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</si>
  <si>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</si>
  <si>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</si>
  <si>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</si>
  <si>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</si>
  <si>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</si>
  <si>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</si>
  <si>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</si>
  <si>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</si>
  <si>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</si>
  <si>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</si>
  <si>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</si>
  <si>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</si>
  <si>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</si>
  <si>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</si>
  <si>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</si>
  <si>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</si>
  <si>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</si>
  <si>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</si>
  <si>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</si>
  <si>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</si>
  <si>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</si>
  <si>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</si>
  <si>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</si>
  <si>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</si>
  <si>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</si>
  <si>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</si>
  <si>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</si>
  <si>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</si>
  <si>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</si>
  <si>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</si>
  <si>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</si>
  <si>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</si>
  <si>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</si>
  <si>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</si>
  <si>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</si>
  <si>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</si>
  <si>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</si>
  <si>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</si>
  <si>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</si>
  <si>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</si>
  <si>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</si>
  <si>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</si>
  <si>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</si>
  <si>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</si>
  <si>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</si>
  <si>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</si>
  <si>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</si>
  <si>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</si>
  <si>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</si>
  <si>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</si>
  <si>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</si>
  <si>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</si>
  <si>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</si>
  <si>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</si>
  <si>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</si>
  <si>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</si>
  <si>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</si>
  <si>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</si>
  <si>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</si>
  <si>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</si>
  <si>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</si>
  <si>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</si>
  <si>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</si>
  <si>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</si>
  <si>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</si>
  <si>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</si>
  <si>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</si>
  <si>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</si>
  <si>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</si>
  <si>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</si>
  <si>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</si>
  <si>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</si>
  <si>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</si>
  <si>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</si>
  <si>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</si>
  <si>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</si>
  <si>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</si>
  <si>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</si>
  <si>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</si>
  <si>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</si>
  <si>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</si>
  <si>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</si>
  <si>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</si>
  <si>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</si>
  <si>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</si>
  <si>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</si>
  <si>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</si>
  <si>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</si>
  <si>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</si>
  <si>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</si>
  <si>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</si>
  <si>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</si>
  <si>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</si>
  <si>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</si>
  <si>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</si>
  <si>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</si>
  <si>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</si>
  <si>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</si>
  <si>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</si>
  <si>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</si>
  <si>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</si>
  <si>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</si>
  <si>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</si>
  <si>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</si>
  <si>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</si>
  <si>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</si>
  <si>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</si>
  <si>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</si>
  <si>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</si>
  <si>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</si>
  <si>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</si>
  <si>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</si>
  <si>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</si>
  <si>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</si>
  <si>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</si>
  <si>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</si>
  <si>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</si>
  <si>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</si>
  <si>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</si>
  <si>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</si>
  <si>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</si>
  <si>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</si>
  <si>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</si>
  <si>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</si>
  <si>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</si>
  <si>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</si>
  <si>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</si>
  <si>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</si>
  <si>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</si>
  <si>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</si>
  <si>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</si>
  <si>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</si>
  <si>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</si>
  <si>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</si>
  <si>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</si>
  <si>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</si>
  <si>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</si>
  <si>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</si>
  <si>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</si>
  <si>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</si>
  <si>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</si>
  <si>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</si>
  <si>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</si>
  <si>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</si>
  <si>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</si>
  <si>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</si>
  <si>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</si>
  <si>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</si>
  <si>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</si>
  <si>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</si>
  <si>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</si>
  <si>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</si>
  <si>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</si>
  <si>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</si>
  <si>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</si>
  <si>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</si>
  <si>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</si>
  <si>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</si>
  <si>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</si>
  <si>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</si>
  <si>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</si>
  <si>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</si>
  <si>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</si>
  <si>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</si>
  <si>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</si>
  <si>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</si>
  <si>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</si>
  <si>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</si>
  <si>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</si>
  <si>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</si>
  <si>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</si>
  <si>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</si>
  <si>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</si>
  <si>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</si>
  <si>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</si>
  <si>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</si>
  <si>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</si>
  <si>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</si>
  <si>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</si>
  <si>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</si>
  <si>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</si>
  <si>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</si>
  <si>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</si>
  <si>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</si>
  <si>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</si>
  <si>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</si>
  <si>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</si>
  <si>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</si>
  <si>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</si>
  <si>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</si>
  <si>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</si>
  <si>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</si>
  <si>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</si>
  <si>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</si>
  <si>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</si>
  <si>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</si>
  <si>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</si>
  <si>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</si>
  <si>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</si>
  <si>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</si>
  <si>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</si>
  <si>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</si>
  <si>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</si>
  <si>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</si>
  <si>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</si>
  <si>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</si>
  <si>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</si>
  <si>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</si>
  <si>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</si>
  <si>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</si>
  <si>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</si>
  <si>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</si>
  <si>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</si>
  <si>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</si>
  <si>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</si>
  <si>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</si>
  <si>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</si>
  <si>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</si>
  <si>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</si>
  <si>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</si>
  <si>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</si>
  <si>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</si>
  <si>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</si>
  <si>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</si>
  <si>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</si>
  <si>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</si>
  <si>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</si>
  <si>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</si>
  <si>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</si>
  <si>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</si>
  <si>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</si>
  <si>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</si>
  <si>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</si>
  <si>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</si>
  <si>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</si>
  <si>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</si>
  <si>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</si>
  <si>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</si>
  <si>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</si>
  <si>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</si>
  <si>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</si>
  <si>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</si>
  <si>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</si>
  <si>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</si>
  <si>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</si>
  <si>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</si>
  <si>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</si>
  <si>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</si>
  <si>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</si>
  <si>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</si>
  <si>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</si>
  <si>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</si>
  <si>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</si>
  <si>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</si>
  <si>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</si>
  <si>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</si>
  <si>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</si>
  <si>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</si>
  <si>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</si>
  <si>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</si>
  <si>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</si>
  <si>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</si>
  <si>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</si>
  <si>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</si>
  <si>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</si>
  <si>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</si>
  <si>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</si>
  <si>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</si>
  <si>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</si>
  <si>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</si>
  <si>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</si>
  <si>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</si>
  <si>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</si>
  <si>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</si>
  <si>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</si>
  <si>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</si>
  <si>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</si>
  <si>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</si>
  <si>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</si>
  <si>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</si>
  <si>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</si>
  <si>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</si>
  <si>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</si>
  <si>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</si>
  <si>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</si>
  <si>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</si>
  <si>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</si>
  <si>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</si>
  <si>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</si>
  <si>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</si>
  <si>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</si>
  <si>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</si>
  <si>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</si>
  <si>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</si>
  <si>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</si>
  <si>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</si>
  <si>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</si>
  <si>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</si>
  <si>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</si>
  <si>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</si>
  <si>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</si>
  <si>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</si>
  <si>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</si>
  <si>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</si>
  <si>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</si>
  <si>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</si>
  <si>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</si>
  <si>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</si>
  <si>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</si>
  <si>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</si>
  <si>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</si>
  <si>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</si>
  <si>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</si>
  <si>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</si>
  <si>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</si>
  <si>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</si>
  <si>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</si>
  <si>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</si>
  <si>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</si>
  <si>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</si>
  <si>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</si>
  <si>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</si>
  <si>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</si>
  <si>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</si>
  <si>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</si>
  <si>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</si>
  <si>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</si>
  <si>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</si>
  <si>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</si>
  <si>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</si>
  <si>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</si>
  <si>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</si>
  <si>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</si>
  <si>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</si>
  <si>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</si>
  <si>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</si>
  <si>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</si>
  <si>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</si>
  <si>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</si>
  <si>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</si>
  <si>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</si>
  <si>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</si>
  <si>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</si>
  <si>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</si>
  <si>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</si>
  <si>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</si>
  <si>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</si>
  <si>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</si>
  <si>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</si>
  <si>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</si>
  <si>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</si>
  <si>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</si>
  <si>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</si>
  <si>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</si>
  <si>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</si>
  <si>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</si>
  <si>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</si>
  <si>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</si>
  <si>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</si>
  <si>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</si>
  <si>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</si>
  <si>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</si>
  <si>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</si>
  <si>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</si>
  <si>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</si>
  <si>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</si>
  <si>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</si>
  <si>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</si>
  <si>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</si>
  <si>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</si>
  <si>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</si>
  <si>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</si>
  <si>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</si>
  <si>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</si>
  <si>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</si>
  <si>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</si>
  <si>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</si>
  <si>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</si>
  <si>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</si>
  <si>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</si>
  <si>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</si>
  <si>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</si>
  <si>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</si>
  <si>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</si>
  <si>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</si>
  <si>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</si>
  <si>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</si>
  <si>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</si>
  <si>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</si>
  <si>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</si>
  <si>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</si>
  <si>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</si>
  <si>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</si>
  <si>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</si>
  <si>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</si>
  <si>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</si>
  <si>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</si>
  <si>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</si>
  <si>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</si>
  <si>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</si>
  <si>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</si>
  <si>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</si>
  <si>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</si>
  <si>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</si>
  <si>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</si>
  <si>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</si>
  <si>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</si>
  <si>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</si>
  <si>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</si>
  <si>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</si>
  <si>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</si>
  <si>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</si>
  <si>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</si>
  <si>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</si>
  <si>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</si>
  <si>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</si>
  <si>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</si>
  <si>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</si>
  <si>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</si>
  <si>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</si>
  <si>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</si>
  <si>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</si>
  <si>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</si>
  <si>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</si>
  <si>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</si>
  <si>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</si>
  <si>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</si>
  <si>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</si>
  <si>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</si>
  <si>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</si>
  <si>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</si>
  <si>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</si>
  <si>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</si>
  <si>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</si>
  <si>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</si>
  <si>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</si>
  <si>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</si>
  <si>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</si>
  <si>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</si>
  <si>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</si>
  <si>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</si>
  <si>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</si>
  <si>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</si>
  <si>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</si>
  <si>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</si>
  <si>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</si>
  <si>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</si>
  <si>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</si>
  <si>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</si>
  <si>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</si>
  <si>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</si>
  <si>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</si>
  <si>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</si>
  <si>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</si>
  <si>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</si>
  <si>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</si>
  <si>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</si>
  <si>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</si>
  <si>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</si>
  <si>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</si>
  <si>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</si>
  <si>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</si>
  <si>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</si>
  <si>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</si>
  <si>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</si>
  <si>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</si>
  <si>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</si>
  <si>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</si>
  <si>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</si>
  <si>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</si>
  <si>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</si>
  <si>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</si>
  <si>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</si>
  <si>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</si>
  <si>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</si>
  <si>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</si>
  <si>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</si>
  <si>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</si>
  <si>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</si>
  <si>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</si>
  <si>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</si>
  <si>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</si>
  <si>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</si>
  <si>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</si>
  <si>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</si>
  <si>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</si>
  <si>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</si>
  <si>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</si>
  <si>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</si>
  <si>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</si>
  <si>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</si>
  <si>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</si>
  <si>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</si>
  <si>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</si>
  <si>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</si>
  <si>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</si>
  <si>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</si>
  <si>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</si>
  <si>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</si>
  <si>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</si>
  <si>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</si>
  <si>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</si>
  <si>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</si>
  <si>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</si>
  <si>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</si>
  <si>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</si>
  <si>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</si>
  <si>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</si>
  <si>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</si>
  <si>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</si>
  <si>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</si>
  <si>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</si>
  <si>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</si>
  <si>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</si>
  <si>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</si>
  <si>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</si>
  <si>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</si>
  <si>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</si>
  <si>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</si>
  <si>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</si>
  <si>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</si>
  <si>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</si>
  <si>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</si>
  <si>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</si>
  <si>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</si>
  <si>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</si>
  <si>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</si>
  <si>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</si>
  <si>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</si>
  <si>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</si>
  <si>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</si>
  <si>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</si>
  <si>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</si>
  <si>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</si>
  <si>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</si>
  <si>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</si>
  <si>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</si>
  <si>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</si>
  <si>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</si>
  <si>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</si>
  <si>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</si>
  <si>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</si>
  <si>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</si>
  <si>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</si>
  <si>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</si>
  <si>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</si>
  <si>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</si>
  <si>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</si>
  <si>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</si>
  <si>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</si>
  <si>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</si>
  <si>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</si>
  <si>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</si>
  <si>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</si>
  <si>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</si>
  <si>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</si>
  <si>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</si>
  <si>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</si>
  <si>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</si>
  <si>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</si>
  <si>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</si>
  <si>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</si>
  <si>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</si>
  <si>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</si>
  <si>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</si>
  <si>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</si>
  <si>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</si>
  <si>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</si>
  <si>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</si>
  <si>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</si>
  <si>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</si>
  <si>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</si>
  <si>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</si>
  <si>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</si>
  <si>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</si>
  <si>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</si>
  <si>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</si>
  <si>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</si>
  <si>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</si>
  <si>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</si>
  <si>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</si>
  <si>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</si>
  <si>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</si>
  <si>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</si>
  <si>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</si>
  <si>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</si>
  <si>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</si>
  <si>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</si>
  <si>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</si>
  <si>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</si>
  <si>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</si>
  <si>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</si>
  <si>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</si>
  <si>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</si>
  <si>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</si>
  <si>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</si>
  <si>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</si>
  <si>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</si>
  <si>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</si>
  <si>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</si>
  <si>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</si>
  <si>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</si>
  <si>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</si>
  <si>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</si>
  <si>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</si>
  <si>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</si>
  <si>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</si>
  <si>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</si>
  <si>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</si>
  <si>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</si>
  <si>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</si>
  <si>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</si>
  <si>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</si>
  <si>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</si>
  <si>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</si>
  <si>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</si>
  <si>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</si>
  <si>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</si>
  <si>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</si>
  <si>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</si>
  <si>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</si>
  <si>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</si>
  <si>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</si>
  <si>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</si>
  <si>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</si>
  <si>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</si>
  <si>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</si>
  <si>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</si>
  <si>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</si>
  <si>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</si>
  <si>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</si>
  <si>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</si>
  <si>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</si>
  <si>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</si>
  <si>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</si>
  <si>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</si>
  <si>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</si>
  <si>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</si>
  <si>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</si>
  <si>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</si>
  <si>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</si>
  <si>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</si>
  <si>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</si>
  <si>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</si>
  <si>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</si>
  <si>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</si>
  <si>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</si>
  <si>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</si>
  <si>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</si>
  <si>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</si>
  <si>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</si>
  <si>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</si>
  <si>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</si>
  <si>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</si>
  <si>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</si>
  <si>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</si>
  <si>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</si>
  <si>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</si>
  <si>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</si>
  <si>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</si>
  <si>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</si>
  <si>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</si>
  <si>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</si>
  <si>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</si>
  <si>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</si>
  <si>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</si>
  <si>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</si>
  <si>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</si>
  <si>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</si>
  <si>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</si>
  <si>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</si>
  <si>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</si>
  <si>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</si>
  <si>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</si>
  <si>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</si>
  <si>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</si>
  <si>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</si>
  <si>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</si>
  <si>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</si>
  <si>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</si>
  <si>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</si>
  <si>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</si>
  <si>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</si>
  <si>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</si>
  <si>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</si>
  <si>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</si>
  <si>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</si>
  <si>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</si>
  <si>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</si>
  <si>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</si>
  <si>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</si>
  <si>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</si>
  <si>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</si>
  <si>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</si>
  <si>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</si>
  <si>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</si>
  <si>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</si>
  <si>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</si>
  <si>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</si>
  <si>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</si>
  <si>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</si>
  <si>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</si>
  <si>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</si>
  <si>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</si>
  <si>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</si>
  <si>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</si>
  <si>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</si>
  <si>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</si>
  <si>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</si>
  <si>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</si>
  <si>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</si>
  <si>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</si>
  <si>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</si>
  <si>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</si>
  <si>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</si>
  <si>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</si>
  <si>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</si>
  <si>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</si>
  <si>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</si>
  <si>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</si>
  <si>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</si>
  <si>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</si>
  <si>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</si>
  <si>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</si>
  <si>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</si>
  <si>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</si>
  <si>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</si>
  <si>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</si>
  <si>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</si>
  <si>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</si>
  <si>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</si>
  <si>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</si>
  <si>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</si>
  <si>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</si>
  <si>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</si>
  <si>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</si>
  <si>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</si>
  <si>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</si>
  <si>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</si>
  <si>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</si>
  <si>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</si>
  <si>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</si>
  <si>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</si>
  <si>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</si>
  <si>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</si>
  <si>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</si>
  <si>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</si>
  <si>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</si>
  <si>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</si>
  <si>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</si>
  <si>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</si>
  <si>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</si>
  <si>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</si>
  <si>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</si>
  <si>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</si>
  <si>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</si>
  <si>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</si>
  <si>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</si>
  <si>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</si>
  <si>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</si>
  <si>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</si>
  <si>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</si>
  <si>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</si>
  <si>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</si>
  <si>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</si>
  <si>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</si>
  <si>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</si>
  <si>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</si>
  <si>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</si>
  <si>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</si>
  <si>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</si>
  <si>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</si>
  <si>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</si>
  <si>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规证</t>
    <phoneticPr fontId="140" type="noConversion"/>
  </si>
  <si>
    <t>楼号</t>
    <phoneticPr fontId="140" type="noConversion"/>
  </si>
  <si>
    <t>6号楼</t>
    <phoneticPr fontId="140" type="noConversion"/>
  </si>
  <si>
    <t>地上</t>
    <phoneticPr fontId="140" type="noConversion"/>
  </si>
  <si>
    <t>地下</t>
    <phoneticPr fontId="140" type="noConversion"/>
  </si>
  <si>
    <t>地上高度</t>
    <phoneticPr fontId="140" type="noConversion"/>
  </si>
  <si>
    <t>8号楼</t>
    <phoneticPr fontId="140" type="noConversion"/>
  </si>
  <si>
    <t>10号楼</t>
    <phoneticPr fontId="140" type="noConversion"/>
  </si>
  <si>
    <t>11号楼</t>
    <phoneticPr fontId="140" type="noConversion"/>
  </si>
  <si>
    <t>12号楼</t>
    <phoneticPr fontId="140" type="noConversion"/>
  </si>
  <si>
    <t>13号楼</t>
    <phoneticPr fontId="140" type="noConversion"/>
  </si>
  <si>
    <t>9号楼</t>
    <phoneticPr fontId="140" type="noConversion"/>
  </si>
  <si>
    <t>14号楼</t>
    <phoneticPr fontId="140" type="noConversion"/>
  </si>
  <si>
    <t>15号楼</t>
    <phoneticPr fontId="140" type="noConversion"/>
  </si>
  <si>
    <t>5号楼</t>
    <phoneticPr fontId="140" type="noConversion"/>
  </si>
  <si>
    <t>7号楼</t>
    <phoneticPr fontId="140" type="noConversion"/>
  </si>
  <si>
    <t>配建3</t>
    <phoneticPr fontId="140" type="noConversion"/>
  </si>
  <si>
    <t>配建12</t>
    <phoneticPr fontId="140" type="noConversion"/>
  </si>
  <si>
    <t>合计</t>
    <phoneticPr fontId="140" type="noConversion"/>
  </si>
  <si>
    <t>规证一</t>
    <phoneticPr fontId="140" type="noConversion"/>
  </si>
  <si>
    <t>2号楼</t>
    <phoneticPr fontId="140" type="noConversion"/>
  </si>
  <si>
    <t>1号楼</t>
    <phoneticPr fontId="140" type="noConversion"/>
  </si>
  <si>
    <t>3号楼</t>
    <phoneticPr fontId="140" type="noConversion"/>
  </si>
  <si>
    <t>配建2</t>
    <phoneticPr fontId="140" type="noConversion"/>
  </si>
  <si>
    <t>4号楼</t>
    <phoneticPr fontId="140" type="noConversion"/>
  </si>
  <si>
    <t>规证二</t>
    <phoneticPr fontId="140" type="noConversion"/>
  </si>
  <si>
    <t>地库3</t>
    <phoneticPr fontId="140" type="noConversion"/>
  </si>
  <si>
    <t>高层</t>
    <phoneticPr fontId="140" type="noConversion"/>
  </si>
  <si>
    <t>类型</t>
    <phoneticPr fontId="140" type="noConversion"/>
  </si>
  <si>
    <t>分摊土地</t>
    <phoneticPr fontId="140" type="noConversion"/>
  </si>
  <si>
    <t>规划地上</t>
    <phoneticPr fontId="140" type="noConversion"/>
  </si>
  <si>
    <t>规划地下</t>
    <phoneticPr fontId="140" type="noConversion"/>
  </si>
  <si>
    <t>高层（28-33）</t>
    <phoneticPr fontId="140" type="noConversion"/>
  </si>
  <si>
    <r>
      <t>小高（8</t>
    </r>
    <r>
      <rPr>
        <sz val="11"/>
        <color theme="1"/>
        <rFont val="宋体"/>
        <family val="3"/>
        <charset val="134"/>
        <scheme val="minor"/>
      </rPr>
      <t>-18</t>
    </r>
    <r>
      <rPr>
        <sz val="11"/>
        <color theme="1"/>
        <rFont val="宋体"/>
        <family val="3"/>
        <charset val="134"/>
        <scheme val="minor"/>
      </rPr>
      <t>）</t>
    </r>
    <phoneticPr fontId="140" type="noConversion"/>
  </si>
  <si>
    <t>洋房（4-6）</t>
    <phoneticPr fontId="140" type="noConversion"/>
  </si>
  <si>
    <t>商业1层</t>
  </si>
  <si>
    <t>商业1层</t>
    <phoneticPr fontId="140" type="noConversion"/>
  </si>
  <si>
    <t>商业1-2层</t>
    <phoneticPr fontId="140" type="noConversion"/>
  </si>
  <si>
    <t>小高</t>
    <phoneticPr fontId="140" type="noConversion"/>
  </si>
  <si>
    <t>洋房</t>
    <phoneticPr fontId="140" type="noConversion"/>
  </si>
  <si>
    <t>商业1-2层</t>
  </si>
  <si>
    <t>1层</t>
    <phoneticPr fontId="140" type="noConversion"/>
  </si>
  <si>
    <t>2层</t>
    <phoneticPr fontId="140" type="noConversion"/>
  </si>
  <si>
    <t>誉峰</t>
  </si>
  <si>
    <t>誉峰园</t>
  </si>
  <si>
    <t>1-101</t>
    <phoneticPr fontId="140" type="noConversion"/>
  </si>
  <si>
    <t>1-102</t>
    <phoneticPr fontId="140" type="noConversion"/>
  </si>
  <si>
    <t>1-201</t>
    <phoneticPr fontId="140" type="noConversion"/>
  </si>
  <si>
    <t>1-202</t>
    <phoneticPr fontId="140" type="noConversion"/>
  </si>
  <si>
    <t>1-301</t>
    <phoneticPr fontId="140" type="noConversion"/>
  </si>
  <si>
    <t>1-302</t>
    <phoneticPr fontId="140" type="noConversion"/>
  </si>
  <si>
    <t>1-401</t>
    <phoneticPr fontId="140" type="noConversion"/>
  </si>
  <si>
    <t>1-402</t>
    <phoneticPr fontId="140" type="noConversion"/>
  </si>
  <si>
    <t>1-501</t>
    <phoneticPr fontId="140" type="noConversion"/>
  </si>
  <si>
    <t>1-502</t>
    <phoneticPr fontId="140" type="noConversion"/>
  </si>
  <si>
    <t>1-601</t>
    <phoneticPr fontId="140" type="noConversion"/>
  </si>
  <si>
    <t>1-602</t>
    <phoneticPr fontId="140" type="noConversion"/>
  </si>
  <si>
    <t>1-701</t>
    <phoneticPr fontId="140" type="noConversion"/>
  </si>
  <si>
    <t>1-702</t>
    <phoneticPr fontId="140" type="noConversion"/>
  </si>
  <si>
    <t>2-201</t>
    <phoneticPr fontId="140" type="noConversion"/>
  </si>
  <si>
    <t>2-202</t>
    <phoneticPr fontId="140" type="noConversion"/>
  </si>
  <si>
    <t>2-301</t>
    <phoneticPr fontId="140" type="noConversion"/>
  </si>
  <si>
    <t>2-302</t>
    <phoneticPr fontId="140" type="noConversion"/>
  </si>
  <si>
    <t>2-401</t>
    <phoneticPr fontId="140" type="noConversion"/>
  </si>
  <si>
    <t>2-402</t>
    <phoneticPr fontId="140" type="noConversion"/>
  </si>
  <si>
    <t>2-501</t>
    <phoneticPr fontId="140" type="noConversion"/>
  </si>
  <si>
    <t>2-502</t>
    <phoneticPr fontId="140" type="noConversion"/>
  </si>
  <si>
    <t>2-601</t>
    <phoneticPr fontId="140" type="noConversion"/>
  </si>
  <si>
    <t>2-602</t>
    <phoneticPr fontId="140" type="noConversion"/>
  </si>
  <si>
    <t>2-701</t>
    <phoneticPr fontId="140" type="noConversion"/>
  </si>
  <si>
    <t>2-702</t>
    <phoneticPr fontId="140" type="noConversion"/>
  </si>
  <si>
    <t>2-801</t>
    <phoneticPr fontId="140" type="noConversion"/>
  </si>
  <si>
    <t>2-802</t>
    <phoneticPr fontId="140" type="noConversion"/>
  </si>
  <si>
    <t>2-901</t>
    <phoneticPr fontId="140" type="noConversion"/>
  </si>
  <si>
    <t>2-902</t>
    <phoneticPr fontId="140" type="noConversion"/>
  </si>
  <si>
    <t>2-1001</t>
    <phoneticPr fontId="140" type="noConversion"/>
  </si>
  <si>
    <t>2-1002</t>
    <phoneticPr fontId="140" type="noConversion"/>
  </si>
  <si>
    <t>2-1101</t>
    <phoneticPr fontId="140" type="noConversion"/>
  </si>
  <si>
    <t>2-1102</t>
    <phoneticPr fontId="140" type="noConversion"/>
  </si>
  <si>
    <t>1-801</t>
    <phoneticPr fontId="140" type="noConversion"/>
  </si>
  <si>
    <t>1-802</t>
    <phoneticPr fontId="140" type="noConversion"/>
  </si>
  <si>
    <t>1-901</t>
    <phoneticPr fontId="140" type="noConversion"/>
  </si>
  <si>
    <t>1-902</t>
    <phoneticPr fontId="140" type="noConversion"/>
  </si>
  <si>
    <t>1-1001</t>
    <phoneticPr fontId="140" type="noConversion"/>
  </si>
  <si>
    <t>1-1002</t>
    <phoneticPr fontId="140" type="noConversion"/>
  </si>
  <si>
    <t>1-1101</t>
    <phoneticPr fontId="140" type="noConversion"/>
  </si>
  <si>
    <t>1-1102</t>
    <phoneticPr fontId="140" type="noConversion"/>
  </si>
  <si>
    <t>2-101</t>
    <phoneticPr fontId="140" type="noConversion"/>
  </si>
  <si>
    <t>2-102</t>
    <phoneticPr fontId="140" type="noConversion"/>
  </si>
  <si>
    <t>3-101</t>
    <phoneticPr fontId="140" type="noConversion"/>
  </si>
  <si>
    <t>3-102</t>
    <phoneticPr fontId="140" type="noConversion"/>
  </si>
  <si>
    <t>3-201</t>
    <phoneticPr fontId="140" type="noConversion"/>
  </si>
  <si>
    <t>3-202</t>
    <phoneticPr fontId="140" type="noConversion"/>
  </si>
  <si>
    <t>3-301</t>
    <phoneticPr fontId="140" type="noConversion"/>
  </si>
  <si>
    <t>3-302</t>
    <phoneticPr fontId="140" type="noConversion"/>
  </si>
  <si>
    <t>3-401</t>
    <phoneticPr fontId="140" type="noConversion"/>
  </si>
  <si>
    <t>3-402</t>
    <phoneticPr fontId="140" type="noConversion"/>
  </si>
  <si>
    <t>3-501</t>
    <phoneticPr fontId="140" type="noConversion"/>
  </si>
  <si>
    <t>3-502</t>
    <phoneticPr fontId="140" type="noConversion"/>
  </si>
  <si>
    <t>3-601</t>
    <phoneticPr fontId="140" type="noConversion"/>
  </si>
  <si>
    <t>3-602</t>
    <phoneticPr fontId="140" type="noConversion"/>
  </si>
  <si>
    <t>3-701</t>
    <phoneticPr fontId="140" type="noConversion"/>
  </si>
  <si>
    <t>3-702</t>
    <phoneticPr fontId="140" type="noConversion"/>
  </si>
  <si>
    <t>3-801</t>
    <phoneticPr fontId="140" type="noConversion"/>
  </si>
  <si>
    <t>3-802</t>
    <phoneticPr fontId="140" type="noConversion"/>
  </si>
  <si>
    <t>3-901</t>
    <phoneticPr fontId="140" type="noConversion"/>
  </si>
  <si>
    <t>3-902</t>
    <phoneticPr fontId="140" type="noConversion"/>
  </si>
  <si>
    <t>3-1001</t>
    <phoneticPr fontId="140" type="noConversion"/>
  </si>
  <si>
    <t>3-1002</t>
    <phoneticPr fontId="140" type="noConversion"/>
  </si>
  <si>
    <t>3-1101</t>
    <phoneticPr fontId="140" type="noConversion"/>
  </si>
  <si>
    <t>3-1102</t>
    <phoneticPr fontId="140" type="noConversion"/>
  </si>
  <si>
    <t>项目</t>
  </si>
  <si>
    <t>小区</t>
  </si>
  <si>
    <t>楼栋</t>
  </si>
  <si>
    <t>房号</t>
  </si>
  <si>
    <t>建筑面积
(㎡)</t>
  </si>
  <si>
    <r>
      <t>1</t>
    </r>
    <r>
      <rPr>
        <sz val="11"/>
        <color theme="1"/>
        <rFont val="宋体"/>
        <family val="3"/>
        <charset val="134"/>
        <scheme val="minor"/>
      </rPr>
      <t>6号楼</t>
    </r>
    <phoneticPr fontId="140" type="noConversion"/>
  </si>
  <si>
    <t>25-1-201</t>
  </si>
  <si>
    <t>25-1-301</t>
  </si>
  <si>
    <t>25-1-401</t>
  </si>
  <si>
    <t>25-1-501</t>
  </si>
  <si>
    <t>25-1-601</t>
  </si>
  <si>
    <t>25-1-701</t>
  </si>
  <si>
    <t>25-1-801</t>
  </si>
  <si>
    <t>25-1-901</t>
  </si>
  <si>
    <t>25-1-1001</t>
  </si>
  <si>
    <t>25-1-1101</t>
  </si>
  <si>
    <t>25-1-202</t>
  </si>
  <si>
    <t>25-1-302</t>
  </si>
  <si>
    <t>25-1-402</t>
  </si>
  <si>
    <t>25-1-502</t>
  </si>
  <si>
    <t>25-1-602</t>
  </si>
  <si>
    <t>25-1-702</t>
  </si>
  <si>
    <t>25-1-802</t>
  </si>
  <si>
    <t>25-1-902</t>
  </si>
  <si>
    <t>25-1-1002</t>
  </si>
  <si>
    <t>25-1-1102</t>
  </si>
  <si>
    <t>25-2-201</t>
  </si>
  <si>
    <t>25-2-301</t>
  </si>
  <si>
    <t>25-2-401</t>
  </si>
  <si>
    <t>25-2-501</t>
  </si>
  <si>
    <t>25-2-601</t>
  </si>
  <si>
    <t>25-2-701</t>
  </si>
  <si>
    <t>25-2-801</t>
  </si>
  <si>
    <t>25-2-901</t>
  </si>
  <si>
    <t>25-2-1001</t>
  </si>
  <si>
    <t>25-2-1101</t>
  </si>
  <si>
    <t>25-2-202</t>
  </si>
  <si>
    <t>25-2-302</t>
  </si>
  <si>
    <t>25-2-402</t>
  </si>
  <si>
    <t>25-2-502</t>
  </si>
  <si>
    <t>25-2-602</t>
  </si>
  <si>
    <t>25-2-702</t>
  </si>
  <si>
    <t>25-2-802</t>
  </si>
  <si>
    <t>25-2-902</t>
  </si>
  <si>
    <t>25-2-1002</t>
  </si>
  <si>
    <t>25-2-1102</t>
  </si>
  <si>
    <t>26-1-401</t>
  </si>
  <si>
    <t>26-1-402</t>
  </si>
  <si>
    <t>26-1-403</t>
  </si>
  <si>
    <t>26-1-404</t>
  </si>
  <si>
    <t>26-1-501</t>
  </si>
  <si>
    <t>26-1-502</t>
  </si>
  <si>
    <t>26-1-503</t>
  </si>
  <si>
    <t>26-1-504</t>
  </si>
  <si>
    <t>26-1-601</t>
  </si>
  <si>
    <t>26-1-602</t>
  </si>
  <si>
    <t>26-1-603</t>
  </si>
  <si>
    <t>26-1-604</t>
  </si>
  <si>
    <t>26-1-701</t>
  </si>
  <si>
    <t>26-1-702</t>
  </si>
  <si>
    <t>26-1-703</t>
  </si>
  <si>
    <t>26-1-704</t>
  </si>
  <si>
    <t>26-1-801</t>
  </si>
  <si>
    <t>26-1-802</t>
  </si>
  <si>
    <t>26-1-803</t>
  </si>
  <si>
    <t>26-1-804</t>
  </si>
  <si>
    <t>26-1-901</t>
  </si>
  <si>
    <t>26-1-902</t>
  </si>
  <si>
    <t>26-1-903</t>
  </si>
  <si>
    <t>26-1-904</t>
  </si>
  <si>
    <t>26-1-1001</t>
  </si>
  <si>
    <t>26-1-1002</t>
  </si>
  <si>
    <t>26-1-1003</t>
  </si>
  <si>
    <t>26-1-1004</t>
  </si>
  <si>
    <t>26-1-1101</t>
  </si>
  <si>
    <t>26-1-1102</t>
  </si>
  <si>
    <t>26-1-1103</t>
  </si>
  <si>
    <t>26-1-1104</t>
  </si>
  <si>
    <t>26-1-1201</t>
  </si>
  <si>
    <t>26-1-1202</t>
  </si>
  <si>
    <t>26-1-1203</t>
  </si>
  <si>
    <t>26-1-1204</t>
  </si>
  <si>
    <t>26-1-1301</t>
  </si>
  <si>
    <t>26-1-1302</t>
  </si>
  <si>
    <t>26-1-1303</t>
  </si>
  <si>
    <t>26-1-1304</t>
  </si>
  <si>
    <t>26-1-1401</t>
  </si>
  <si>
    <t>26-1-1402</t>
  </si>
  <si>
    <t>26-1-1403</t>
  </si>
  <si>
    <t>26-1-1404</t>
  </si>
  <si>
    <t>26-1-1501</t>
  </si>
  <si>
    <t>26-1-1502</t>
  </si>
  <si>
    <t>26-1-1503</t>
  </si>
  <si>
    <t>26-1-1504</t>
  </si>
  <si>
    <t>26-1-1601</t>
  </si>
  <si>
    <t>26-1-1602</t>
  </si>
  <si>
    <t>26-1-1603</t>
  </si>
  <si>
    <t>26-1-1604</t>
  </si>
  <si>
    <t>26-1-1701</t>
  </si>
  <si>
    <t>26-1-1702</t>
  </si>
  <si>
    <t>26-1-1703</t>
  </si>
  <si>
    <t>26-1-1704</t>
  </si>
  <si>
    <t>26-1-1801</t>
  </si>
  <si>
    <t>26-1-1802</t>
  </si>
  <si>
    <t>26-1-1803</t>
  </si>
  <si>
    <t>26-1-1804</t>
  </si>
  <si>
    <t>26-1-1901</t>
  </si>
  <si>
    <t>26-1-1902</t>
  </si>
  <si>
    <t>26-1-1903</t>
  </si>
  <si>
    <t>26-1-1904</t>
  </si>
  <si>
    <t>26-1-2001</t>
  </si>
  <si>
    <t>26-1-2002</t>
  </si>
  <si>
    <t>26-1-2003</t>
  </si>
  <si>
    <t>26-1-2004</t>
  </si>
  <si>
    <t>26-1-2101</t>
  </si>
  <si>
    <t>26-1-2102</t>
  </si>
  <si>
    <t>26-1-2103</t>
  </si>
  <si>
    <t>26-1-2104</t>
  </si>
  <si>
    <t>26-1-2201</t>
  </si>
  <si>
    <t>26-1-2202</t>
  </si>
  <si>
    <t>26-1-2203</t>
  </si>
  <si>
    <t>26-1-2204</t>
  </si>
  <si>
    <t>26-1-2301</t>
  </si>
  <si>
    <t>26-1-2302</t>
  </si>
  <si>
    <t>26-1-2303</t>
  </si>
  <si>
    <t>26-1-2304</t>
  </si>
  <si>
    <t>26-1-2401</t>
  </si>
  <si>
    <t>26-1-2402</t>
  </si>
  <si>
    <t>26-1-2403</t>
  </si>
  <si>
    <t>26-1-2404</t>
  </si>
  <si>
    <t>26-1-2501</t>
  </si>
  <si>
    <t>26-1-2502</t>
  </si>
  <si>
    <t>26-1-2503</t>
  </si>
  <si>
    <t>26-1-2504</t>
  </si>
  <si>
    <t>26-1-2601</t>
  </si>
  <si>
    <t>26-1-2602</t>
  </si>
  <si>
    <t>26-1-2603</t>
  </si>
  <si>
    <t>26-1-2604</t>
  </si>
  <si>
    <t>26-1-2701</t>
  </si>
  <si>
    <t>26-1-2702</t>
  </si>
  <si>
    <t>26-1-2703</t>
  </si>
  <si>
    <t>26-1-2704</t>
  </si>
  <si>
    <t>26-1-2801</t>
  </si>
  <si>
    <t>26-1-2802</t>
  </si>
  <si>
    <t>26-1-2803</t>
  </si>
  <si>
    <t>26-1-2804</t>
  </si>
  <si>
    <t>26-1-2901</t>
  </si>
  <si>
    <t>26-1-2902</t>
  </si>
  <si>
    <t>26-1-2903</t>
  </si>
  <si>
    <t>26-1-2904</t>
  </si>
  <si>
    <t>26-1-3001</t>
  </si>
  <si>
    <t>26-1-3002</t>
  </si>
  <si>
    <t>26-1-3003</t>
  </si>
  <si>
    <t>26-1-3004</t>
  </si>
  <si>
    <t>26-1-3101</t>
  </si>
  <si>
    <t>26-1-3102</t>
  </si>
  <si>
    <t>26-1-3103</t>
  </si>
  <si>
    <t>26-1-3104</t>
  </si>
  <si>
    <t>26-1-3201</t>
  </si>
  <si>
    <t>26-1-3202</t>
  </si>
  <si>
    <t>26-1-3203</t>
  </si>
  <si>
    <t>26-1-3204</t>
  </si>
  <si>
    <t>27-1-201</t>
  </si>
  <si>
    <t>27-1-202</t>
  </si>
  <si>
    <t>27-1-203</t>
  </si>
  <si>
    <t>27-1-204</t>
  </si>
  <si>
    <t>27-1-301</t>
  </si>
  <si>
    <t>27-1-302</t>
  </si>
  <si>
    <t>27-1-303</t>
  </si>
  <si>
    <t>27-1-304</t>
  </si>
  <si>
    <t>27-1-401</t>
  </si>
  <si>
    <t>27-1-402</t>
  </si>
  <si>
    <t>27-1-403</t>
  </si>
  <si>
    <t>27-1-404</t>
  </si>
  <si>
    <t>27-1-501</t>
  </si>
  <si>
    <t>27-1-502</t>
  </si>
  <si>
    <t>27-1-503</t>
  </si>
  <si>
    <t>27-1-504</t>
  </si>
  <si>
    <t>27-1-601</t>
  </si>
  <si>
    <t>27-1-602</t>
  </si>
  <si>
    <t>27-1-603</t>
  </si>
  <si>
    <t>27-1-604</t>
  </si>
  <si>
    <t>27-1-701</t>
  </si>
  <si>
    <t>27-1-702</t>
  </si>
  <si>
    <t>27-1-703</t>
  </si>
  <si>
    <t>27-1-704</t>
  </si>
  <si>
    <t>27-1-801</t>
  </si>
  <si>
    <t>27-1-802</t>
  </si>
  <si>
    <t>27-1-803</t>
  </si>
  <si>
    <t>27-1-804</t>
  </si>
  <si>
    <t>27-1-901</t>
  </si>
  <si>
    <t>27-1-902</t>
  </si>
  <si>
    <t>27-1-903</t>
  </si>
  <si>
    <t>27-1-904</t>
  </si>
  <si>
    <t>27-1-1001</t>
  </si>
  <si>
    <t>27-1-1002</t>
  </si>
  <si>
    <t>27-1-1003</t>
  </si>
  <si>
    <t>27-1-1004</t>
  </si>
  <si>
    <t>27-1-1101</t>
  </si>
  <si>
    <t>27-1-1102</t>
  </si>
  <si>
    <t>27-1-1103</t>
  </si>
  <si>
    <t>27-1-1104</t>
  </si>
  <si>
    <t>27-1-1201</t>
  </si>
  <si>
    <t>27-1-1202</t>
  </si>
  <si>
    <t>27-1-1203</t>
  </si>
  <si>
    <t>27-1-1204</t>
  </si>
  <si>
    <t>27-1-1301</t>
  </si>
  <si>
    <t>27-1-1302</t>
  </si>
  <si>
    <t>27-1-1303</t>
  </si>
  <si>
    <t>27-1-1304</t>
  </si>
  <si>
    <t>27-1-1401</t>
  </si>
  <si>
    <t>27-1-1402</t>
  </si>
  <si>
    <t>27-1-1403</t>
  </si>
  <si>
    <t>27-1-1404</t>
  </si>
  <si>
    <t>27-1-1501</t>
  </si>
  <si>
    <t>27-1-1502</t>
  </si>
  <si>
    <t>27-1-1503</t>
  </si>
  <si>
    <t>27-1-1504</t>
  </si>
  <si>
    <t>27-1-1601</t>
  </si>
  <si>
    <t>27-1-1602</t>
  </si>
  <si>
    <t>27-1-1603</t>
  </si>
  <si>
    <t>27-1-1604</t>
  </si>
  <si>
    <t>27-1-1701</t>
  </si>
  <si>
    <t>27-1-1702</t>
  </si>
  <si>
    <t>27-1-1703</t>
  </si>
  <si>
    <t>27-1-1704</t>
  </si>
  <si>
    <t>27-1-1801</t>
  </si>
  <si>
    <t>27-1-1802</t>
  </si>
  <si>
    <t>27-1-1803</t>
  </si>
  <si>
    <t>27-1-1804</t>
  </si>
  <si>
    <t>27-1-1901</t>
  </si>
  <si>
    <t>27-1-1902</t>
  </si>
  <si>
    <t>27-1-1903</t>
  </si>
  <si>
    <t>27-1-1904</t>
  </si>
  <si>
    <t>27-1-2001</t>
  </si>
  <si>
    <t>27-1-2002</t>
  </si>
  <si>
    <t>27-1-2003</t>
  </si>
  <si>
    <t>27-1-2004</t>
  </si>
  <si>
    <t>27-1-2101</t>
  </si>
  <si>
    <t>27-1-2102</t>
  </si>
  <si>
    <t>27-1-2103</t>
  </si>
  <si>
    <t>27-1-2104</t>
  </si>
  <si>
    <t>27-1-2201</t>
  </si>
  <si>
    <t>27-1-2202</t>
  </si>
  <si>
    <t>27-1-2203</t>
  </si>
  <si>
    <t>27-1-2204</t>
  </si>
  <si>
    <t>27-1-2301</t>
  </si>
  <si>
    <t>27-1-2302</t>
  </si>
  <si>
    <t>27-1-2303</t>
  </si>
  <si>
    <t>27-1-2304</t>
  </si>
  <si>
    <t>27-1-2401</t>
  </si>
  <si>
    <t>27-1-2402</t>
  </si>
  <si>
    <t>27-1-2403</t>
  </si>
  <si>
    <t>27-1-2404</t>
  </si>
  <si>
    <t>27-1-2501</t>
  </si>
  <si>
    <t>27-1-2502</t>
  </si>
  <si>
    <t>27-1-2503</t>
  </si>
  <si>
    <t>27-1-2504</t>
  </si>
  <si>
    <t>27-1-2601</t>
  </si>
  <si>
    <t>27-1-2602</t>
  </si>
  <si>
    <t>27-1-2603</t>
  </si>
  <si>
    <t>27-1-2604</t>
  </si>
  <si>
    <t>27-1-2701</t>
  </si>
  <si>
    <t>27-1-2702</t>
  </si>
  <si>
    <t>27-1-2703</t>
  </si>
  <si>
    <t>27-1-2704</t>
  </si>
  <si>
    <t>27-1-2801</t>
  </si>
  <si>
    <t>27-1-2802</t>
  </si>
  <si>
    <t>27-1-2803</t>
  </si>
  <si>
    <t>27-1-2804</t>
  </si>
  <si>
    <t>27-1-2901</t>
  </si>
  <si>
    <t>27-1-2902</t>
  </si>
  <si>
    <t>27-1-2903</t>
  </si>
  <si>
    <t>27-1-2904</t>
  </si>
  <si>
    <t>27-1-3001</t>
  </si>
  <si>
    <t>27-1-3002</t>
  </si>
  <si>
    <t>27-1-3003</t>
  </si>
  <si>
    <t>27-1-3004</t>
  </si>
  <si>
    <t>27-1-3101</t>
  </si>
  <si>
    <t>27-1-3102</t>
  </si>
  <si>
    <t>27-1-3103</t>
  </si>
  <si>
    <t>27-1-3104</t>
  </si>
  <si>
    <t>27-1-3201</t>
  </si>
  <si>
    <t>27-1-3202</t>
  </si>
  <si>
    <t>27-1-3203</t>
  </si>
  <si>
    <t>27-1-3204</t>
  </si>
  <si>
    <t>28-1-301</t>
  </si>
  <si>
    <t>28-1-302</t>
  </si>
  <si>
    <t>28-1-303</t>
  </si>
  <si>
    <t>28-1-304</t>
  </si>
  <si>
    <t>28-1-401</t>
  </si>
  <si>
    <t>28-1-402</t>
  </si>
  <si>
    <t>28-1-403</t>
  </si>
  <si>
    <t>28-1-404</t>
  </si>
  <si>
    <t>28-1-501</t>
  </si>
  <si>
    <t>28-1-502</t>
  </si>
  <si>
    <t>28-1-503</t>
  </si>
  <si>
    <t>28-1-504</t>
  </si>
  <si>
    <t>28-1-601</t>
  </si>
  <si>
    <t>28-1-602</t>
  </si>
  <si>
    <t>28-1-603</t>
  </si>
  <si>
    <t>28-1-604</t>
  </si>
  <si>
    <t>28-1-701</t>
  </si>
  <si>
    <t>28-1-702</t>
  </si>
  <si>
    <t>28-1-703</t>
  </si>
  <si>
    <t>28-1-704</t>
  </si>
  <si>
    <t>28-1-801</t>
  </si>
  <si>
    <t>28-1-802</t>
  </si>
  <si>
    <t>28-1-803</t>
  </si>
  <si>
    <t>28-1-804</t>
  </si>
  <si>
    <t>28-1-901</t>
  </si>
  <si>
    <t>28-1-902</t>
  </si>
  <si>
    <t>28-1-903</t>
  </si>
  <si>
    <t>28-1-904</t>
  </si>
  <si>
    <t>28-1-1001</t>
  </si>
  <si>
    <t>28-1-1002</t>
  </si>
  <si>
    <t>28-1-1003</t>
  </si>
  <si>
    <t>28-1-1004</t>
  </si>
  <si>
    <t>28-1-1101</t>
  </si>
  <si>
    <t>28-1-1102</t>
  </si>
  <si>
    <t>28-1-1103</t>
  </si>
  <si>
    <t>28-1-1104</t>
  </si>
  <si>
    <t>28-1-1201</t>
  </si>
  <si>
    <t>28-1-1202</t>
  </si>
  <si>
    <t>28-1-1203</t>
  </si>
  <si>
    <t>28-1-1204</t>
  </si>
  <si>
    <t>28-1-1301</t>
  </si>
  <si>
    <t>28-1-1302</t>
  </si>
  <si>
    <t>28-1-1303</t>
  </si>
  <si>
    <t>28-1-1304</t>
  </si>
  <si>
    <t>28-1-1401</t>
  </si>
  <si>
    <t>28-1-1402</t>
  </si>
  <si>
    <t>28-1-1403</t>
  </si>
  <si>
    <t>28-1-1404</t>
  </si>
  <si>
    <t>28-1-1501</t>
  </si>
  <si>
    <t>28-1-1502</t>
  </si>
  <si>
    <t>28-1-1503</t>
  </si>
  <si>
    <t>28-1-1504</t>
  </si>
  <si>
    <t>28-1-1601</t>
  </si>
  <si>
    <t>28-1-1602</t>
  </si>
  <si>
    <t>28-1-1603</t>
  </si>
  <si>
    <t>28-1-1604</t>
  </si>
  <si>
    <t>28-1-1701</t>
  </si>
  <si>
    <t>28-1-1702</t>
  </si>
  <si>
    <t>28-1-1703</t>
  </si>
  <si>
    <t>28-1-1704</t>
  </si>
  <si>
    <t>28-1-1801</t>
  </si>
  <si>
    <t>28-1-1802</t>
  </si>
  <si>
    <t>28-1-1803</t>
  </si>
  <si>
    <t>28-1-1804</t>
  </si>
  <si>
    <t>28-1-1901</t>
  </si>
  <si>
    <t>28-1-1902</t>
  </si>
  <si>
    <t>28-1-1903</t>
  </si>
  <si>
    <t>28-1-1904</t>
  </si>
  <si>
    <t>28-1-2001</t>
  </si>
  <si>
    <t>28-1-2002</t>
  </si>
  <si>
    <t>28-1-2003</t>
  </si>
  <si>
    <t>28-1-2004</t>
  </si>
  <si>
    <t>28-1-2101</t>
  </si>
  <si>
    <t>28-1-2102</t>
  </si>
  <si>
    <t>28-1-2103</t>
  </si>
  <si>
    <t>28-1-2104</t>
  </si>
  <si>
    <t>28-1-2201</t>
  </si>
  <si>
    <t>28-1-2202</t>
  </si>
  <si>
    <t>28-1-2203</t>
  </si>
  <si>
    <t>28-1-2204</t>
  </si>
  <si>
    <t>28-1-2301</t>
  </si>
  <si>
    <t>28-1-2302</t>
  </si>
  <si>
    <t>28-1-2303</t>
  </si>
  <si>
    <t>28-1-2304</t>
  </si>
  <si>
    <t>28-1-2401</t>
  </si>
  <si>
    <t>28-1-2402</t>
  </si>
  <si>
    <t>28-1-2403</t>
  </si>
  <si>
    <t>28-1-2404</t>
  </si>
  <si>
    <t>28-1-2501</t>
  </si>
  <si>
    <t>28-1-2502</t>
  </si>
  <si>
    <t>28-1-2503</t>
  </si>
  <si>
    <t>28-1-2504</t>
  </si>
  <si>
    <t>28-1-2601</t>
  </si>
  <si>
    <t>28-1-2602</t>
  </si>
  <si>
    <t>28-1-2603</t>
  </si>
  <si>
    <t>28-1-2604</t>
  </si>
  <si>
    <t>28-1-2701</t>
  </si>
  <si>
    <t>28-1-2702</t>
  </si>
  <si>
    <t>28-1-2703</t>
  </si>
  <si>
    <t>28-1-2704</t>
  </si>
  <si>
    <t>28-1-2801</t>
  </si>
  <si>
    <t>28-1-2802</t>
  </si>
  <si>
    <t>28-1-2803</t>
  </si>
  <si>
    <t>28-1-2804</t>
  </si>
  <si>
    <t>28-1-2901</t>
  </si>
  <si>
    <t>28-1-2902</t>
  </si>
  <si>
    <t>28-1-2903</t>
  </si>
  <si>
    <t>28-1-2904</t>
  </si>
  <si>
    <t>28-1-3001</t>
  </si>
  <si>
    <t>28-1-3002</t>
  </si>
  <si>
    <t>28-1-3003</t>
  </si>
  <si>
    <t>28-1-3004</t>
  </si>
  <si>
    <t>28-1-3101</t>
  </si>
  <si>
    <t>28-1-3102</t>
  </si>
  <si>
    <t>28-1-3103</t>
  </si>
  <si>
    <t>28-1-3104</t>
  </si>
  <si>
    <t>28-1-3201</t>
  </si>
  <si>
    <t>28-1-3202</t>
  </si>
  <si>
    <t>28-1-3203</t>
  </si>
  <si>
    <t>28-1-3204</t>
  </si>
  <si>
    <r>
      <t>1</t>
    </r>
    <r>
      <rPr>
        <sz val="11"/>
        <color theme="1"/>
        <rFont val="宋体"/>
        <family val="3"/>
        <charset val="134"/>
        <scheme val="minor"/>
      </rPr>
      <t>7号楼</t>
    </r>
    <phoneticPr fontId="140" type="noConversion"/>
  </si>
  <si>
    <r>
      <t>1</t>
    </r>
    <r>
      <rPr>
        <sz val="11"/>
        <color theme="1"/>
        <rFont val="宋体"/>
        <family val="3"/>
        <charset val="134"/>
        <scheme val="minor"/>
      </rPr>
      <t>8号楼</t>
    </r>
    <phoneticPr fontId="140" type="noConversion"/>
  </si>
  <si>
    <r>
      <t>1</t>
    </r>
    <r>
      <rPr>
        <sz val="11"/>
        <color theme="1"/>
        <rFont val="宋体"/>
        <family val="3"/>
        <charset val="134"/>
        <scheme val="minor"/>
      </rPr>
      <t>9号楼</t>
    </r>
    <phoneticPr fontId="140" type="noConversion"/>
  </si>
  <si>
    <t>小高层</t>
    <phoneticPr fontId="140" type="noConversion"/>
  </si>
  <si>
    <r>
      <t>2</t>
    </r>
    <r>
      <rPr>
        <sz val="11"/>
        <color theme="1"/>
        <rFont val="宋体"/>
        <family val="3"/>
        <charset val="134"/>
        <scheme val="minor"/>
      </rPr>
      <t>0号楼</t>
    </r>
    <phoneticPr fontId="140" type="noConversion"/>
  </si>
  <si>
    <r>
      <t>2</t>
    </r>
    <r>
      <rPr>
        <sz val="11"/>
        <color theme="1"/>
        <rFont val="宋体"/>
        <family val="3"/>
        <charset val="134"/>
        <scheme val="minor"/>
      </rPr>
      <t>1号楼</t>
    </r>
    <phoneticPr fontId="140" type="noConversion"/>
  </si>
  <si>
    <r>
      <t>2</t>
    </r>
    <r>
      <rPr>
        <sz val="11"/>
        <color theme="1"/>
        <rFont val="宋体"/>
        <family val="3"/>
        <charset val="134"/>
        <scheme val="minor"/>
      </rPr>
      <t>2号楼</t>
    </r>
    <phoneticPr fontId="140" type="noConversion"/>
  </si>
  <si>
    <r>
      <t>2</t>
    </r>
    <r>
      <rPr>
        <sz val="11"/>
        <color theme="1"/>
        <rFont val="宋体"/>
        <family val="3"/>
        <charset val="134"/>
        <scheme val="minor"/>
      </rPr>
      <t>3号楼</t>
    </r>
    <phoneticPr fontId="140" type="noConversion"/>
  </si>
  <si>
    <r>
      <t>2</t>
    </r>
    <r>
      <rPr>
        <sz val="11"/>
        <color theme="1"/>
        <rFont val="宋体"/>
        <family val="3"/>
        <charset val="134"/>
        <scheme val="minor"/>
      </rPr>
      <t>4号楼</t>
    </r>
    <phoneticPr fontId="140" type="noConversion"/>
  </si>
  <si>
    <r>
      <t>2</t>
    </r>
    <r>
      <rPr>
        <sz val="11"/>
        <color theme="1"/>
        <rFont val="宋体"/>
        <family val="3"/>
        <charset val="134"/>
        <scheme val="minor"/>
      </rPr>
      <t>5号楼</t>
    </r>
    <phoneticPr fontId="140" type="noConversion"/>
  </si>
  <si>
    <r>
      <t>2</t>
    </r>
    <r>
      <rPr>
        <sz val="11"/>
        <color theme="1"/>
        <rFont val="宋体"/>
        <family val="3"/>
        <charset val="134"/>
        <scheme val="minor"/>
      </rPr>
      <t>6号楼</t>
    </r>
    <phoneticPr fontId="140" type="noConversion"/>
  </si>
  <si>
    <r>
      <t>2</t>
    </r>
    <r>
      <rPr>
        <sz val="11"/>
        <color theme="1"/>
        <rFont val="宋体"/>
        <family val="3"/>
        <charset val="134"/>
        <scheme val="minor"/>
      </rPr>
      <t>7号楼</t>
    </r>
    <phoneticPr fontId="140" type="noConversion"/>
  </si>
  <si>
    <r>
      <t>2</t>
    </r>
    <r>
      <rPr>
        <sz val="11"/>
        <color theme="1"/>
        <rFont val="宋体"/>
        <family val="3"/>
        <charset val="134"/>
        <scheme val="minor"/>
      </rPr>
      <t>8号楼</t>
    </r>
    <phoneticPr fontId="140" type="noConversion"/>
  </si>
  <si>
    <t>配套</t>
    <phoneticPr fontId="140" type="noConversion"/>
  </si>
  <si>
    <t>已售高层</t>
    <phoneticPr fontId="140" type="noConversion"/>
  </si>
  <si>
    <t>德海道102号</t>
  </si>
  <si>
    <t>德海道242号</t>
    <phoneticPr fontId="140" type="noConversion"/>
  </si>
  <si>
    <t>配建4</t>
  </si>
  <si>
    <t>配建7</t>
  </si>
  <si>
    <t>配建8</t>
  </si>
  <si>
    <t>配建11</t>
  </si>
  <si>
    <t>2-101</t>
  </si>
  <si>
    <t>3-101</t>
  </si>
  <si>
    <t>4-101</t>
  </si>
  <si>
    <t>德海道100号</t>
  </si>
  <si>
    <t>德海道108号</t>
  </si>
  <si>
    <t>德海道112号</t>
  </si>
  <si>
    <t>德海道116号</t>
  </si>
  <si>
    <t>德海道120号</t>
  </si>
  <si>
    <t>德海道124号</t>
  </si>
  <si>
    <t>德海道128号</t>
  </si>
  <si>
    <t>德海道132号</t>
  </si>
  <si>
    <t>德海道136号</t>
  </si>
  <si>
    <t>德海道142号</t>
  </si>
  <si>
    <t>德海道146号</t>
  </si>
  <si>
    <t>德海道92号</t>
  </si>
  <si>
    <t>德海道96号</t>
  </si>
  <si>
    <t>德海道162号</t>
  </si>
  <si>
    <t>德海道166号</t>
  </si>
  <si>
    <t>德海道168号</t>
  </si>
  <si>
    <t>德海道172号</t>
  </si>
  <si>
    <t>德海道176号</t>
  </si>
  <si>
    <t>德海道180号</t>
  </si>
  <si>
    <t>德海道182号</t>
  </si>
  <si>
    <t>德海道186号</t>
  </si>
  <si>
    <t>德海道192号</t>
  </si>
  <si>
    <t>德海道194号</t>
  </si>
  <si>
    <t>德海道198号</t>
  </si>
  <si>
    <t>德海道202号</t>
  </si>
  <si>
    <t>德海道204号</t>
  </si>
  <si>
    <t>德海道208号</t>
  </si>
  <si>
    <t>德海道212号</t>
  </si>
  <si>
    <t>德海道214号</t>
  </si>
  <si>
    <t>德海道218号</t>
  </si>
  <si>
    <t>德海道222号</t>
  </si>
  <si>
    <t>德海道226号</t>
  </si>
  <si>
    <t>德海道228号</t>
  </si>
  <si>
    <t>德海道232号</t>
  </si>
  <si>
    <t>德海道236号</t>
  </si>
  <si>
    <t>德海道238号</t>
  </si>
  <si>
    <t>德海道242号</t>
  </si>
  <si>
    <t>德海道262号</t>
  </si>
  <si>
    <t>德海道266号</t>
  </si>
  <si>
    <t>德海道272号</t>
  </si>
  <si>
    <t>德海道276号</t>
  </si>
  <si>
    <t>德海道280号</t>
  </si>
  <si>
    <t>德海道282号</t>
  </si>
  <si>
    <t>德海道286号</t>
  </si>
  <si>
    <t>德海道288号</t>
  </si>
  <si>
    <t>德海道292号</t>
  </si>
  <si>
    <t>德海道296号</t>
  </si>
  <si>
    <t>德海道298号</t>
  </si>
  <si>
    <t>德海道302号</t>
  </si>
  <si>
    <t>德海道306号</t>
  </si>
  <si>
    <t>庆盛道1775</t>
  </si>
  <si>
    <t>庆盛道1785</t>
  </si>
  <si>
    <t>庆盛道1791</t>
  </si>
  <si>
    <t>庆盛道1799</t>
  </si>
  <si>
    <t>庆盛道1803</t>
  </si>
  <si>
    <t>庆盛道1813</t>
  </si>
  <si>
    <t>庆盛道1817</t>
  </si>
  <si>
    <t>德海道312号</t>
  </si>
  <si>
    <t>德海道320号</t>
  </si>
  <si>
    <t>德海道322号</t>
  </si>
  <si>
    <t>德海道328号</t>
  </si>
  <si>
    <t>德海道332号</t>
  </si>
  <si>
    <t>德海道338号</t>
  </si>
  <si>
    <t>5,9-101</t>
  </si>
  <si>
    <t>6-101</t>
  </si>
  <si>
    <t>7-101</t>
  </si>
  <si>
    <t>8-101</t>
  </si>
  <si>
    <t>庆盛道1715</t>
  </si>
  <si>
    <t>庆盛道1721</t>
  </si>
  <si>
    <t>庆盛道1729</t>
  </si>
  <si>
    <t>庆盛道1733</t>
  </si>
  <si>
    <t>庆盛道1739</t>
  </si>
  <si>
    <t>庆盛道1745</t>
  </si>
  <si>
    <t>庆盛道1755</t>
  </si>
  <si>
    <t>庆盛道1765</t>
  </si>
  <si>
    <t>庆盛道1769</t>
  </si>
  <si>
    <t>庆盛道1773</t>
  </si>
  <si>
    <t>2,6-101</t>
  </si>
  <si>
    <t>3、4-101</t>
  </si>
  <si>
    <t>8、9、17-101</t>
  </si>
  <si>
    <t>5-101</t>
  </si>
  <si>
    <t>配建1</t>
  </si>
  <si>
    <t>配建5</t>
  </si>
  <si>
    <t>配建10</t>
  </si>
  <si>
    <t>配建6</t>
  </si>
  <si>
    <t>配建9</t>
  </si>
  <si>
    <t>序号</t>
    <phoneticPr fontId="140" type="noConversion"/>
  </si>
  <si>
    <t>建筑面积
(㎡)</t>
    <phoneticPr fontId="140" type="noConversion"/>
  </si>
  <si>
    <t>物业类型</t>
    <phoneticPr fontId="140" type="noConversion"/>
  </si>
  <si>
    <t>房地产单价(元/㎡)</t>
    <phoneticPr fontId="140" type="noConversion"/>
  </si>
  <si>
    <t>房地产总价（万元)</t>
    <phoneticPr fontId="140" type="noConversion"/>
  </si>
  <si>
    <r>
      <t>商业1</t>
    </r>
    <r>
      <rPr>
        <sz val="11"/>
        <color theme="1"/>
        <rFont val="宋体"/>
        <family val="3"/>
        <charset val="134"/>
        <scheme val="minor"/>
      </rPr>
      <t>-2层</t>
    </r>
    <phoneticPr fontId="140" type="noConversion"/>
  </si>
  <si>
    <r>
      <t>商业1</t>
    </r>
    <r>
      <rPr>
        <sz val="11"/>
        <color theme="1"/>
        <rFont val="宋体"/>
        <family val="3"/>
        <charset val="134"/>
        <scheme val="minor"/>
      </rPr>
      <t>层</t>
    </r>
    <phoneticPr fontId="140" type="noConversion"/>
  </si>
  <si>
    <t>商业</t>
    <phoneticPr fontId="140" type="noConversion"/>
  </si>
  <si>
    <t>办公</t>
    <phoneticPr fontId="140" type="noConversion"/>
  </si>
  <si>
    <t>物业管理</t>
    <phoneticPr fontId="140" type="noConversion"/>
  </si>
  <si>
    <t>居委会</t>
    <phoneticPr fontId="140" type="noConversion"/>
  </si>
  <si>
    <t>社区服务</t>
    <phoneticPr fontId="140" type="noConversion"/>
  </si>
  <si>
    <t>托老所 跃层</t>
    <phoneticPr fontId="140" type="noConversion"/>
  </si>
  <si>
    <t>配建</t>
    <phoneticPr fontId="140" type="noConversion"/>
  </si>
  <si>
    <t>幼儿园、跃层</t>
    <phoneticPr fontId="140" type="noConversion"/>
  </si>
  <si>
    <t>变电站</t>
    <phoneticPr fontId="140" type="noConversion"/>
  </si>
  <si>
    <t>商业2层</t>
  </si>
  <si>
    <t>商业2层</t>
    <phoneticPr fontId="140" type="noConversion"/>
  </si>
  <si>
    <t>地下车库</t>
    <phoneticPr fontId="140" type="noConversion"/>
  </si>
  <si>
    <t>容积率</t>
    <phoneticPr fontId="140" type="noConversion"/>
  </si>
  <si>
    <t>土地面积</t>
    <phoneticPr fontId="140" type="noConversion"/>
  </si>
  <si>
    <t>抵押</t>
  </si>
  <si>
    <t>房地产抵押价值</t>
  </si>
  <si>
    <t>其他：</t>
  </si>
  <si>
    <t>企业</t>
  </si>
  <si>
    <t>出让</t>
  </si>
  <si>
    <t>誉峰园</t>
    <phoneticPr fontId="140" type="noConversion"/>
  </si>
  <si>
    <t>车库及设备</t>
    <phoneticPr fontId="140" type="noConversion"/>
  </si>
  <si>
    <t>在建总表</t>
    <phoneticPr fontId="140" type="noConversion"/>
  </si>
  <si>
    <t>土地部分</t>
    <phoneticPr fontId="140" type="noConversion"/>
  </si>
  <si>
    <t>是</t>
  </si>
  <si>
    <t>地上</t>
  </si>
  <si>
    <t>住宅</t>
  </si>
  <si>
    <t>高层住宅</t>
  </si>
  <si>
    <t>高层住宅</t>
    <phoneticPr fontId="16" type="noConversion"/>
  </si>
  <si>
    <t>小高层住宅</t>
  </si>
  <si>
    <t>小高层住宅</t>
    <phoneticPr fontId="16" type="noConversion"/>
  </si>
  <si>
    <t>普通住宅</t>
    <phoneticPr fontId="16" type="noConversion"/>
  </si>
  <si>
    <t>洋房</t>
  </si>
  <si>
    <t>底商</t>
  </si>
  <si>
    <t>地下</t>
  </si>
  <si>
    <t>车库</t>
  </si>
  <si>
    <r>
      <t>25</t>
    </r>
    <r>
      <rPr>
        <sz val="10"/>
        <color indexed="8"/>
        <rFont val="宋体"/>
        <family val="3"/>
        <charset val="134"/>
      </rPr>
      <t>号楼</t>
    </r>
    <phoneticPr fontId="3" type="noConversion"/>
  </si>
  <si>
    <r>
      <t>26-28</t>
    </r>
    <r>
      <rPr>
        <sz val="10"/>
        <color indexed="8"/>
        <rFont val="宋体"/>
        <family val="3"/>
        <charset val="134"/>
      </rPr>
      <t>号楼</t>
    </r>
    <phoneticPr fontId="3" type="noConversion"/>
  </si>
  <si>
    <t>高层住宅</t>
    <phoneticPr fontId="7" type="noConversion"/>
  </si>
  <si>
    <t>小高层住宅</t>
    <phoneticPr fontId="7" type="noConversion"/>
  </si>
  <si>
    <t>洋房住宅</t>
  </si>
  <si>
    <t>洋房住宅</t>
    <phoneticPr fontId="7" type="noConversion"/>
  </si>
  <si>
    <t>商业用房</t>
  </si>
  <si>
    <t>商业用房</t>
    <phoneticPr fontId="7" type="noConversion"/>
  </si>
  <si>
    <t>工程进度</t>
  </si>
  <si>
    <t>未包含在土地购买价格中</t>
  </si>
  <si>
    <t>已包含在土地取得成本中</t>
  </si>
  <si>
    <r>
      <rPr>
        <sz val="10"/>
        <color indexed="8"/>
        <rFont val="宋体"/>
        <family val="3"/>
        <charset val="134"/>
      </rPr>
      <t>商业</t>
    </r>
    <r>
      <rPr>
        <sz val="10"/>
        <color indexed="8"/>
        <rFont val="Arial"/>
        <family val="2"/>
      </rPr>
      <t>1</t>
    </r>
    <r>
      <rPr>
        <sz val="10"/>
        <color indexed="8"/>
        <rFont val="宋体"/>
        <family val="3"/>
        <charset val="134"/>
      </rPr>
      <t>层</t>
    </r>
    <phoneticPr fontId="18"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</si>
  <si>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18" type="noConversion"/>
  </si>
  <si>
    <r>
      <rPr>
        <sz val="10"/>
        <color indexed="8"/>
        <rFont val="宋体"/>
        <family val="3"/>
        <charset val="134"/>
      </rPr>
      <t>商业</t>
    </r>
    <r>
      <rPr>
        <sz val="10"/>
        <color indexed="8"/>
        <rFont val="Arial"/>
        <family val="2"/>
      </rPr>
      <t>1</t>
    </r>
    <r>
      <rPr>
        <sz val="10"/>
        <color indexed="8"/>
        <rFont val="宋体"/>
        <family val="3"/>
        <charset val="134"/>
      </rPr>
      <t>-2层</t>
    </r>
    <phoneticPr fontId="18" type="noConversion"/>
  </si>
  <si>
    <t>系数</t>
    <phoneticPr fontId="18" type="noConversion"/>
  </si>
  <si>
    <t>建筑面积</t>
    <phoneticPr fontId="18" type="noConversion"/>
  </si>
  <si>
    <t>预估单价</t>
    <phoneticPr fontId="18" type="noConversion"/>
  </si>
  <si>
    <t>预估总价</t>
    <phoneticPr fontId="18" type="noConversion"/>
  </si>
  <si>
    <t>成本法</t>
  </si>
  <si>
    <t>假设开发法</t>
  </si>
  <si>
    <t>总价</t>
  </si>
  <si>
    <t>成本比率</t>
  </si>
  <si>
    <t>否</t>
  </si>
  <si>
    <t>工程进度</t>
    <phoneticPr fontId="140" type="noConversion"/>
  </si>
  <si>
    <t>二次结构完成，正在进行外立面施工</t>
    <phoneticPr fontId="140" type="noConversion"/>
  </si>
  <si>
    <t>已竣工备案</t>
    <phoneticPr fontId="140" type="noConversion"/>
  </si>
  <si>
    <t>住宅</t>
    <phoneticPr fontId="140" type="noConversion"/>
  </si>
  <si>
    <t>非住宅</t>
    <phoneticPr fontId="140" type="noConversion"/>
  </si>
  <si>
    <t>土地</t>
    <phoneticPr fontId="140" type="noConversion"/>
  </si>
  <si>
    <t>在建</t>
    <phoneticPr fontId="140" type="noConversion"/>
  </si>
  <si>
    <t>土地需缴纳</t>
    <phoneticPr fontId="140" type="noConversion"/>
  </si>
  <si>
    <t>在建需缴纳</t>
    <phoneticPr fontId="140" type="noConversion"/>
  </si>
  <si>
    <t>部分缴纳</t>
  </si>
  <si>
    <t>地下车库</t>
    <phoneticPr fontId="7" type="noConversion"/>
  </si>
  <si>
    <t>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</si>
</sst>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name val="黑体"/>
      <family val="3"/>
      <charset val="134"/>
    </font>
    <font>
      <b/>
      <sz val="10"/>
      <name val="黑体"/>
      <family val="3"/>
      <charset val="134"/>
    </font>
    <font>
      <sz val="10"/>
      <color theme="1"/>
      <name val="黑体"/>
      <family val="3"/>
      <charset val="134"/>
    </font>
    <font>
      <b/>
      <sz val="9"/>
      <name val="宋体"/>
      <family val="3"/>
      <charset val="134"/>
    </font>
    <font>
      <sz val="10"/>
      <color theme="1"/>
      <name val="宋体"/>
      <family val="2"/>
      <scheme val="minor"/>
    </font>
    <font>
      <b/>
      <sz val="1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8DD4E"/>
        <bgColor indexed="64"/>
      </patternFill>
    </fill>
    <fill>
      <patternFill patternType="solid">
        <fgColor theme="4"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261" fillId="0" borderId="0" applyNumberFormat="0" applyFill="0" applyBorder="0" applyAlignment="0" applyProtection="0">
      <alignment vertical="center"/>
    </xf>
  </cellStyleXfs>
  <cellXfs count="34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0" applyFont="1">
      <alignment vertical="center"/>
    </xf>
    <xf numFmtId="0" fontId="98" fillId="0" borderId="1" xfId="0" applyFont="1" applyBorder="1">
      <alignment vertical="center"/>
    </xf>
    <xf numFmtId="0" fontId="0" fillId="0" borderId="1" xfId="0" applyBorder="1">
      <alignment vertical="center"/>
    </xf>
    <xf numFmtId="0" fontId="255" fillId="0" borderId="1" xfId="0" applyFont="1" applyBorder="1" applyAlignment="1">
      <alignment horizontal="center" vertical="center"/>
    </xf>
    <xf numFmtId="186" fontId="255" fillId="0" borderId="1" xfId="0" applyNumberFormat="1" applyFont="1" applyBorder="1" applyAlignment="1">
      <alignment horizontal="center" vertical="center"/>
    </xf>
    <xf numFmtId="0" fontId="0" fillId="0" borderId="1" xfId="0" applyBorder="1" applyAlignment="1">
      <alignment horizontal="center"/>
    </xf>
    <xf numFmtId="0" fontId="0" fillId="0" borderId="15" xfId="0" applyFont="1" applyFill="1" applyBorder="1" applyAlignment="1">
      <alignment horizontal="center"/>
    </xf>
    <xf numFmtId="0" fontId="257" fillId="0" borderId="1" xfId="0" applyFont="1" applyBorder="1" applyAlignment="1">
      <alignment horizontal="center" vertical="center"/>
    </xf>
    <xf numFmtId="43" fontId="255" fillId="13" borderId="1" xfId="17" applyFont="1" applyFill="1" applyBorder="1" applyAlignment="1">
      <alignment horizontal="center" vertical="center" wrapText="1"/>
    </xf>
    <xf numFmtId="0" fontId="257" fillId="21" borderId="1" xfId="0" applyFont="1" applyFill="1" applyBorder="1" applyAlignment="1">
      <alignment horizontal="center" vertical="center"/>
    </xf>
    <xf numFmtId="0" fontId="0" fillId="0" borderId="58" xfId="0" applyFont="1" applyFill="1" applyBorder="1" applyAlignment="1">
      <alignment horizontal="center"/>
    </xf>
    <xf numFmtId="0" fontId="0" fillId="0" borderId="0" xfId="0" applyNumberFormat="1">
      <alignment vertical="center"/>
    </xf>
    <xf numFmtId="0" fontId="0" fillId="9" borderId="58" xfId="0" applyFont="1" applyFill="1" applyBorder="1" applyAlignment="1">
      <alignment horizontal="center"/>
    </xf>
    <xf numFmtId="0" fontId="259" fillId="0" borderId="1" xfId="0" applyFont="1" applyBorder="1" applyAlignment="1">
      <alignment horizontal="center" vertical="center"/>
    </xf>
    <xf numFmtId="179" fontId="259" fillId="0" borderId="1" xfId="0" applyNumberFormat="1" applyFont="1" applyBorder="1" applyAlignment="1">
      <alignment horizontal="center" vertical="center"/>
    </xf>
    <xf numFmtId="0" fontId="259" fillId="0" borderId="1" xfId="0" applyFont="1" applyBorder="1" applyAlignment="1">
      <alignment horizontal="center" vertical="center" wrapText="1"/>
    </xf>
    <xf numFmtId="0" fontId="259" fillId="0" borderId="1" xfId="0" applyFont="1" applyBorder="1" applyAlignment="1">
      <alignment horizontal="left" vertical="center"/>
    </xf>
    <xf numFmtId="0" fontId="255" fillId="0" borderId="1" xfId="0" applyFont="1" applyBorder="1" applyAlignment="1">
      <alignment horizontal="center" vertical="center" wrapText="1"/>
    </xf>
    <xf numFmtId="186" fontId="255" fillId="0" borderId="1" xfId="0" applyNumberFormat="1" applyFont="1" applyBorder="1" applyAlignment="1">
      <alignment horizontal="center" vertical="center" wrapText="1"/>
    </xf>
    <xf numFmtId="179" fontId="259" fillId="0" borderId="1" xfId="0" applyNumberFormat="1" applyFont="1" applyBorder="1" applyAlignment="1">
      <alignment horizontal="center" vertical="center" wrapText="1"/>
    </xf>
    <xf numFmtId="0" fontId="259" fillId="0" borderId="1" xfId="0" applyFont="1" applyBorder="1" applyAlignment="1">
      <alignment horizontal="left" vertical="center" wrapText="1"/>
    </xf>
    <xf numFmtId="0" fontId="259" fillId="0" borderId="2" xfId="0" applyFont="1" applyBorder="1" applyAlignment="1">
      <alignment horizontal="center" vertical="center"/>
    </xf>
    <xf numFmtId="0" fontId="255" fillId="0" borderId="2" xfId="0" applyFont="1" applyBorder="1" applyAlignment="1">
      <alignment horizontal="center" vertical="center"/>
    </xf>
    <xf numFmtId="186" fontId="255" fillId="0" borderId="2" xfId="0" applyNumberFormat="1" applyFont="1" applyBorder="1" applyAlignment="1">
      <alignment horizontal="center" vertical="center"/>
    </xf>
    <xf numFmtId="179" fontId="259" fillId="0" borderId="2" xfId="0" applyNumberFormat="1" applyFont="1" applyBorder="1" applyAlignment="1">
      <alignment horizontal="center" vertical="center"/>
    </xf>
    <xf numFmtId="0" fontId="259" fillId="0" borderId="2" xfId="0" applyFont="1" applyBorder="1" applyAlignment="1">
      <alignment horizontal="center" vertical="center" wrapText="1"/>
    </xf>
    <xf numFmtId="176" fontId="260" fillId="0" borderId="1" xfId="1" applyNumberFormat="1" applyFont="1" applyFill="1" applyBorder="1" applyAlignment="1">
      <alignment horizontal="center" vertical="center" wrapText="1"/>
    </xf>
    <xf numFmtId="43" fontId="260" fillId="0" borderId="1" xfId="17" applyFont="1" applyFill="1" applyBorder="1" applyAlignment="1">
      <alignment horizontal="center" vertical="center" wrapText="1"/>
    </xf>
    <xf numFmtId="0" fontId="98" fillId="0" borderId="60" xfId="0" applyFont="1" applyFill="1" applyBorder="1">
      <alignment vertical="center"/>
    </xf>
    <xf numFmtId="179" fontId="0" fillId="0" borderId="0" xfId="0" applyNumberFormat="1">
      <alignment vertical="center"/>
    </xf>
    <xf numFmtId="0" fontId="0" fillId="9" borderId="0" xfId="0" applyFill="1">
      <alignment vertical="center"/>
    </xf>
    <xf numFmtId="0" fontId="259" fillId="0" borderId="1" xfId="0" applyFont="1" applyFill="1" applyBorder="1" applyAlignment="1">
      <alignment horizontal="center" vertical="center"/>
    </xf>
    <xf numFmtId="0" fontId="255" fillId="0" borderId="1" xfId="0" applyFont="1" applyFill="1" applyBorder="1" applyAlignment="1">
      <alignment horizontal="center" vertical="center"/>
    </xf>
    <xf numFmtId="186" fontId="255" fillId="0" borderId="1" xfId="0" applyNumberFormat="1" applyFont="1" applyFill="1" applyBorder="1" applyAlignment="1">
      <alignment horizontal="center" vertical="center"/>
    </xf>
    <xf numFmtId="179" fontId="259" fillId="0" borderId="1" xfId="0" applyNumberFormat="1" applyFont="1" applyFill="1" applyBorder="1" applyAlignment="1">
      <alignment horizontal="center" vertical="center"/>
    </xf>
    <xf numFmtId="0" fontId="259" fillId="0" borderId="1" xfId="0" applyFont="1" applyFill="1" applyBorder="1" applyAlignment="1">
      <alignment horizontal="center" vertical="center" wrapText="1"/>
    </xf>
    <xf numFmtId="0" fontId="0" fillId="0" borderId="0" xfId="0" applyFill="1">
      <alignment vertical="center"/>
    </xf>
    <xf numFmtId="0" fontId="98" fillId="0" borderId="1" xfId="0" applyFont="1" applyBorder="1" applyAlignment="1">
      <alignment horizontal="center"/>
    </xf>
    <xf numFmtId="0" fontId="0" fillId="9" borderId="1" xfId="0" applyFill="1" applyBorder="1">
      <alignment vertical="center"/>
    </xf>
    <xf numFmtId="0" fontId="0" fillId="0" borderId="15" xfId="0" applyFill="1" applyBorder="1" applyAlignment="1">
      <alignment horizont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152" fillId="7" borderId="0" xfId="0"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176" fontId="256" fillId="20" borderId="1" xfId="1" applyNumberFormat="1" applyFont="1" applyFill="1" applyBorder="1" applyAlignment="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43" fontId="256" fillId="20" borderId="1" xfId="17"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Fill="1" applyBorder="1" applyAlignment="1">
      <alignment horizontal="center"/>
    </xf>
    <xf numFmtId="0" fontId="0" fillId="0" borderId="0" xfId="0" applyAlignment="1">
      <alignment horizontal="center" vertical="center"/>
    </xf>
    <xf numFmtId="0" fontId="98" fillId="0" borderId="0" xfId="0" applyFont="1" applyAlignment="1">
      <alignment horizontal="center" vertical="center"/>
    </xf>
    <xf numFmtId="9" fontId="0" fillId="0" borderId="0" xfId="0" applyNumberFormat="1">
      <alignment vertical="center"/>
    </xf>
    <xf numFmtId="10" fontId="261" fillId="0" borderId="0" xfId="18" applyNumberFormat="1">
      <alignment vertical="center"/>
    </xf>
  </cellXfs>
  <cellStyles count="19">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8" builtinId="8"/>
    <cellStyle name="千位分隔" xfId="17" builtinId="3"/>
  </cellStyles>
  <dxfs count="467">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15;&#20540;&#25152;&#38656;-&#39033;&#30446;&#29616;&#29366;/&#27979;&#32472;&#25253;&#21578;16-28&#12289;&#37197;&#24314;/16-28&#26635;&#21450;&#37197;&#24314;&#26126;&#3245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分布"/>
      <sheetName val="16-20"/>
      <sheetName val="21-24"/>
      <sheetName val="25-28"/>
      <sheetName val="商业配建部分"/>
    </sheetNames>
    <sheetDataSet>
      <sheetData sheetId="0" refreshError="1"/>
      <sheetData sheetId="1" refreshError="1"/>
      <sheetData sheetId="2" refreshError="1"/>
      <sheetData sheetId="3" refreshError="1"/>
      <sheetData sheetId="4">
        <row r="143">
          <cell r="E143">
            <v>18891.190000000006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土地案例"/>
      <sheetName val="开发完成后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198821.25</v>
          </cell>
          <cell r="C14">
            <v>61342.94</v>
          </cell>
          <cell r="D14">
            <v>189010</v>
          </cell>
          <cell r="G14">
            <v>189010</v>
          </cell>
        </row>
      </sheetData>
      <sheetData sheetId="17"/>
      <sheetData sheetId="18">
        <row r="49">
          <cell r="C49">
            <v>13572</v>
          </cell>
        </row>
      </sheetData>
      <sheetData sheetId="19"/>
      <sheetData sheetId="20"/>
      <sheetData sheetId="21">
        <row r="8">
          <cell r="C8">
            <v>20000</v>
          </cell>
          <cell r="D8">
            <v>24000</v>
          </cell>
          <cell r="E8">
            <v>28000</v>
          </cell>
          <cell r="O8">
            <v>28000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估价对象为房地产，为所有。根据《国有土地使用证》[]，估价对象（分摊）出让国有建设用地使用权面积为33243.52平方米，建筑面积为107747.01平方米。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估价对象为房地产,属开发建设的，该项目尚在开发建设中。根据《国有土地使用证》[]，估价对象（分摊）出让国有建设用地使用权面积为33243.52平方米，规划建筑面积为107747.01平方米。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2020年10月30日（评估专业人员实地查勘之日）</v>
      </c>
    </row>
    <row r="13" spans="1:2" s="1365" customFormat="1">
      <c r="A13" s="1363" t="s">
        <v>1194</v>
      </c>
      <c r="B13" s="1364" t="str">
        <f>'预评函-1'!A18</f>
        <v>本次估价的“房地产价值”是指在正常市场情况下，在价值时点2020年10月30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139851</v>
      </c>
    </row>
    <row r="21" spans="1:2" s="1365" customFormat="1">
      <c r="A21" s="1363" t="s">
        <v>1202</v>
      </c>
      <c r="B21" s="1364">
        <f ca="1">'预评函-2'!D7</f>
        <v>12980</v>
      </c>
    </row>
    <row r="22" spans="1:2" s="1365" customFormat="1">
      <c r="A22" s="1363" t="s">
        <v>1203</v>
      </c>
      <c r="B22" s="1364" t="str">
        <f ca="1">'预评函-2'!D6</f>
        <v>壹拾叁亿玖仟捌佰伍拾壹万元整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139851</v>
      </c>
    </row>
    <row r="31" spans="1:2" s="1365" customFormat="1">
      <c r="A31" s="1363" t="s">
        <v>1241</v>
      </c>
      <c r="B31" s="1364">
        <f ca="1">'预评函-2'!D15</f>
        <v>12980</v>
      </c>
    </row>
    <row r="32" spans="1:2" s="1365" customFormat="1">
      <c r="A32" s="1363" t="s">
        <v>1208</v>
      </c>
      <c r="B32" s="1364" t="str">
        <f ca="1">'预评函-2'!D14</f>
        <v>壹拾叁亿玖仟捌佰伍拾壹万元整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107747.01000000001</v>
      </c>
    </row>
    <row r="44" spans="1:2" s="1365" customFormat="1">
      <c r="A44" s="1363" t="s">
        <v>1240</v>
      </c>
      <c r="B44" s="1364" t="str">
        <f>'预评函-3'!C2</f>
        <v>(分摊)土地面积</v>
      </c>
    </row>
    <row r="45" spans="1:2" s="1365" customFormat="1">
      <c r="A45" s="1363" t="s">
        <v>1212</v>
      </c>
      <c r="B45" s="1364">
        <f>'预评函-3'!C4</f>
        <v>33243.519999999997</v>
      </c>
    </row>
    <row r="46" spans="1:2" s="1365" customFormat="1">
      <c r="A46" s="1363" t="s">
        <v>1238</v>
      </c>
      <c r="B46" s="1364" t="str">
        <f>'预评函-3'!D2</f>
        <v>出让国有建设用地使用权价值</v>
      </c>
    </row>
    <row r="47" spans="1:2" s="1365" customFormat="1">
      <c r="A47" s="1363" t="s">
        <v>1213</v>
      </c>
      <c r="B47" s="1364">
        <f ca="1">'预评函-3'!D4</f>
        <v>112300</v>
      </c>
    </row>
    <row r="48" spans="1:2" s="1365" customFormat="1">
      <c r="A48" s="1363" t="s">
        <v>1214</v>
      </c>
      <c r="B48" s="1364">
        <f ca="1">'预评函-3'!E4</f>
        <v>10423</v>
      </c>
    </row>
    <row r="49" spans="1:2" s="1365" customFormat="1">
      <c r="A49" s="1363" t="s">
        <v>1215</v>
      </c>
      <c r="B49" s="1364" t="str">
        <f ca="1">'预评函-3'!D5</f>
        <v>壹拾壹亿贰仟叁佰万元整</v>
      </c>
    </row>
    <row r="50" spans="1:2" s="1365" customFormat="1">
      <c r="A50" s="1363" t="s">
        <v>1239</v>
      </c>
      <c r="B50" s="1364" t="str">
        <f>'预评函-3'!F2</f>
        <v>在建建筑物价值</v>
      </c>
    </row>
    <row r="51" spans="1:2" s="1365" customFormat="1">
      <c r="A51" s="1363" t="s">
        <v>1216</v>
      </c>
      <c r="B51" s="1364">
        <f ca="1">'预评函-3'!F4</f>
        <v>27551</v>
      </c>
    </row>
    <row r="52" spans="1:2" s="1365" customFormat="1">
      <c r="A52" s="1363" t="s">
        <v>1217</v>
      </c>
      <c r="B52" s="1364">
        <f ca="1">'预评函-3'!G4</f>
        <v>2557</v>
      </c>
    </row>
    <row r="53" spans="1:2" s="1365" customFormat="1">
      <c r="A53" s="1363" t="s">
        <v>1245</v>
      </c>
      <c r="B53" s="1364" t="str">
        <f ca="1">'预评函-3'!F5</f>
        <v>贰亿柒仟伍佰伍拾壹万元整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A6" sqref="A6"/>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6" t="s">
        <v>3718</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6" t="s">
        <v>3720</v>
      </c>
      <c r="B4" s="1733" t="s">
        <v>1688</v>
      </c>
      <c r="C4" s="1734" t="s">
        <v>762</v>
      </c>
      <c r="D4" s="1735" t="s">
        <v>836</v>
      </c>
      <c r="E4" s="1735" t="s">
        <v>1689</v>
      </c>
      <c r="F4" s="1735" t="s">
        <v>1690</v>
      </c>
      <c r="G4" s="1735">
        <v>70</v>
      </c>
      <c r="H4" s="1735" t="s">
        <v>1690</v>
      </c>
      <c r="I4" s="1735" t="s">
        <v>1691</v>
      </c>
      <c r="K4" s="1735" t="s">
        <v>1692</v>
      </c>
      <c r="L4" s="1735" t="s">
        <v>1692</v>
      </c>
      <c r="M4" s="1735" t="s">
        <v>1692</v>
      </c>
      <c r="N4" s="1735" t="s">
        <v>1692</v>
      </c>
      <c r="O4" s="1735" t="s">
        <v>1692</v>
      </c>
      <c r="P4" s="1735" t="s">
        <v>1692</v>
      </c>
      <c r="Q4" s="1735" t="s">
        <v>1692</v>
      </c>
      <c r="R4" s="1735" t="s">
        <v>1109</v>
      </c>
      <c r="S4" s="1735" t="s">
        <v>1692</v>
      </c>
      <c r="T4" s="1735" t="s">
        <v>1693</v>
      </c>
      <c r="U4" s="1735" t="s">
        <v>1692</v>
      </c>
      <c r="W4" s="1735" t="s">
        <v>1692</v>
      </c>
    </row>
    <row r="5" spans="1:23">
      <c r="A5" s="1736" t="s">
        <v>3721</v>
      </c>
      <c r="B5" s="1733" t="s">
        <v>1694</v>
      </c>
      <c r="C5" s="1734" t="s">
        <v>763</v>
      </c>
      <c r="F5" s="1735" t="s">
        <v>1695</v>
      </c>
      <c r="H5" s="1735" t="s">
        <v>1696</v>
      </c>
      <c r="I5" s="1735" t="s">
        <v>1697</v>
      </c>
      <c r="K5" s="1735" t="s">
        <v>1698</v>
      </c>
      <c r="L5" s="1735" t="s">
        <v>1698</v>
      </c>
      <c r="M5" s="1735" t="s">
        <v>1698</v>
      </c>
      <c r="N5" s="1735" t="s">
        <v>1698</v>
      </c>
      <c r="O5" s="1735" t="s">
        <v>1698</v>
      </c>
      <c r="P5" s="1735" t="s">
        <v>1698</v>
      </c>
      <c r="Q5" s="1735" t="s">
        <v>1698</v>
      </c>
      <c r="R5" s="1735" t="s">
        <v>1110</v>
      </c>
      <c r="S5" s="1735" t="s">
        <v>1698</v>
      </c>
      <c r="T5" s="1735" t="s">
        <v>1699</v>
      </c>
      <c r="U5" s="1735" t="s">
        <v>1698</v>
      </c>
      <c r="W5" s="1735" t="s">
        <v>1698</v>
      </c>
    </row>
    <row r="6" spans="1:23">
      <c r="A6" s="1733" t="s">
        <v>1700</v>
      </c>
      <c r="B6" s="1736" t="s">
        <v>1114</v>
      </c>
      <c r="C6" s="1739" t="s">
        <v>30</v>
      </c>
      <c r="F6" s="1735" t="s">
        <v>1696</v>
      </c>
      <c r="H6" s="1735" t="s">
        <v>1701</v>
      </c>
      <c r="I6" s="1735" t="s">
        <v>1702</v>
      </c>
      <c r="K6" s="1735" t="s">
        <v>1703</v>
      </c>
      <c r="L6" s="1735" t="s">
        <v>1703</v>
      </c>
      <c r="M6" s="1735" t="s">
        <v>1703</v>
      </c>
      <c r="N6" s="1735" t="s">
        <v>1703</v>
      </c>
      <c r="O6" s="1735" t="s">
        <v>1703</v>
      </c>
      <c r="P6" s="1735" t="s">
        <v>1703</v>
      </c>
      <c r="Q6" s="1735" t="s">
        <v>1703</v>
      </c>
      <c r="R6" s="1735" t="s">
        <v>1111</v>
      </c>
      <c r="S6" s="1735" t="s">
        <v>1703</v>
      </c>
      <c r="T6" s="1735"/>
      <c r="U6" s="1735" t="s">
        <v>1703</v>
      </c>
      <c r="W6" s="1735" t="s">
        <v>1703</v>
      </c>
    </row>
    <row r="7" spans="1:23">
      <c r="A7" s="1733" t="s">
        <v>1704</v>
      </c>
      <c r="B7" s="1736" t="s">
        <v>1115</v>
      </c>
      <c r="C7" s="1734" t="s">
        <v>31</v>
      </c>
      <c r="F7" s="1735" t="s">
        <v>1705</v>
      </c>
      <c r="H7" s="1735" t="s">
        <v>1706</v>
      </c>
      <c r="I7" s="1735" t="s">
        <v>1707</v>
      </c>
    </row>
    <row r="8" spans="1:23">
      <c r="A8" s="1733" t="s">
        <v>1708</v>
      </c>
      <c r="B8" s="1733" t="s">
        <v>1709</v>
      </c>
      <c r="C8" s="1734" t="s">
        <v>764</v>
      </c>
      <c r="F8" s="1735" t="s">
        <v>1710</v>
      </c>
      <c r="H8" s="1735"/>
      <c r="I8" s="1735" t="s">
        <v>1711</v>
      </c>
    </row>
    <row r="9" spans="1:23">
      <c r="A9" s="1733" t="s">
        <v>1712</v>
      </c>
      <c r="B9" s="1733" t="s">
        <v>1713</v>
      </c>
      <c r="C9" s="1734" t="s">
        <v>765</v>
      </c>
      <c r="F9" s="1735" t="s">
        <v>1714</v>
      </c>
      <c r="H9" s="1735"/>
    </row>
    <row r="10" spans="1:23">
      <c r="A10" s="1733" t="s">
        <v>1715</v>
      </c>
      <c r="B10" s="1733" t="s">
        <v>1716</v>
      </c>
      <c r="C10" s="1734" t="s">
        <v>766</v>
      </c>
      <c r="F10" s="1735" t="s">
        <v>16</v>
      </c>
    </row>
    <row r="11" spans="1:23">
      <c r="A11" s="1733" t="s">
        <v>1717</v>
      </c>
      <c r="B11" s="1733" t="s">
        <v>1718</v>
      </c>
      <c r="C11" s="1734" t="s">
        <v>767</v>
      </c>
    </row>
    <row r="12" spans="1:23">
      <c r="A12" s="1733" t="s">
        <v>1719</v>
      </c>
      <c r="B12" s="1733" t="s">
        <v>1720</v>
      </c>
      <c r="C12" s="1734" t="s">
        <v>768</v>
      </c>
    </row>
    <row r="13" spans="1:23">
      <c r="A13" s="1733" t="s">
        <v>1721</v>
      </c>
      <c r="B13" s="1733" t="s">
        <v>1722</v>
      </c>
      <c r="C13" s="1734" t="s">
        <v>769</v>
      </c>
    </row>
    <row r="14" spans="1:23">
      <c r="A14" s="1733" t="s">
        <v>1723</v>
      </c>
      <c r="B14" s="1733" t="s">
        <v>1724</v>
      </c>
      <c r="C14" s="1735" t="s">
        <v>16</v>
      </c>
    </row>
    <row r="15" spans="1:23">
      <c r="A15" s="1733" t="s">
        <v>1725</v>
      </c>
      <c r="B15" s="1733" t="s">
        <v>1726</v>
      </c>
      <c r="C15" s="1734"/>
    </row>
    <row r="16" spans="1:23">
      <c r="A16" s="1733" t="s">
        <v>1727</v>
      </c>
      <c r="B16" s="1733" t="s">
        <v>756</v>
      </c>
      <c r="C16" s="1734"/>
    </row>
    <row r="17" spans="1:3">
      <c r="A17" s="1733" t="s">
        <v>1728</v>
      </c>
      <c r="B17" s="1733" t="s">
        <v>3035</v>
      </c>
      <c r="C17" s="1734"/>
    </row>
    <row r="18" spans="1:3">
      <c r="A18" s="1733" t="s">
        <v>1729</v>
      </c>
      <c r="B18" s="1733" t="s">
        <v>757</v>
      </c>
      <c r="C18" s="1734"/>
    </row>
    <row r="19" spans="1:3">
      <c r="A19" s="1733" t="s">
        <v>1730</v>
      </c>
      <c r="B19" s="1733" t="s">
        <v>757</v>
      </c>
      <c r="C19" s="1734"/>
    </row>
    <row r="20" spans="1:3">
      <c r="A20" s="1733" t="s">
        <v>1731</v>
      </c>
      <c r="B20" s="1733" t="s">
        <v>757</v>
      </c>
      <c r="C20" s="1734"/>
    </row>
    <row r="21" spans="1:3">
      <c r="A21" s="1733" t="s">
        <v>1732</v>
      </c>
      <c r="B21" s="1733" t="s">
        <v>757</v>
      </c>
      <c r="C21" s="1734"/>
    </row>
    <row r="22" spans="1:3">
      <c r="A22" s="1733" t="s">
        <v>1733</v>
      </c>
      <c r="B22" s="1733" t="s">
        <v>757</v>
      </c>
      <c r="C22" s="1734"/>
    </row>
    <row r="23" spans="1:3">
      <c r="A23" s="1733" t="s">
        <v>1734</v>
      </c>
      <c r="B23" s="1733" t="s">
        <v>757</v>
      </c>
      <c r="C23" s="1734"/>
    </row>
    <row r="24" spans="1:3">
      <c r="A24" s="1733" t="s">
        <v>1735</v>
      </c>
      <c r="B24" s="1733" t="s">
        <v>757</v>
      </c>
      <c r="C24" s="1734"/>
    </row>
    <row r="25" spans="1:3">
      <c r="A25" s="1733" t="s">
        <v>1736</v>
      </c>
      <c r="B25" s="1733" t="s">
        <v>757</v>
      </c>
      <c r="C25" s="1734"/>
    </row>
    <row r="26" spans="1:3">
      <c r="A26" s="1733" t="s">
        <v>1737</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2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9"/>
      <c r="B54" s="1741" t="s">
        <v>832</v>
      </c>
      <c r="C54" s="1738" t="s">
        <v>1248</v>
      </c>
    </row>
    <row r="55" spans="1:4">
      <c r="A55" s="3129"/>
      <c r="B55" s="1741" t="s">
        <v>833</v>
      </c>
      <c r="C55" s="1738" t="s">
        <v>1249</v>
      </c>
    </row>
    <row r="56" spans="1:4">
      <c r="A56" s="3129"/>
      <c r="B56" s="1741" t="s">
        <v>834</v>
      </c>
      <c r="C56" s="1738" t="s">
        <v>1253</v>
      </c>
    </row>
    <row r="57" spans="1:4">
      <c r="A57" s="312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760"/>
  <sheetViews>
    <sheetView topLeftCell="A16" workbookViewId="0">
      <selection activeCell="K28" sqref="K28"/>
    </sheetView>
  </sheetViews>
  <sheetFormatPr defaultRowHeight="13.5"/>
  <cols>
    <col min="7" max="7" width="12.75" bestFit="1" customWidth="1"/>
    <col min="8" max="8" width="13.75" customWidth="1"/>
    <col min="10" max="10" width="10.5" customWidth="1"/>
    <col min="12" max="12" width="10.25" customWidth="1"/>
    <col min="18" max="18" width="11.625" bestFit="1" customWidth="1"/>
  </cols>
  <sheetData>
    <row r="1" spans="1:21">
      <c r="H1" s="3130" t="s">
        <v>3713</v>
      </c>
      <c r="I1" s="3131"/>
      <c r="J1" s="3131"/>
      <c r="K1" s="3131"/>
      <c r="L1" s="3131"/>
    </row>
    <row r="2" spans="1:21">
      <c r="A2" s="3045" t="s">
        <v>3057</v>
      </c>
      <c r="B2" s="3045"/>
      <c r="C2" s="3046"/>
      <c r="D2" s="3046"/>
      <c r="E2" s="3046"/>
      <c r="F2" s="3046"/>
      <c r="H2" s="3045" t="s">
        <v>3085</v>
      </c>
      <c r="I2" s="3045" t="s">
        <v>3086</v>
      </c>
      <c r="J2" s="3045" t="s">
        <v>3087</v>
      </c>
      <c r="K2" s="3045" t="s">
        <v>3088</v>
      </c>
      <c r="L2" s="3045" t="s">
        <v>3075</v>
      </c>
    </row>
    <row r="3" spans="1:21">
      <c r="A3" s="3045" t="s">
        <v>3058</v>
      </c>
      <c r="B3" s="3045" t="s">
        <v>3075</v>
      </c>
      <c r="C3" s="3045" t="s">
        <v>3060</v>
      </c>
      <c r="D3" s="3045" t="s">
        <v>3061</v>
      </c>
      <c r="E3" s="3045" t="s">
        <v>3062</v>
      </c>
      <c r="F3" s="3046"/>
      <c r="H3" s="3045" t="s">
        <v>3089</v>
      </c>
      <c r="I3" s="3133">
        <f>ROUND(J9/(J25+J9)*J32,2)</f>
        <v>61342.94</v>
      </c>
      <c r="J3" s="3046">
        <f>C6+C7+C8+C13+C20+C21+C22+C23</f>
        <v>115184.62999999999</v>
      </c>
      <c r="K3" s="3046">
        <f>D6+D7+D8+D13+D20+D21+D22+D23</f>
        <v>3863.2100000000005</v>
      </c>
      <c r="L3" s="3046">
        <f>J3+K3</f>
        <v>119047.84</v>
      </c>
    </row>
    <row r="4" spans="1:21">
      <c r="A4" s="3045" t="s">
        <v>3059</v>
      </c>
      <c r="B4" s="3045">
        <f>C4+D4</f>
        <v>7363.04</v>
      </c>
      <c r="C4" s="3046">
        <v>6907.99</v>
      </c>
      <c r="D4" s="3046">
        <v>455.05</v>
      </c>
      <c r="E4" s="3046">
        <v>35.25</v>
      </c>
      <c r="F4" s="3045" t="s">
        <v>3095</v>
      </c>
      <c r="H4" s="3045" t="s">
        <v>3090</v>
      </c>
      <c r="I4" s="3134"/>
      <c r="J4" s="3046">
        <f>C4+C5+C10+C14</f>
        <v>29519.02</v>
      </c>
      <c r="K4" s="3046">
        <f>D4+D5+D10+D14</f>
        <v>1858.3600000000001</v>
      </c>
      <c r="L4" s="3046">
        <f t="shared" ref="L4:L8" si="0">J4+K4</f>
        <v>31377.38</v>
      </c>
      <c r="P4" s="3044" t="s">
        <v>3754</v>
      </c>
      <c r="Q4" s="3044" t="s">
        <v>3755</v>
      </c>
      <c r="T4" s="3044" t="s">
        <v>3756</v>
      </c>
      <c r="U4" s="3044" t="s">
        <v>3757</v>
      </c>
    </row>
    <row r="5" spans="1:21">
      <c r="A5" s="3045" t="s">
        <v>3063</v>
      </c>
      <c r="B5" s="3045">
        <f t="shared" ref="B5:B16" si="1">C5+D5</f>
        <v>8779.0299999999988</v>
      </c>
      <c r="C5" s="3046">
        <v>8302.2199999999993</v>
      </c>
      <c r="D5" s="3046">
        <v>476.81</v>
      </c>
      <c r="E5" s="3046">
        <v>35.25</v>
      </c>
      <c r="F5" s="3045" t="s">
        <v>3095</v>
      </c>
      <c r="H5" s="3045" t="s">
        <v>3091</v>
      </c>
      <c r="I5" s="3134"/>
      <c r="J5" s="3046">
        <f>C9+C11+C12</f>
        <v>5762.15</v>
      </c>
      <c r="K5" s="3046">
        <f>D9+D11+D12</f>
        <v>746.82</v>
      </c>
      <c r="L5" s="3046">
        <f t="shared" si="0"/>
        <v>6508.9699999999993</v>
      </c>
      <c r="N5" s="3044" t="s">
        <v>3752</v>
      </c>
      <c r="O5">
        <v>290</v>
      </c>
      <c r="P5">
        <f>J3+J4+J5</f>
        <v>150465.79999999999</v>
      </c>
      <c r="Q5">
        <f>J18+J19+J20</f>
        <v>90639.919999999955</v>
      </c>
      <c r="R5">
        <f>O5*(P5+Q5)/10000</f>
        <v>6992.0658799999983</v>
      </c>
      <c r="T5">
        <f>O5*P5/10000</f>
        <v>4363.5082000000002</v>
      </c>
      <c r="U5">
        <f>O5*Q5/10000</f>
        <v>2628.5576799999985</v>
      </c>
    </row>
    <row r="6" spans="1:21">
      <c r="A6" s="3045" t="s">
        <v>3064</v>
      </c>
      <c r="B6" s="3045">
        <f t="shared" si="1"/>
        <v>14331.2</v>
      </c>
      <c r="C6" s="3046">
        <v>13828.35</v>
      </c>
      <c r="D6" s="3046">
        <v>502.85</v>
      </c>
      <c r="E6" s="3046">
        <v>96.4</v>
      </c>
      <c r="F6" s="3045" t="s">
        <v>3084</v>
      </c>
      <c r="H6" s="3045" t="s">
        <v>3093</v>
      </c>
      <c r="I6" s="3134"/>
      <c r="J6" s="3046">
        <f>C15+C16</f>
        <v>388</v>
      </c>
      <c r="K6" s="3046"/>
      <c r="L6" s="3046">
        <f t="shared" si="0"/>
        <v>388</v>
      </c>
      <c r="N6" s="3044" t="s">
        <v>3753</v>
      </c>
      <c r="O6">
        <v>320</v>
      </c>
      <c r="P6">
        <f>K9+J7+J6</f>
        <v>48355.45</v>
      </c>
      <c r="Q6">
        <f>J21+J22+K24</f>
        <v>57291.540000000008</v>
      </c>
      <c r="R6">
        <f>O6*(P6+Q6)/10000</f>
        <v>3380.7036800000005</v>
      </c>
      <c r="S6">
        <v>6846</v>
      </c>
      <c r="T6">
        <f>O6*P6/10000</f>
        <v>1547.3743999999999</v>
      </c>
      <c r="U6">
        <f>O6*Q6/10000</f>
        <v>1833.3292800000004</v>
      </c>
    </row>
    <row r="7" spans="1:21">
      <c r="A7" s="3045" t="s">
        <v>3065</v>
      </c>
      <c r="B7" s="3045">
        <f t="shared" si="1"/>
        <v>13365.699999999999</v>
      </c>
      <c r="C7" s="3046">
        <v>12864.47</v>
      </c>
      <c r="D7" s="3046">
        <v>501.23</v>
      </c>
      <c r="E7" s="3046">
        <v>89.5</v>
      </c>
      <c r="F7" s="3045" t="s">
        <v>3084</v>
      </c>
      <c r="H7" s="3045" t="s">
        <v>3094</v>
      </c>
      <c r="I7" s="3134"/>
      <c r="J7" s="3046">
        <f>C24</f>
        <v>298.92</v>
      </c>
      <c r="K7" s="3046"/>
      <c r="L7" s="3046">
        <f t="shared" si="0"/>
        <v>298.92</v>
      </c>
      <c r="P7">
        <f>SUM(P5:P6)</f>
        <v>198821.25</v>
      </c>
      <c r="Q7">
        <f>SUM(Q5:Q6)</f>
        <v>147931.45999999996</v>
      </c>
      <c r="R7">
        <f>SUM(R5:R6)</f>
        <v>10372.769559999999</v>
      </c>
      <c r="T7">
        <f>SUM(T5:T6)</f>
        <v>5910.8825999999999</v>
      </c>
      <c r="U7">
        <f>SUM(U5:U6)</f>
        <v>4461.8869599999989</v>
      </c>
    </row>
    <row r="8" spans="1:21">
      <c r="A8" s="3045" t="s">
        <v>3066</v>
      </c>
      <c r="B8" s="3045">
        <f t="shared" si="1"/>
        <v>12731.3</v>
      </c>
      <c r="C8" s="3046">
        <v>12236.49</v>
      </c>
      <c r="D8" s="3046">
        <v>494.81</v>
      </c>
      <c r="E8" s="3046">
        <v>86.5</v>
      </c>
      <c r="F8" s="3045" t="s">
        <v>3084</v>
      </c>
      <c r="H8" s="3045" t="s">
        <v>3083</v>
      </c>
      <c r="I8" s="3135"/>
      <c r="J8" s="3046"/>
      <c r="K8" s="3046">
        <f>K14-K3-K4-K5</f>
        <v>41200.14</v>
      </c>
      <c r="L8" s="3046">
        <f t="shared" si="0"/>
        <v>41200.14</v>
      </c>
      <c r="T8">
        <f>S6-U7</f>
        <v>2384.1130400000011</v>
      </c>
    </row>
    <row r="9" spans="1:21">
      <c r="A9" s="3045" t="s">
        <v>3067</v>
      </c>
      <c r="B9" s="3045">
        <f t="shared" si="1"/>
        <v>2469.81</v>
      </c>
      <c r="C9" s="3046">
        <v>2219.79</v>
      </c>
      <c r="D9" s="3046">
        <v>250.02</v>
      </c>
      <c r="E9" s="3046">
        <v>19.5</v>
      </c>
      <c r="F9" s="3045" t="s">
        <v>3096</v>
      </c>
      <c r="H9" s="3045" t="s">
        <v>3075</v>
      </c>
      <c r="I9" s="3046"/>
      <c r="J9" s="3046">
        <f>SUM(J3:J7)</f>
        <v>151152.72</v>
      </c>
      <c r="K9" s="3046">
        <f>SUM(K3:K8)</f>
        <v>47668.53</v>
      </c>
      <c r="L9" s="3046">
        <f>J9+K9</f>
        <v>198821.25</v>
      </c>
      <c r="U9">
        <f>S6-T7</f>
        <v>935.11740000000009</v>
      </c>
    </row>
    <row r="10" spans="1:21">
      <c r="A10" s="3045" t="s">
        <v>3068</v>
      </c>
      <c r="B10" s="3045">
        <f t="shared" si="1"/>
        <v>8779.0299999999988</v>
      </c>
      <c r="C10" s="3046">
        <v>8302.2199999999993</v>
      </c>
      <c r="D10" s="3046">
        <v>476.81</v>
      </c>
      <c r="E10" s="3046">
        <v>35.25</v>
      </c>
      <c r="F10" s="3045" t="s">
        <v>3095</v>
      </c>
      <c r="S10">
        <f>R7-S6</f>
        <v>3526.7695599999988</v>
      </c>
    </row>
    <row r="11" spans="1:21">
      <c r="A11" s="3045" t="s">
        <v>3069</v>
      </c>
      <c r="B11" s="3045">
        <f t="shared" si="1"/>
        <v>2170.61</v>
      </c>
      <c r="C11" s="3046">
        <v>1920.59</v>
      </c>
      <c r="D11" s="3046">
        <v>250.02</v>
      </c>
      <c r="E11" s="3046">
        <v>16.350000000000001</v>
      </c>
      <c r="F11" s="3045" t="s">
        <v>3096</v>
      </c>
      <c r="H11" s="3044" t="s">
        <v>3702</v>
      </c>
      <c r="I11" s="3074">
        <v>37418.35</v>
      </c>
      <c r="J11">
        <v>1006</v>
      </c>
      <c r="K11">
        <f>I11/J11</f>
        <v>37.195178926441351</v>
      </c>
    </row>
    <row r="12" spans="1:21">
      <c r="A12" s="3045" t="s">
        <v>3070</v>
      </c>
      <c r="B12" s="3045">
        <f t="shared" si="1"/>
        <v>1868.55</v>
      </c>
      <c r="C12" s="3046">
        <v>1621.77</v>
      </c>
      <c r="D12" s="3046">
        <v>246.78</v>
      </c>
      <c r="E12" s="3046">
        <v>13.2</v>
      </c>
      <c r="F12" s="3045" t="s">
        <v>3096</v>
      </c>
      <c r="I12">
        <v>8387.2000000000007</v>
      </c>
      <c r="J12">
        <v>204</v>
      </c>
      <c r="K12">
        <f>I12/J12</f>
        <v>41.113725490196082</v>
      </c>
    </row>
    <row r="13" spans="1:21">
      <c r="A13" s="3045" t="s">
        <v>3071</v>
      </c>
      <c r="B13" s="3045">
        <f t="shared" si="1"/>
        <v>14740.36</v>
      </c>
      <c r="C13" s="3046">
        <v>14235.67</v>
      </c>
      <c r="D13" s="3046">
        <v>504.69</v>
      </c>
      <c r="E13" s="3046">
        <v>96.4</v>
      </c>
      <c r="F13" s="3045" t="s">
        <v>3084</v>
      </c>
      <c r="I13">
        <f>I11+I12+D28+D25+D17</f>
        <v>83135.94</v>
      </c>
    </row>
    <row r="14" spans="1:21">
      <c r="A14" s="3045" t="s">
        <v>3072</v>
      </c>
      <c r="B14" s="3045">
        <f t="shared" si="1"/>
        <v>6456.28</v>
      </c>
      <c r="C14" s="3046">
        <v>6006.59</v>
      </c>
      <c r="D14" s="3046">
        <v>449.69</v>
      </c>
      <c r="E14" s="3046">
        <v>25.8</v>
      </c>
      <c r="F14" s="3045" t="s">
        <v>3095</v>
      </c>
      <c r="K14">
        <f>ROUND(J9/(J9+J25)*I13,2)</f>
        <v>47668.53</v>
      </c>
    </row>
    <row r="15" spans="1:21">
      <c r="A15" s="3045" t="s">
        <v>3073</v>
      </c>
      <c r="B15" s="3045">
        <f t="shared" si="1"/>
        <v>194</v>
      </c>
      <c r="C15" s="3046">
        <v>194</v>
      </c>
      <c r="D15" s="3046"/>
      <c r="E15" s="3046">
        <v>5.75</v>
      </c>
      <c r="F15" s="3045" t="s">
        <v>3098</v>
      </c>
    </row>
    <row r="16" spans="1:21">
      <c r="A16" s="3045" t="s">
        <v>3074</v>
      </c>
      <c r="B16" s="3045">
        <f t="shared" si="1"/>
        <v>194</v>
      </c>
      <c r="C16" s="3046">
        <v>194</v>
      </c>
      <c r="D16" s="3046"/>
      <c r="E16" s="3046">
        <v>5.75</v>
      </c>
      <c r="F16" s="3045" t="s">
        <v>3098</v>
      </c>
      <c r="H16" s="3130" t="s">
        <v>3712</v>
      </c>
      <c r="I16" s="3131"/>
      <c r="J16" s="3131"/>
      <c r="K16" s="3131"/>
      <c r="L16" s="3131"/>
    </row>
    <row r="17" spans="1:14">
      <c r="A17" s="3045" t="s">
        <v>3076</v>
      </c>
      <c r="B17" s="3045">
        <f>C17+D17</f>
        <v>93442.909999999989</v>
      </c>
      <c r="C17" s="3046">
        <f>SUM(C4:C16)</f>
        <v>88834.15</v>
      </c>
      <c r="D17" s="3046">
        <f>SUM(D4:D16)</f>
        <v>4608.7599999999993</v>
      </c>
      <c r="E17" s="3046"/>
      <c r="F17" s="3046"/>
      <c r="H17" s="3045" t="s">
        <v>3085</v>
      </c>
      <c r="I17" s="3045" t="s">
        <v>3086</v>
      </c>
      <c r="J17" s="3045" t="s">
        <v>3087</v>
      </c>
      <c r="K17" s="3045" t="s">
        <v>3088</v>
      </c>
      <c r="L17" s="3045" t="s">
        <v>3075</v>
      </c>
    </row>
    <row r="18" spans="1:14">
      <c r="A18" s="3044"/>
      <c r="B18" s="3044"/>
      <c r="H18" s="3045" t="s">
        <v>3089</v>
      </c>
      <c r="I18" s="3133">
        <f>J32-I3</f>
        <v>45641.759999999995</v>
      </c>
      <c r="J18" s="3046">
        <f>G44+G45+G46</f>
        <v>40184.449999999953</v>
      </c>
      <c r="K18" s="3046"/>
      <c r="L18" s="3046">
        <f>J18+K18</f>
        <v>40184.449999999953</v>
      </c>
      <c r="N18">
        <f>J18+J3</f>
        <v>155369.07999999996</v>
      </c>
    </row>
    <row r="19" spans="1:14">
      <c r="A19" s="3045" t="s">
        <v>3058</v>
      </c>
      <c r="B19" s="3045" t="s">
        <v>3075</v>
      </c>
      <c r="C19" s="3045" t="s">
        <v>3060</v>
      </c>
      <c r="D19" s="3045" t="s">
        <v>3061</v>
      </c>
      <c r="E19" s="3045" t="s">
        <v>3062</v>
      </c>
      <c r="F19" s="3046"/>
      <c r="H19" s="3045" t="s">
        <v>3090</v>
      </c>
      <c r="I19" s="3134"/>
      <c r="J19" s="3046">
        <f>SUM(G37:G43)</f>
        <v>45336.350000000006</v>
      </c>
      <c r="K19" s="3046"/>
      <c r="L19" s="3046">
        <f t="shared" ref="L19:L24" si="2">J19+K19</f>
        <v>45336.350000000006</v>
      </c>
      <c r="N19">
        <f>J19+J4</f>
        <v>74855.37000000001</v>
      </c>
    </row>
    <row r="20" spans="1:14">
      <c r="A20" s="3045" t="s">
        <v>3077</v>
      </c>
      <c r="B20" s="3046">
        <f>C20+D20</f>
        <v>16360.04</v>
      </c>
      <c r="C20" s="3046">
        <v>15941.67</v>
      </c>
      <c r="D20" s="3046">
        <v>418.37</v>
      </c>
      <c r="E20" s="3046">
        <v>96.9</v>
      </c>
      <c r="F20" s="3045" t="s">
        <v>3084</v>
      </c>
      <c r="H20" s="3045" t="s">
        <v>3091</v>
      </c>
      <c r="I20" s="3134"/>
      <c r="J20" s="3046">
        <f>SUM(G34:G36)</f>
        <v>5119.12</v>
      </c>
      <c r="K20" s="3046"/>
      <c r="L20" s="3046">
        <f t="shared" si="2"/>
        <v>5119.12</v>
      </c>
      <c r="N20">
        <f>J20+J5</f>
        <v>10881.27</v>
      </c>
    </row>
    <row r="21" spans="1:14">
      <c r="A21" s="3045" t="s">
        <v>3078</v>
      </c>
      <c r="B21" s="3046">
        <f t="shared" ref="B21:B24" si="3">C21+D21</f>
        <v>18301.27</v>
      </c>
      <c r="C21" s="3046">
        <v>17853.330000000002</v>
      </c>
      <c r="D21" s="3046">
        <v>447.94</v>
      </c>
      <c r="E21" s="3046">
        <v>96.4</v>
      </c>
      <c r="F21" s="3045" t="s">
        <v>3084</v>
      </c>
      <c r="H21" s="3045" t="s">
        <v>3691</v>
      </c>
      <c r="I21" s="3134"/>
      <c r="J21" s="3046">
        <f>商业面积!L5</f>
        <v>15388.85</v>
      </c>
      <c r="K21" s="3046"/>
      <c r="L21" s="3046">
        <f t="shared" si="2"/>
        <v>15388.85</v>
      </c>
    </row>
    <row r="22" spans="1:14">
      <c r="A22" s="3045" t="s">
        <v>3079</v>
      </c>
      <c r="B22" s="3046">
        <f t="shared" si="3"/>
        <v>15347.84</v>
      </c>
      <c r="C22" s="3046">
        <v>14855.75</v>
      </c>
      <c r="D22" s="3046">
        <v>492.09</v>
      </c>
      <c r="E22" s="3046">
        <v>87.4</v>
      </c>
      <c r="F22" s="3045" t="s">
        <v>3084</v>
      </c>
      <c r="H22" s="3045" t="s">
        <v>3587</v>
      </c>
      <c r="I22" s="3134"/>
      <c r="J22" s="3046">
        <f>商业面积!F164</f>
        <v>6435.28</v>
      </c>
      <c r="K22" s="3046"/>
      <c r="L22" s="3046">
        <f t="shared" si="2"/>
        <v>6435.28</v>
      </c>
    </row>
    <row r="23" spans="1:14">
      <c r="A23" s="3045" t="s">
        <v>3081</v>
      </c>
      <c r="B23" s="3046">
        <f t="shared" si="3"/>
        <v>13870.13</v>
      </c>
      <c r="C23" s="3046">
        <v>13368.9</v>
      </c>
      <c r="D23" s="3046">
        <v>501.23</v>
      </c>
      <c r="E23" s="3046">
        <v>90.4</v>
      </c>
      <c r="F23" s="3045" t="s">
        <v>3084</v>
      </c>
      <c r="H23" s="3045"/>
      <c r="I23" s="3134"/>
      <c r="J23" s="3046"/>
      <c r="K23" s="3046"/>
      <c r="L23" s="3046">
        <f t="shared" si="2"/>
        <v>0</v>
      </c>
    </row>
    <row r="24" spans="1:14">
      <c r="A24" s="3045" t="s">
        <v>3080</v>
      </c>
      <c r="B24" s="3046">
        <f t="shared" si="3"/>
        <v>298.92</v>
      </c>
      <c r="C24" s="3046">
        <v>298.92</v>
      </c>
      <c r="D24" s="3046"/>
      <c r="E24" s="3046">
        <v>9.75</v>
      </c>
      <c r="F24" s="3045" t="s">
        <v>3099</v>
      </c>
      <c r="H24" s="3045" t="s">
        <v>3711</v>
      </c>
      <c r="I24" s="3135"/>
      <c r="J24" s="3046"/>
      <c r="K24" s="3046">
        <f>I13-K9</f>
        <v>35467.410000000003</v>
      </c>
      <c r="L24" s="3046">
        <f t="shared" si="2"/>
        <v>35467.410000000003</v>
      </c>
    </row>
    <row r="25" spans="1:14">
      <c r="A25" s="3045" t="s">
        <v>3082</v>
      </c>
      <c r="B25" s="3046">
        <f>SUM(B20:B24)</f>
        <v>64178.19999999999</v>
      </c>
      <c r="C25" s="3046">
        <f t="shared" ref="C25" si="4">SUM(C20:C24)</f>
        <v>62318.57</v>
      </c>
      <c r="D25" s="3046">
        <f>SUM(D20:D24)</f>
        <v>1859.6299999999999</v>
      </c>
      <c r="E25" s="3046"/>
      <c r="F25" s="3046"/>
      <c r="H25" s="3045" t="s">
        <v>3075</v>
      </c>
      <c r="I25" s="3046"/>
      <c r="J25" s="3046">
        <f>SUM(J18:J24)</f>
        <v>112464.04999999996</v>
      </c>
      <c r="K25" s="3046">
        <f>SUM(K18:K24)</f>
        <v>35467.410000000003</v>
      </c>
      <c r="L25" s="3046">
        <f>J25+K25</f>
        <v>147931.45999999996</v>
      </c>
    </row>
    <row r="27" spans="1:14">
      <c r="A27" s="3045" t="s">
        <v>3058</v>
      </c>
      <c r="B27" s="3045" t="s">
        <v>3075</v>
      </c>
      <c r="C27" s="3045" t="s">
        <v>3060</v>
      </c>
      <c r="D27" s="3045" t="s">
        <v>3061</v>
      </c>
      <c r="E27" s="3045" t="s">
        <v>3062</v>
      </c>
      <c r="F27" s="3046"/>
    </row>
    <row r="28" spans="1:14">
      <c r="A28" s="3045" t="s">
        <v>3083</v>
      </c>
      <c r="B28" s="3046">
        <f>C28+D28</f>
        <v>30862</v>
      </c>
      <c r="C28" s="3046">
        <v>0</v>
      </c>
      <c r="D28" s="3082">
        <v>30862</v>
      </c>
      <c r="E28" s="3046"/>
      <c r="F28" s="3046"/>
    </row>
    <row r="29" spans="1:14">
      <c r="A29" s="3045" t="s">
        <v>3075</v>
      </c>
      <c r="B29" s="3046">
        <f>B17+B25+B28</f>
        <v>188483.11</v>
      </c>
      <c r="C29" s="3046">
        <f t="shared" ref="C29:D29" si="5">C17+C25+C28</f>
        <v>151152.72</v>
      </c>
      <c r="D29" s="3046">
        <f t="shared" si="5"/>
        <v>37330.39</v>
      </c>
      <c r="E29" s="3046"/>
      <c r="F29" s="3046"/>
      <c r="I29" s="3044" t="s">
        <v>3588</v>
      </c>
      <c r="J29">
        <v>16784.939999999999</v>
      </c>
      <c r="L29">
        <f>J18+J19+J20-J29</f>
        <v>73854.979999999952</v>
      </c>
    </row>
    <row r="31" spans="1:14">
      <c r="A31" s="3132" t="s">
        <v>3168</v>
      </c>
      <c r="B31" s="3132" t="s">
        <v>3169</v>
      </c>
      <c r="C31" s="3132" t="s">
        <v>3170</v>
      </c>
      <c r="D31" s="3132" t="s">
        <v>3171</v>
      </c>
      <c r="E31" s="3136" t="s">
        <v>3172</v>
      </c>
      <c r="I31" s="3044" t="s">
        <v>3703</v>
      </c>
      <c r="J31">
        <f>(J25+J9)/J32</f>
        <v>2.4640604684595084</v>
      </c>
    </row>
    <row r="32" spans="1:14">
      <c r="A32" s="3132"/>
      <c r="B32" s="3132"/>
      <c r="C32" s="3132"/>
      <c r="D32" s="3132"/>
      <c r="E32" s="3136"/>
      <c r="I32" s="3044" t="s">
        <v>3704</v>
      </c>
      <c r="J32">
        <v>106984.7</v>
      </c>
    </row>
    <row r="33" spans="1:13">
      <c r="A33" s="3132"/>
      <c r="B33" s="3132"/>
      <c r="C33" s="3132"/>
      <c r="D33" s="3132"/>
      <c r="E33" s="3136"/>
      <c r="I33" s="3044" t="s">
        <v>3749</v>
      </c>
    </row>
    <row r="34" spans="1:13">
      <c r="A34" s="3047" t="s">
        <v>3100</v>
      </c>
      <c r="B34" s="3048" t="s">
        <v>3101</v>
      </c>
      <c r="C34" s="3049">
        <v>16</v>
      </c>
      <c r="D34" s="3049" t="s">
        <v>3102</v>
      </c>
      <c r="E34" s="3049">
        <v>150.58000000000001</v>
      </c>
      <c r="F34" s="3050" t="s">
        <v>3173</v>
      </c>
      <c r="G34">
        <f>SUM(E34:E45)</f>
        <v>1806.9599999999998</v>
      </c>
      <c r="H34" s="3044" t="s">
        <v>3096</v>
      </c>
      <c r="I34" s="3433" t="s">
        <v>3750</v>
      </c>
      <c r="J34" s="3433"/>
      <c r="K34" s="3433"/>
      <c r="L34" s="3433"/>
      <c r="M34" s="3436">
        <v>0.6</v>
      </c>
    </row>
    <row r="35" spans="1:13">
      <c r="A35" s="3047" t="s">
        <v>3100</v>
      </c>
      <c r="B35" s="3048" t="s">
        <v>3101</v>
      </c>
      <c r="C35" s="3049">
        <v>16</v>
      </c>
      <c r="D35" s="3049" t="s">
        <v>3103</v>
      </c>
      <c r="E35" s="3049">
        <v>150.58000000000001</v>
      </c>
      <c r="F35" s="3050" t="s">
        <v>3574</v>
      </c>
      <c r="G35">
        <f>SUM(E46:E55)</f>
        <v>1505.8</v>
      </c>
      <c r="H35" s="3044" t="s">
        <v>3096</v>
      </c>
      <c r="I35" s="3434" t="str">
        <f>I34</f>
        <v>二次结构完成，正在进行外立面施工</v>
      </c>
      <c r="J35" s="3434"/>
      <c r="K35" s="3434"/>
      <c r="L35" s="3434"/>
      <c r="M35" s="3436">
        <f>M34</f>
        <v>0.6</v>
      </c>
    </row>
    <row r="36" spans="1:13">
      <c r="A36" s="3047" t="s">
        <v>3100</v>
      </c>
      <c r="B36" s="3048" t="s">
        <v>3101</v>
      </c>
      <c r="C36" s="3049">
        <v>16</v>
      </c>
      <c r="D36" s="3049" t="s">
        <v>3104</v>
      </c>
      <c r="E36" s="3049">
        <v>150.58000000000001</v>
      </c>
      <c r="F36" s="3050" t="s">
        <v>3575</v>
      </c>
      <c r="G36">
        <f>SUM(E56:E67)</f>
        <v>1806.36</v>
      </c>
      <c r="H36" s="3044" t="s">
        <v>3096</v>
      </c>
      <c r="I36" s="3433" t="s">
        <v>3750</v>
      </c>
      <c r="J36" s="3433"/>
      <c r="K36" s="3433"/>
      <c r="L36" s="3433"/>
      <c r="M36" s="3436">
        <f t="shared" ref="M36:M42" si="6">M35</f>
        <v>0.6</v>
      </c>
    </row>
    <row r="37" spans="1:13">
      <c r="A37" s="3047" t="s">
        <v>3100</v>
      </c>
      <c r="B37" s="3048" t="s">
        <v>3101</v>
      </c>
      <c r="C37" s="3049">
        <v>16</v>
      </c>
      <c r="D37" s="3049" t="s">
        <v>3105</v>
      </c>
      <c r="E37" s="3049">
        <v>150.58000000000001</v>
      </c>
      <c r="F37" s="3054" t="s">
        <v>3576</v>
      </c>
      <c r="G37">
        <f>SUM(E68:E99)</f>
        <v>4461.6799999999994</v>
      </c>
      <c r="H37" s="3044" t="s">
        <v>3577</v>
      </c>
      <c r="I37" s="3434" t="str">
        <f t="shared" ref="I37:I42" si="7">I36</f>
        <v>二次结构完成，正在进行外立面施工</v>
      </c>
      <c r="J37" s="3434"/>
      <c r="K37" s="3434"/>
      <c r="L37" s="3434"/>
      <c r="M37" s="3436">
        <f t="shared" si="6"/>
        <v>0.6</v>
      </c>
    </row>
    <row r="38" spans="1:13">
      <c r="A38" s="3047" t="s">
        <v>3100</v>
      </c>
      <c r="B38" s="3048" t="s">
        <v>3101</v>
      </c>
      <c r="C38" s="3049">
        <v>16</v>
      </c>
      <c r="D38" s="3049" t="s">
        <v>3106</v>
      </c>
      <c r="E38" s="3049">
        <v>150.58000000000001</v>
      </c>
      <c r="F38" s="3054" t="s">
        <v>3578</v>
      </c>
      <c r="G38">
        <f>SUM(E100:E157)</f>
        <v>8101.9599999999955</v>
      </c>
      <c r="H38" s="3044" t="s">
        <v>3577</v>
      </c>
      <c r="I38" s="3433" t="s">
        <v>3750</v>
      </c>
      <c r="J38" s="3433"/>
      <c r="K38" s="3433"/>
      <c r="L38" s="3433"/>
      <c r="M38" s="3436">
        <f t="shared" si="6"/>
        <v>0.6</v>
      </c>
    </row>
    <row r="39" spans="1:13">
      <c r="A39" s="3047" t="s">
        <v>3100</v>
      </c>
      <c r="B39" s="3048" t="s">
        <v>3101</v>
      </c>
      <c r="C39" s="3049">
        <v>16</v>
      </c>
      <c r="D39" s="3049" t="s">
        <v>3107</v>
      </c>
      <c r="E39" s="3049">
        <v>150.58000000000001</v>
      </c>
      <c r="F39" s="3054" t="s">
        <v>3579</v>
      </c>
      <c r="G39">
        <f>SUM(E158:E215)</f>
        <v>8068.1500000000033</v>
      </c>
      <c r="H39" s="3044" t="s">
        <v>3577</v>
      </c>
      <c r="I39" s="3434" t="str">
        <f t="shared" ref="I39:I42" si="8">I38</f>
        <v>二次结构完成，正在进行外立面施工</v>
      </c>
      <c r="J39" s="3434"/>
      <c r="K39" s="3434"/>
      <c r="L39" s="3434"/>
      <c r="M39" s="3436">
        <f t="shared" si="6"/>
        <v>0.6</v>
      </c>
    </row>
    <row r="40" spans="1:13">
      <c r="A40" s="3047" t="s">
        <v>3100</v>
      </c>
      <c r="B40" s="3048" t="s">
        <v>3101</v>
      </c>
      <c r="C40" s="3049">
        <v>16</v>
      </c>
      <c r="D40" s="3049" t="s">
        <v>3108</v>
      </c>
      <c r="E40" s="3049">
        <v>150.58000000000001</v>
      </c>
      <c r="F40" s="3054" t="s">
        <v>3580</v>
      </c>
      <c r="G40">
        <f>SUM(E216:E265)</f>
        <v>6776.4</v>
      </c>
      <c r="H40" s="3044" t="s">
        <v>3577</v>
      </c>
      <c r="I40" s="3433" t="s">
        <v>3750</v>
      </c>
      <c r="J40" s="3433"/>
      <c r="K40" s="3433"/>
      <c r="L40" s="3433"/>
      <c r="M40" s="3436">
        <f t="shared" si="6"/>
        <v>0.6</v>
      </c>
    </row>
    <row r="41" spans="1:13">
      <c r="A41" s="3047" t="s">
        <v>3100</v>
      </c>
      <c r="B41" s="3048" t="s">
        <v>3101</v>
      </c>
      <c r="C41" s="3049">
        <v>16</v>
      </c>
      <c r="D41" s="3049" t="s">
        <v>3109</v>
      </c>
      <c r="E41" s="3049">
        <v>150.58000000000001</v>
      </c>
      <c r="F41" s="3054" t="s">
        <v>3581</v>
      </c>
      <c r="G41">
        <f>SUM(E266:E315)</f>
        <v>6797.6300000000037</v>
      </c>
      <c r="H41" s="3044" t="s">
        <v>3577</v>
      </c>
      <c r="I41" s="3434" t="str">
        <f t="shared" ref="I41:I42" si="9">I40</f>
        <v>二次结构完成，正在进行外立面施工</v>
      </c>
      <c r="J41" s="3434"/>
      <c r="K41" s="3434"/>
      <c r="L41" s="3434"/>
      <c r="M41" s="3436">
        <f t="shared" si="6"/>
        <v>0.6</v>
      </c>
    </row>
    <row r="42" spans="1:13">
      <c r="A42" s="3047" t="s">
        <v>3100</v>
      </c>
      <c r="B42" s="3048" t="s">
        <v>3101</v>
      </c>
      <c r="C42" s="3049">
        <v>16</v>
      </c>
      <c r="D42" s="3049" t="s">
        <v>3110</v>
      </c>
      <c r="E42" s="3049">
        <v>150.58000000000001</v>
      </c>
      <c r="F42" s="3054" t="s">
        <v>3582</v>
      </c>
      <c r="G42">
        <f>SUM(E316:E359)</f>
        <v>6141.3100000000013</v>
      </c>
      <c r="H42" s="3044" t="s">
        <v>3577</v>
      </c>
      <c r="I42" s="3433" t="s">
        <v>3750</v>
      </c>
      <c r="J42" s="3433"/>
      <c r="K42" s="3433"/>
      <c r="L42" s="3433"/>
      <c r="M42" s="3436">
        <f>M41</f>
        <v>0.6</v>
      </c>
    </row>
    <row r="43" spans="1:13">
      <c r="A43" s="3047" t="s">
        <v>3100</v>
      </c>
      <c r="B43" s="3048" t="s">
        <v>3101</v>
      </c>
      <c r="C43" s="3049">
        <v>16</v>
      </c>
      <c r="D43" s="3049" t="s">
        <v>3111</v>
      </c>
      <c r="E43" s="3049">
        <v>150.58000000000001</v>
      </c>
      <c r="F43" s="3056" t="s">
        <v>3583</v>
      </c>
      <c r="G43" s="3055">
        <f>SUM(E360:E399)</f>
        <v>4989.2199999999984</v>
      </c>
      <c r="H43" s="3044" t="s">
        <v>3577</v>
      </c>
      <c r="I43" s="3435" t="s">
        <v>3751</v>
      </c>
      <c r="J43" s="3434"/>
      <c r="K43" s="3434"/>
      <c r="L43" s="3434"/>
      <c r="M43" s="3436">
        <v>0.75</v>
      </c>
    </row>
    <row r="44" spans="1:13">
      <c r="A44" s="3047" t="s">
        <v>3100</v>
      </c>
      <c r="B44" s="3048" t="s">
        <v>3101</v>
      </c>
      <c r="C44" s="3049">
        <v>16</v>
      </c>
      <c r="D44" s="3049" t="s">
        <v>3112</v>
      </c>
      <c r="E44" s="3049">
        <v>150.58000000000001</v>
      </c>
      <c r="F44" s="3056" t="s">
        <v>3584</v>
      </c>
      <c r="G44" s="3055">
        <f>SUM(E400:E515)</f>
        <v>12678.609999999997</v>
      </c>
      <c r="H44" s="3044" t="s">
        <v>3084</v>
      </c>
      <c r="I44" s="3434"/>
      <c r="J44" s="3434"/>
      <c r="K44" s="3434"/>
      <c r="L44" s="3434"/>
      <c r="M44" s="3436">
        <f>ROUND((G37*M37+G38*M38+G39*M39+G40*M40+G41*M41+G42*M42+G43*M43)/J19,2)</f>
        <v>0.62</v>
      </c>
    </row>
    <row r="45" spans="1:13">
      <c r="A45" s="3047" t="s">
        <v>3100</v>
      </c>
      <c r="B45" s="3048" t="s">
        <v>3101</v>
      </c>
      <c r="C45" s="3049">
        <v>16</v>
      </c>
      <c r="D45" s="3049" t="s">
        <v>3113</v>
      </c>
      <c r="E45" s="3049">
        <v>150.58000000000001</v>
      </c>
      <c r="F45" s="3056" t="s">
        <v>3585</v>
      </c>
      <c r="G45" s="3055">
        <f>SUM(E516:E639)</f>
        <v>14287.059999999972</v>
      </c>
      <c r="H45" s="3044" t="s">
        <v>3084</v>
      </c>
      <c r="I45" s="3434"/>
      <c r="J45" s="3434"/>
      <c r="K45" s="3434"/>
      <c r="L45" s="3434"/>
    </row>
    <row r="46" spans="1:13">
      <c r="A46" s="3047" t="s">
        <v>3100</v>
      </c>
      <c r="B46" s="3048" t="s">
        <v>3101</v>
      </c>
      <c r="C46" s="3049">
        <v>17</v>
      </c>
      <c r="D46" s="3049" t="s">
        <v>3102</v>
      </c>
      <c r="E46" s="3049">
        <v>150.58000000000001</v>
      </c>
      <c r="F46" s="3056" t="s">
        <v>3586</v>
      </c>
      <c r="G46" s="3055">
        <f>SUM(E640:E759)</f>
        <v>13218.779999999986</v>
      </c>
      <c r="H46" s="3044" t="s">
        <v>3084</v>
      </c>
      <c r="I46" s="3434"/>
      <c r="J46" s="3434"/>
      <c r="K46" s="3434"/>
      <c r="L46" s="3434"/>
    </row>
    <row r="47" spans="1:13">
      <c r="A47" s="3047" t="s">
        <v>3100</v>
      </c>
      <c r="B47" s="3048" t="s">
        <v>3101</v>
      </c>
      <c r="C47" s="3049">
        <v>17</v>
      </c>
      <c r="D47" s="3049" t="s">
        <v>3103</v>
      </c>
      <c r="E47" s="3049">
        <v>150.58000000000001</v>
      </c>
      <c r="G47">
        <f>SUM(G34:G46)</f>
        <v>90639.919999999955</v>
      </c>
    </row>
    <row r="48" spans="1:13">
      <c r="A48" s="3047" t="s">
        <v>3100</v>
      </c>
      <c r="B48" s="3048" t="s">
        <v>3101</v>
      </c>
      <c r="C48" s="3049">
        <v>17</v>
      </c>
      <c r="D48" s="3049" t="s">
        <v>3104</v>
      </c>
      <c r="E48" s="3049">
        <v>150.58000000000001</v>
      </c>
    </row>
    <row r="49" spans="1:5">
      <c r="A49" s="3047" t="s">
        <v>3100</v>
      </c>
      <c r="B49" s="3048" t="s">
        <v>3101</v>
      </c>
      <c r="C49" s="3049">
        <v>17</v>
      </c>
      <c r="D49" s="3049" t="s">
        <v>3105</v>
      </c>
      <c r="E49" s="3049">
        <v>150.58000000000001</v>
      </c>
    </row>
    <row r="50" spans="1:5">
      <c r="A50" s="3047" t="s">
        <v>3100</v>
      </c>
      <c r="B50" s="3048" t="s">
        <v>3101</v>
      </c>
      <c r="C50" s="3049">
        <v>17</v>
      </c>
      <c r="D50" s="3049" t="s">
        <v>3106</v>
      </c>
      <c r="E50" s="3049">
        <v>150.58000000000001</v>
      </c>
    </row>
    <row r="51" spans="1:5">
      <c r="A51" s="3047" t="s">
        <v>3100</v>
      </c>
      <c r="B51" s="3048" t="s">
        <v>3101</v>
      </c>
      <c r="C51" s="3049">
        <v>17</v>
      </c>
      <c r="D51" s="3049" t="s">
        <v>3107</v>
      </c>
      <c r="E51" s="3049">
        <v>150.58000000000001</v>
      </c>
    </row>
    <row r="52" spans="1:5">
      <c r="A52" s="3047" t="s">
        <v>3100</v>
      </c>
      <c r="B52" s="3048" t="s">
        <v>3101</v>
      </c>
      <c r="C52" s="3049">
        <v>17</v>
      </c>
      <c r="D52" s="3049" t="s">
        <v>3108</v>
      </c>
      <c r="E52" s="3049">
        <v>150.58000000000001</v>
      </c>
    </row>
    <row r="53" spans="1:5">
      <c r="A53" s="3047" t="s">
        <v>3100</v>
      </c>
      <c r="B53" s="3048" t="s">
        <v>3101</v>
      </c>
      <c r="C53" s="3049">
        <v>17</v>
      </c>
      <c r="D53" s="3049" t="s">
        <v>3109</v>
      </c>
      <c r="E53" s="3049">
        <v>150.58000000000001</v>
      </c>
    </row>
    <row r="54" spans="1:5">
      <c r="A54" s="3047" t="s">
        <v>3100</v>
      </c>
      <c r="B54" s="3048" t="s">
        <v>3101</v>
      </c>
      <c r="C54" s="3049">
        <v>17</v>
      </c>
      <c r="D54" s="3049" t="s">
        <v>3110</v>
      </c>
      <c r="E54" s="3049">
        <v>150.58000000000001</v>
      </c>
    </row>
    <row r="55" spans="1:5">
      <c r="A55" s="3047" t="s">
        <v>3100</v>
      </c>
      <c r="B55" s="3048" t="s">
        <v>3101</v>
      </c>
      <c r="C55" s="3049">
        <v>17</v>
      </c>
      <c r="D55" s="3049" t="s">
        <v>3111</v>
      </c>
      <c r="E55" s="3049">
        <v>150.58000000000001</v>
      </c>
    </row>
    <row r="56" spans="1:5">
      <c r="A56" s="3047" t="s">
        <v>3100</v>
      </c>
      <c r="B56" s="3048" t="s">
        <v>3101</v>
      </c>
      <c r="C56" s="3049">
        <v>18</v>
      </c>
      <c r="D56" s="3049" t="s">
        <v>3102</v>
      </c>
      <c r="E56" s="3049">
        <v>150.53</v>
      </c>
    </row>
    <row r="57" spans="1:5">
      <c r="A57" s="3047" t="s">
        <v>3100</v>
      </c>
      <c r="B57" s="3048" t="s">
        <v>3101</v>
      </c>
      <c r="C57" s="3049">
        <v>18</v>
      </c>
      <c r="D57" s="3049" t="s">
        <v>3103</v>
      </c>
      <c r="E57" s="3049">
        <v>150.53</v>
      </c>
    </row>
    <row r="58" spans="1:5">
      <c r="A58" s="3047" t="s">
        <v>3100</v>
      </c>
      <c r="B58" s="3048" t="s">
        <v>3101</v>
      </c>
      <c r="C58" s="3049">
        <v>18</v>
      </c>
      <c r="D58" s="3049" t="s">
        <v>3104</v>
      </c>
      <c r="E58" s="3049">
        <v>150.53</v>
      </c>
    </row>
    <row r="59" spans="1:5">
      <c r="A59" s="3047" t="s">
        <v>3100</v>
      </c>
      <c r="B59" s="3048" t="s">
        <v>3101</v>
      </c>
      <c r="C59" s="3049">
        <v>18</v>
      </c>
      <c r="D59" s="3049" t="s">
        <v>3105</v>
      </c>
      <c r="E59" s="3049">
        <v>150.53</v>
      </c>
    </row>
    <row r="60" spans="1:5">
      <c r="A60" s="3047" t="s">
        <v>3100</v>
      </c>
      <c r="B60" s="3048" t="s">
        <v>3101</v>
      </c>
      <c r="C60" s="3049">
        <v>18</v>
      </c>
      <c r="D60" s="3049" t="s">
        <v>3106</v>
      </c>
      <c r="E60" s="3049">
        <v>150.53</v>
      </c>
    </row>
    <row r="61" spans="1:5">
      <c r="A61" s="3047" t="s">
        <v>3100</v>
      </c>
      <c r="B61" s="3048" t="s">
        <v>3101</v>
      </c>
      <c r="C61" s="3049">
        <v>18</v>
      </c>
      <c r="D61" s="3049" t="s">
        <v>3107</v>
      </c>
      <c r="E61" s="3049">
        <v>150.53</v>
      </c>
    </row>
    <row r="62" spans="1:5">
      <c r="A62" s="3047" t="s">
        <v>3100</v>
      </c>
      <c r="B62" s="3048" t="s">
        <v>3101</v>
      </c>
      <c r="C62" s="3049">
        <v>18</v>
      </c>
      <c r="D62" s="3049" t="s">
        <v>3108</v>
      </c>
      <c r="E62" s="3049">
        <v>150.53</v>
      </c>
    </row>
    <row r="63" spans="1:5">
      <c r="A63" s="3047" t="s">
        <v>3100</v>
      </c>
      <c r="B63" s="3048" t="s">
        <v>3101</v>
      </c>
      <c r="C63" s="3049">
        <v>18</v>
      </c>
      <c r="D63" s="3049" t="s">
        <v>3109</v>
      </c>
      <c r="E63" s="3049">
        <v>150.53</v>
      </c>
    </row>
    <row r="64" spans="1:5">
      <c r="A64" s="3047" t="s">
        <v>3100</v>
      </c>
      <c r="B64" s="3048" t="s">
        <v>3101</v>
      </c>
      <c r="C64" s="3049">
        <v>18</v>
      </c>
      <c r="D64" s="3049" t="s">
        <v>3110</v>
      </c>
      <c r="E64" s="3049">
        <v>150.53</v>
      </c>
    </row>
    <row r="65" spans="1:5">
      <c r="A65" s="3047" t="s">
        <v>3100</v>
      </c>
      <c r="B65" s="3048" t="s">
        <v>3101</v>
      </c>
      <c r="C65" s="3049">
        <v>18</v>
      </c>
      <c r="D65" s="3049" t="s">
        <v>3111</v>
      </c>
      <c r="E65" s="3049">
        <v>150.53</v>
      </c>
    </row>
    <row r="66" spans="1:5">
      <c r="A66" s="3047" t="s">
        <v>3100</v>
      </c>
      <c r="B66" s="3048" t="s">
        <v>3101</v>
      </c>
      <c r="C66" s="3049">
        <v>18</v>
      </c>
      <c r="D66" s="3049" t="s">
        <v>3112</v>
      </c>
      <c r="E66" s="3049">
        <v>150.53</v>
      </c>
    </row>
    <row r="67" spans="1:5">
      <c r="A67" s="3047" t="s">
        <v>3100</v>
      </c>
      <c r="B67" s="3048" t="s">
        <v>3101</v>
      </c>
      <c r="C67" s="3049">
        <v>18</v>
      </c>
      <c r="D67" s="3049" t="s">
        <v>3113</v>
      </c>
      <c r="E67" s="3049">
        <v>150.53</v>
      </c>
    </row>
    <row r="68" spans="1:5">
      <c r="A68" s="3047" t="s">
        <v>3100</v>
      </c>
      <c r="B68" s="3048" t="s">
        <v>3101</v>
      </c>
      <c r="C68" s="3049">
        <v>19</v>
      </c>
      <c r="D68" s="3049" t="s">
        <v>3104</v>
      </c>
      <c r="E68" s="3049">
        <v>141.62</v>
      </c>
    </row>
    <row r="69" spans="1:5">
      <c r="A69" s="3047" t="s">
        <v>3100</v>
      </c>
      <c r="B69" s="3048" t="s">
        <v>3101</v>
      </c>
      <c r="C69" s="3049">
        <v>19</v>
      </c>
      <c r="D69" s="3049" t="s">
        <v>3105</v>
      </c>
      <c r="E69" s="3049">
        <v>141.72</v>
      </c>
    </row>
    <row r="70" spans="1:5">
      <c r="A70" s="3047" t="s">
        <v>3100</v>
      </c>
      <c r="B70" s="3048" t="s">
        <v>3101</v>
      </c>
      <c r="C70" s="3049">
        <v>19</v>
      </c>
      <c r="D70" s="3049" t="s">
        <v>3106</v>
      </c>
      <c r="E70" s="3049">
        <v>141.62</v>
      </c>
    </row>
    <row r="71" spans="1:5">
      <c r="A71" s="3047" t="s">
        <v>3100</v>
      </c>
      <c r="B71" s="3048" t="s">
        <v>3101</v>
      </c>
      <c r="C71" s="3049">
        <v>19</v>
      </c>
      <c r="D71" s="3049" t="s">
        <v>3107</v>
      </c>
      <c r="E71" s="3049">
        <v>141.72</v>
      </c>
    </row>
    <row r="72" spans="1:5">
      <c r="A72" s="3047" t="s">
        <v>3100</v>
      </c>
      <c r="B72" s="3048" t="s">
        <v>3101</v>
      </c>
      <c r="C72" s="3049">
        <v>19</v>
      </c>
      <c r="D72" s="3049" t="s">
        <v>3108</v>
      </c>
      <c r="E72" s="3049">
        <v>141.62</v>
      </c>
    </row>
    <row r="73" spans="1:5">
      <c r="A73" s="3047" t="s">
        <v>3100</v>
      </c>
      <c r="B73" s="3048" t="s">
        <v>3101</v>
      </c>
      <c r="C73" s="3049">
        <v>19</v>
      </c>
      <c r="D73" s="3049" t="s">
        <v>3109</v>
      </c>
      <c r="E73" s="3049">
        <v>141.72</v>
      </c>
    </row>
    <row r="74" spans="1:5">
      <c r="A74" s="3047" t="s">
        <v>3100</v>
      </c>
      <c r="B74" s="3048" t="s">
        <v>3101</v>
      </c>
      <c r="C74" s="3049">
        <v>19</v>
      </c>
      <c r="D74" s="3049" t="s">
        <v>3110</v>
      </c>
      <c r="E74" s="3049">
        <v>141.62</v>
      </c>
    </row>
    <row r="75" spans="1:5">
      <c r="A75" s="3047" t="s">
        <v>3100</v>
      </c>
      <c r="B75" s="3048" t="s">
        <v>3101</v>
      </c>
      <c r="C75" s="3049">
        <v>19</v>
      </c>
      <c r="D75" s="3049" t="s">
        <v>3111</v>
      </c>
      <c r="E75" s="3049">
        <v>141.72</v>
      </c>
    </row>
    <row r="76" spans="1:5">
      <c r="A76" s="3047" t="s">
        <v>3100</v>
      </c>
      <c r="B76" s="3048" t="s">
        <v>3101</v>
      </c>
      <c r="C76" s="3049">
        <v>19</v>
      </c>
      <c r="D76" s="3049" t="s">
        <v>3112</v>
      </c>
      <c r="E76" s="3049">
        <v>141.62</v>
      </c>
    </row>
    <row r="77" spans="1:5">
      <c r="A77" s="3047" t="s">
        <v>3100</v>
      </c>
      <c r="B77" s="3048" t="s">
        <v>3101</v>
      </c>
      <c r="C77" s="3049">
        <v>19</v>
      </c>
      <c r="D77" s="3049" t="s">
        <v>3113</v>
      </c>
      <c r="E77" s="3049">
        <v>141.72</v>
      </c>
    </row>
    <row r="78" spans="1:5">
      <c r="A78" s="3047" t="s">
        <v>3100</v>
      </c>
      <c r="B78" s="3048" t="s">
        <v>3101</v>
      </c>
      <c r="C78" s="3049">
        <v>19</v>
      </c>
      <c r="D78" s="3049" t="s">
        <v>3114</v>
      </c>
      <c r="E78" s="3049">
        <v>141.69999999999999</v>
      </c>
    </row>
    <row r="79" spans="1:5">
      <c r="A79" s="3047" t="s">
        <v>3100</v>
      </c>
      <c r="B79" s="3048" t="s">
        <v>3101</v>
      </c>
      <c r="C79" s="3049">
        <v>19</v>
      </c>
      <c r="D79" s="3049" t="s">
        <v>3115</v>
      </c>
      <c r="E79" s="3049">
        <v>141.80000000000001</v>
      </c>
    </row>
    <row r="80" spans="1:5">
      <c r="A80" s="3047" t="s">
        <v>3100</v>
      </c>
      <c r="B80" s="3048" t="s">
        <v>3101</v>
      </c>
      <c r="C80" s="3049">
        <v>19</v>
      </c>
      <c r="D80" s="3049" t="s">
        <v>3116</v>
      </c>
      <c r="E80" s="3049">
        <v>137.87</v>
      </c>
    </row>
    <row r="81" spans="1:5">
      <c r="A81" s="3047" t="s">
        <v>3100</v>
      </c>
      <c r="B81" s="3048" t="s">
        <v>3101</v>
      </c>
      <c r="C81" s="3049">
        <v>19</v>
      </c>
      <c r="D81" s="3049" t="s">
        <v>3117</v>
      </c>
      <c r="E81" s="3049">
        <v>137.87</v>
      </c>
    </row>
    <row r="82" spans="1:5">
      <c r="A82" s="3047" t="s">
        <v>3100</v>
      </c>
      <c r="B82" s="3048" t="s">
        <v>3101</v>
      </c>
      <c r="C82" s="3049">
        <v>19</v>
      </c>
      <c r="D82" s="3049" t="s">
        <v>3118</v>
      </c>
      <c r="E82" s="3049">
        <v>137.87</v>
      </c>
    </row>
    <row r="83" spans="1:5">
      <c r="A83" s="3047" t="s">
        <v>3100</v>
      </c>
      <c r="B83" s="3048" t="s">
        <v>3101</v>
      </c>
      <c r="C83" s="3049">
        <v>19</v>
      </c>
      <c r="D83" s="3049" t="s">
        <v>3119</v>
      </c>
      <c r="E83" s="3049">
        <v>137.87</v>
      </c>
    </row>
    <row r="84" spans="1:5">
      <c r="A84" s="3047" t="s">
        <v>3100</v>
      </c>
      <c r="B84" s="3048" t="s">
        <v>3101</v>
      </c>
      <c r="C84" s="3049">
        <v>19</v>
      </c>
      <c r="D84" s="3049" t="s">
        <v>3120</v>
      </c>
      <c r="E84" s="3049">
        <v>137.97999999999999</v>
      </c>
    </row>
    <row r="85" spans="1:5">
      <c r="A85" s="3047" t="s">
        <v>3100</v>
      </c>
      <c r="B85" s="3048" t="s">
        <v>3101</v>
      </c>
      <c r="C85" s="3049">
        <v>19</v>
      </c>
      <c r="D85" s="3049" t="s">
        <v>3121</v>
      </c>
      <c r="E85" s="3049">
        <v>137.97999999999999</v>
      </c>
    </row>
    <row r="86" spans="1:5">
      <c r="A86" s="3047" t="s">
        <v>3100</v>
      </c>
      <c r="B86" s="3048" t="s">
        <v>3101</v>
      </c>
      <c r="C86" s="3049">
        <v>19</v>
      </c>
      <c r="D86" s="3049" t="s">
        <v>3122</v>
      </c>
      <c r="E86" s="3049">
        <v>137.97999999999999</v>
      </c>
    </row>
    <row r="87" spans="1:5">
      <c r="A87" s="3047" t="s">
        <v>3100</v>
      </c>
      <c r="B87" s="3048" t="s">
        <v>3101</v>
      </c>
      <c r="C87" s="3049">
        <v>19</v>
      </c>
      <c r="D87" s="3049" t="s">
        <v>3123</v>
      </c>
      <c r="E87" s="3049">
        <v>137.97999999999999</v>
      </c>
    </row>
    <row r="88" spans="1:5">
      <c r="A88" s="3047" t="s">
        <v>3100</v>
      </c>
      <c r="B88" s="3048" t="s">
        <v>3101</v>
      </c>
      <c r="C88" s="3049">
        <v>19</v>
      </c>
      <c r="D88" s="3049" t="s">
        <v>3124</v>
      </c>
      <c r="E88" s="3049">
        <v>137.97999999999999</v>
      </c>
    </row>
    <row r="89" spans="1:5">
      <c r="A89" s="3047" t="s">
        <v>3100</v>
      </c>
      <c r="B89" s="3048" t="s">
        <v>3101</v>
      </c>
      <c r="C89" s="3049">
        <v>19</v>
      </c>
      <c r="D89" s="3049" t="s">
        <v>3125</v>
      </c>
      <c r="E89" s="3049">
        <v>137.97999999999999</v>
      </c>
    </row>
    <row r="90" spans="1:5">
      <c r="A90" s="3047" t="s">
        <v>3100</v>
      </c>
      <c r="B90" s="3048" t="s">
        <v>3101</v>
      </c>
      <c r="C90" s="3049">
        <v>19</v>
      </c>
      <c r="D90" s="3049" t="s">
        <v>3126</v>
      </c>
      <c r="E90" s="3049">
        <v>137.97999999999999</v>
      </c>
    </row>
    <row r="91" spans="1:5">
      <c r="A91" s="3047" t="s">
        <v>3100</v>
      </c>
      <c r="B91" s="3048" t="s">
        <v>3101</v>
      </c>
      <c r="C91" s="3049">
        <v>19</v>
      </c>
      <c r="D91" s="3049" t="s">
        <v>3127</v>
      </c>
      <c r="E91" s="3049">
        <v>137.97999999999999</v>
      </c>
    </row>
    <row r="92" spans="1:5">
      <c r="A92" s="3047" t="s">
        <v>3100</v>
      </c>
      <c r="B92" s="3048" t="s">
        <v>3101</v>
      </c>
      <c r="C92" s="3049">
        <v>19</v>
      </c>
      <c r="D92" s="3049" t="s">
        <v>3128</v>
      </c>
      <c r="E92" s="3049">
        <v>137.97999999999999</v>
      </c>
    </row>
    <row r="93" spans="1:5">
      <c r="A93" s="3047" t="s">
        <v>3100</v>
      </c>
      <c r="B93" s="3048" t="s">
        <v>3101</v>
      </c>
      <c r="C93" s="3049">
        <v>19</v>
      </c>
      <c r="D93" s="3049" t="s">
        <v>3129</v>
      </c>
      <c r="E93" s="3049">
        <v>137.97999999999999</v>
      </c>
    </row>
    <row r="94" spans="1:5">
      <c r="A94" s="3047" t="s">
        <v>3100</v>
      </c>
      <c r="B94" s="3048" t="s">
        <v>3101</v>
      </c>
      <c r="C94" s="3049">
        <v>19</v>
      </c>
      <c r="D94" s="3049" t="s">
        <v>3130</v>
      </c>
      <c r="E94" s="3049">
        <v>138.31</v>
      </c>
    </row>
    <row r="95" spans="1:5">
      <c r="A95" s="3047" t="s">
        <v>3100</v>
      </c>
      <c r="B95" s="3048" t="s">
        <v>3101</v>
      </c>
      <c r="C95" s="3049">
        <v>19</v>
      </c>
      <c r="D95" s="3049" t="s">
        <v>3131</v>
      </c>
      <c r="E95" s="3049">
        <v>138.31</v>
      </c>
    </row>
    <row r="96" spans="1:5">
      <c r="A96" s="3047" t="s">
        <v>3100</v>
      </c>
      <c r="B96" s="3048" t="s">
        <v>3101</v>
      </c>
      <c r="C96" s="3049">
        <v>19</v>
      </c>
      <c r="D96" s="3049" t="s">
        <v>3132</v>
      </c>
      <c r="E96" s="3049">
        <v>138.31</v>
      </c>
    </row>
    <row r="97" spans="1:5">
      <c r="A97" s="3047" t="s">
        <v>3100</v>
      </c>
      <c r="B97" s="3048" t="s">
        <v>3101</v>
      </c>
      <c r="C97" s="3049">
        <v>19</v>
      </c>
      <c r="D97" s="3049" t="s">
        <v>3133</v>
      </c>
      <c r="E97" s="3049">
        <v>138.31</v>
      </c>
    </row>
    <row r="98" spans="1:5">
      <c r="A98" s="3047" t="s">
        <v>3100</v>
      </c>
      <c r="B98" s="3048" t="s">
        <v>3101</v>
      </c>
      <c r="C98" s="3049">
        <v>19</v>
      </c>
      <c r="D98" s="3049" t="s">
        <v>3134</v>
      </c>
      <c r="E98" s="3049">
        <v>138.47999999999999</v>
      </c>
    </row>
    <row r="99" spans="1:5">
      <c r="A99" s="3047" t="s">
        <v>3100</v>
      </c>
      <c r="B99" s="3048" t="s">
        <v>3101</v>
      </c>
      <c r="C99" s="3049">
        <v>19</v>
      </c>
      <c r="D99" s="3049" t="s">
        <v>3135</v>
      </c>
      <c r="E99" s="3049">
        <v>138.47999999999999</v>
      </c>
    </row>
    <row r="100" spans="1:5">
      <c r="A100" s="3047" t="s">
        <v>3100</v>
      </c>
      <c r="B100" s="3048" t="s">
        <v>3101</v>
      </c>
      <c r="C100" s="3049">
        <v>20</v>
      </c>
      <c r="D100" s="3049" t="s">
        <v>3102</v>
      </c>
      <c r="E100" s="3049">
        <v>140.86000000000001</v>
      </c>
    </row>
    <row r="101" spans="1:5">
      <c r="A101" s="3047" t="s">
        <v>3100</v>
      </c>
      <c r="B101" s="3048" t="s">
        <v>3101</v>
      </c>
      <c r="C101" s="3049">
        <v>20</v>
      </c>
      <c r="D101" s="3049" t="s">
        <v>3103</v>
      </c>
      <c r="E101" s="3049">
        <v>140.86000000000001</v>
      </c>
    </row>
    <row r="102" spans="1:5">
      <c r="A102" s="3047" t="s">
        <v>3100</v>
      </c>
      <c r="B102" s="3048" t="s">
        <v>3101</v>
      </c>
      <c r="C102" s="3049">
        <v>20</v>
      </c>
      <c r="D102" s="3049" t="s">
        <v>3104</v>
      </c>
      <c r="E102" s="3049">
        <v>138.33000000000001</v>
      </c>
    </row>
    <row r="103" spans="1:5">
      <c r="A103" s="3047" t="s">
        <v>3100</v>
      </c>
      <c r="B103" s="3048" t="s">
        <v>3101</v>
      </c>
      <c r="C103" s="3049">
        <v>20</v>
      </c>
      <c r="D103" s="3049" t="s">
        <v>3105</v>
      </c>
      <c r="E103" s="3049">
        <v>138.33000000000001</v>
      </c>
    </row>
    <row r="104" spans="1:5">
      <c r="A104" s="3047" t="s">
        <v>3100</v>
      </c>
      <c r="B104" s="3048" t="s">
        <v>3101</v>
      </c>
      <c r="C104" s="3049">
        <v>20</v>
      </c>
      <c r="D104" s="3049" t="s">
        <v>3106</v>
      </c>
      <c r="E104" s="3049">
        <v>138.33000000000001</v>
      </c>
    </row>
    <row r="105" spans="1:5">
      <c r="A105" s="3047" t="s">
        <v>3100</v>
      </c>
      <c r="B105" s="3048" t="s">
        <v>3101</v>
      </c>
      <c r="C105" s="3049">
        <v>20</v>
      </c>
      <c r="D105" s="3049" t="s">
        <v>3107</v>
      </c>
      <c r="E105" s="3049">
        <v>138.33000000000001</v>
      </c>
    </row>
    <row r="106" spans="1:5">
      <c r="A106" s="3047" t="s">
        <v>3100</v>
      </c>
      <c r="B106" s="3048" t="s">
        <v>3101</v>
      </c>
      <c r="C106" s="3049">
        <v>20</v>
      </c>
      <c r="D106" s="3049" t="s">
        <v>3108</v>
      </c>
      <c r="E106" s="3049">
        <v>138.44</v>
      </c>
    </row>
    <row r="107" spans="1:5">
      <c r="A107" s="3047" t="s">
        <v>3100</v>
      </c>
      <c r="B107" s="3048" t="s">
        <v>3101</v>
      </c>
      <c r="C107" s="3049">
        <v>20</v>
      </c>
      <c r="D107" s="3049" t="s">
        <v>3109</v>
      </c>
      <c r="E107" s="3049">
        <v>138.44</v>
      </c>
    </row>
    <row r="108" spans="1:5">
      <c r="A108" s="3047" t="s">
        <v>3100</v>
      </c>
      <c r="B108" s="3048" t="s">
        <v>3101</v>
      </c>
      <c r="C108" s="3049">
        <v>20</v>
      </c>
      <c r="D108" s="3049" t="s">
        <v>3110</v>
      </c>
      <c r="E108" s="3049">
        <v>138.44</v>
      </c>
    </row>
    <row r="109" spans="1:5">
      <c r="A109" s="3047" t="s">
        <v>3100</v>
      </c>
      <c r="B109" s="3048" t="s">
        <v>3101</v>
      </c>
      <c r="C109" s="3049">
        <v>20</v>
      </c>
      <c r="D109" s="3049" t="s">
        <v>3111</v>
      </c>
      <c r="E109" s="3049">
        <v>138.44</v>
      </c>
    </row>
    <row r="110" spans="1:5">
      <c r="A110" s="3047" t="s">
        <v>3100</v>
      </c>
      <c r="B110" s="3048" t="s">
        <v>3101</v>
      </c>
      <c r="C110" s="3049">
        <v>20</v>
      </c>
      <c r="D110" s="3049" t="s">
        <v>3112</v>
      </c>
      <c r="E110" s="3049">
        <v>138.44</v>
      </c>
    </row>
    <row r="111" spans="1:5">
      <c r="A111" s="3047" t="s">
        <v>3100</v>
      </c>
      <c r="B111" s="3048" t="s">
        <v>3101</v>
      </c>
      <c r="C111" s="3049">
        <v>20</v>
      </c>
      <c r="D111" s="3049" t="s">
        <v>3113</v>
      </c>
      <c r="E111" s="3049">
        <v>138.44</v>
      </c>
    </row>
    <row r="112" spans="1:5">
      <c r="A112" s="3047" t="s">
        <v>3100</v>
      </c>
      <c r="B112" s="3048" t="s">
        <v>3101</v>
      </c>
      <c r="C112" s="3049">
        <v>20</v>
      </c>
      <c r="D112" s="3049" t="s">
        <v>3114</v>
      </c>
      <c r="E112" s="3049">
        <v>138.44</v>
      </c>
    </row>
    <row r="113" spans="1:5">
      <c r="A113" s="3047" t="s">
        <v>3100</v>
      </c>
      <c r="B113" s="3048" t="s">
        <v>3101</v>
      </c>
      <c r="C113" s="3049">
        <v>20</v>
      </c>
      <c r="D113" s="3049" t="s">
        <v>3115</v>
      </c>
      <c r="E113" s="3049">
        <v>138.44</v>
      </c>
    </row>
    <row r="114" spans="1:5">
      <c r="A114" s="3047" t="s">
        <v>3100</v>
      </c>
      <c r="B114" s="3048" t="s">
        <v>3101</v>
      </c>
      <c r="C114" s="3049">
        <v>20</v>
      </c>
      <c r="D114" s="3049" t="s">
        <v>3136</v>
      </c>
      <c r="E114" s="3049">
        <v>138.44</v>
      </c>
    </row>
    <row r="115" spans="1:5">
      <c r="A115" s="3047" t="s">
        <v>3100</v>
      </c>
      <c r="B115" s="3048" t="s">
        <v>3101</v>
      </c>
      <c r="C115" s="3049">
        <v>20</v>
      </c>
      <c r="D115" s="3049" t="s">
        <v>3137</v>
      </c>
      <c r="E115" s="3049">
        <v>138.44</v>
      </c>
    </row>
    <row r="116" spans="1:5">
      <c r="A116" s="3047" t="s">
        <v>3100</v>
      </c>
      <c r="B116" s="3048" t="s">
        <v>3101</v>
      </c>
      <c r="C116" s="3049">
        <v>20</v>
      </c>
      <c r="D116" s="3049" t="s">
        <v>3138</v>
      </c>
      <c r="E116" s="3049">
        <v>138.77000000000001</v>
      </c>
    </row>
    <row r="117" spans="1:5">
      <c r="A117" s="3047" t="s">
        <v>3100</v>
      </c>
      <c r="B117" s="3048" t="s">
        <v>3101</v>
      </c>
      <c r="C117" s="3049">
        <v>20</v>
      </c>
      <c r="D117" s="3049" t="s">
        <v>3139</v>
      </c>
      <c r="E117" s="3049">
        <v>138.77000000000001</v>
      </c>
    </row>
    <row r="118" spans="1:5">
      <c r="A118" s="3047" t="s">
        <v>3100</v>
      </c>
      <c r="B118" s="3048" t="s">
        <v>3101</v>
      </c>
      <c r="C118" s="3049">
        <v>20</v>
      </c>
      <c r="D118" s="3049" t="s">
        <v>3140</v>
      </c>
      <c r="E118" s="3049">
        <v>138.77000000000001</v>
      </c>
    </row>
    <row r="119" spans="1:5">
      <c r="A119" s="3047" t="s">
        <v>3100</v>
      </c>
      <c r="B119" s="3048" t="s">
        <v>3101</v>
      </c>
      <c r="C119" s="3049">
        <v>20</v>
      </c>
      <c r="D119" s="3049" t="s">
        <v>3141</v>
      </c>
      <c r="E119" s="3049">
        <v>138.77000000000001</v>
      </c>
    </row>
    <row r="120" spans="1:5">
      <c r="A120" s="3047" t="s">
        <v>3100</v>
      </c>
      <c r="B120" s="3048" t="s">
        <v>3101</v>
      </c>
      <c r="C120" s="3049">
        <v>20</v>
      </c>
      <c r="D120" s="3049" t="s">
        <v>3142</v>
      </c>
      <c r="E120" s="3049">
        <v>138.94999999999999</v>
      </c>
    </row>
    <row r="121" spans="1:5">
      <c r="A121" s="3047" t="s">
        <v>3100</v>
      </c>
      <c r="B121" s="3048" t="s">
        <v>3101</v>
      </c>
      <c r="C121" s="3049">
        <v>20</v>
      </c>
      <c r="D121" s="3049" t="s">
        <v>3143</v>
      </c>
      <c r="E121" s="3049">
        <v>138.94999999999999</v>
      </c>
    </row>
    <row r="122" spans="1:5">
      <c r="A122" s="3047" t="s">
        <v>3100</v>
      </c>
      <c r="B122" s="3048" t="s">
        <v>3101</v>
      </c>
      <c r="C122" s="3049">
        <v>20</v>
      </c>
      <c r="D122" s="3049" t="s">
        <v>3144</v>
      </c>
      <c r="E122" s="3049">
        <v>146.56</v>
      </c>
    </row>
    <row r="123" spans="1:5">
      <c r="A123" s="3047" t="s">
        <v>3100</v>
      </c>
      <c r="B123" s="3048" t="s">
        <v>3101</v>
      </c>
      <c r="C123" s="3049">
        <v>20</v>
      </c>
      <c r="D123" s="3049" t="s">
        <v>3145</v>
      </c>
      <c r="E123" s="3049">
        <v>146.56</v>
      </c>
    </row>
    <row r="124" spans="1:5">
      <c r="A124" s="3047" t="s">
        <v>3100</v>
      </c>
      <c r="B124" s="3048" t="s">
        <v>3101</v>
      </c>
      <c r="C124" s="3049">
        <v>20</v>
      </c>
      <c r="D124" s="3049" t="s">
        <v>3116</v>
      </c>
      <c r="E124" s="3049">
        <v>141.97999999999999</v>
      </c>
    </row>
    <row r="125" spans="1:5">
      <c r="A125" s="3047" t="s">
        <v>3100</v>
      </c>
      <c r="B125" s="3048" t="s">
        <v>3101</v>
      </c>
      <c r="C125" s="3049">
        <v>20</v>
      </c>
      <c r="D125" s="3049" t="s">
        <v>3117</v>
      </c>
      <c r="E125" s="3049">
        <v>141.97999999999999</v>
      </c>
    </row>
    <row r="126" spans="1:5">
      <c r="A126" s="3047" t="s">
        <v>3100</v>
      </c>
      <c r="B126" s="3048" t="s">
        <v>3101</v>
      </c>
      <c r="C126" s="3049">
        <v>20</v>
      </c>
      <c r="D126" s="3049" t="s">
        <v>3118</v>
      </c>
      <c r="E126" s="3049">
        <v>141.97999999999999</v>
      </c>
    </row>
    <row r="127" spans="1:5">
      <c r="A127" s="3047" t="s">
        <v>3100</v>
      </c>
      <c r="B127" s="3048" t="s">
        <v>3101</v>
      </c>
      <c r="C127" s="3049">
        <v>20</v>
      </c>
      <c r="D127" s="3049" t="s">
        <v>3119</v>
      </c>
      <c r="E127" s="3049">
        <v>141.97999999999999</v>
      </c>
    </row>
    <row r="128" spans="1:5">
      <c r="A128" s="3047" t="s">
        <v>3100</v>
      </c>
      <c r="B128" s="3048" t="s">
        <v>3101</v>
      </c>
      <c r="C128" s="3049">
        <v>20</v>
      </c>
      <c r="D128" s="3049" t="s">
        <v>3120</v>
      </c>
      <c r="E128" s="3049">
        <v>141.97999999999999</v>
      </c>
    </row>
    <row r="129" spans="1:5">
      <c r="A129" s="3047" t="s">
        <v>3100</v>
      </c>
      <c r="B129" s="3048" t="s">
        <v>3101</v>
      </c>
      <c r="C129" s="3049">
        <v>20</v>
      </c>
      <c r="D129" s="3049" t="s">
        <v>3121</v>
      </c>
      <c r="E129" s="3049">
        <v>141.97999999999999</v>
      </c>
    </row>
    <row r="130" spans="1:5">
      <c r="A130" s="3047" t="s">
        <v>3100</v>
      </c>
      <c r="B130" s="3048" t="s">
        <v>3101</v>
      </c>
      <c r="C130" s="3049">
        <v>20</v>
      </c>
      <c r="D130" s="3049" t="s">
        <v>3122</v>
      </c>
      <c r="E130" s="3049">
        <v>141.97999999999999</v>
      </c>
    </row>
    <row r="131" spans="1:5">
      <c r="A131" s="3047" t="s">
        <v>3100</v>
      </c>
      <c r="B131" s="3048" t="s">
        <v>3101</v>
      </c>
      <c r="C131" s="3049">
        <v>20</v>
      </c>
      <c r="D131" s="3049" t="s">
        <v>3123</v>
      </c>
      <c r="E131" s="3049">
        <v>141.97999999999999</v>
      </c>
    </row>
    <row r="132" spans="1:5">
      <c r="A132" s="3047" t="s">
        <v>3100</v>
      </c>
      <c r="B132" s="3048" t="s">
        <v>3101</v>
      </c>
      <c r="C132" s="3049">
        <v>20</v>
      </c>
      <c r="D132" s="3049" t="s">
        <v>3124</v>
      </c>
      <c r="E132" s="3049">
        <v>141.97999999999999</v>
      </c>
    </row>
    <row r="133" spans="1:5">
      <c r="A133" s="3047" t="s">
        <v>3100</v>
      </c>
      <c r="B133" s="3048" t="s">
        <v>3101</v>
      </c>
      <c r="C133" s="3049">
        <v>20</v>
      </c>
      <c r="D133" s="3049" t="s">
        <v>3125</v>
      </c>
      <c r="E133" s="3049">
        <v>141.97999999999999</v>
      </c>
    </row>
    <row r="134" spans="1:5">
      <c r="A134" s="3047" t="s">
        <v>3100</v>
      </c>
      <c r="B134" s="3048" t="s">
        <v>3101</v>
      </c>
      <c r="C134" s="3049">
        <v>20</v>
      </c>
      <c r="D134" s="3049" t="s">
        <v>3126</v>
      </c>
      <c r="E134" s="3049">
        <v>142.1</v>
      </c>
    </row>
    <row r="135" spans="1:5">
      <c r="A135" s="3047" t="s">
        <v>3100</v>
      </c>
      <c r="B135" s="3048" t="s">
        <v>3101</v>
      </c>
      <c r="C135" s="3049">
        <v>20</v>
      </c>
      <c r="D135" s="3049" t="s">
        <v>3127</v>
      </c>
      <c r="E135" s="3049">
        <v>142.1</v>
      </c>
    </row>
    <row r="136" spans="1:5">
      <c r="A136" s="3047" t="s">
        <v>3100</v>
      </c>
      <c r="B136" s="3048" t="s">
        <v>3101</v>
      </c>
      <c r="C136" s="3049">
        <v>20</v>
      </c>
      <c r="D136" s="3049" t="s">
        <v>3146</v>
      </c>
      <c r="E136" s="3049">
        <v>140.86000000000001</v>
      </c>
    </row>
    <row r="137" spans="1:5">
      <c r="A137" s="3047" t="s">
        <v>3100</v>
      </c>
      <c r="B137" s="3048" t="s">
        <v>3101</v>
      </c>
      <c r="C137" s="3049">
        <v>20</v>
      </c>
      <c r="D137" s="3049" t="s">
        <v>3147</v>
      </c>
      <c r="E137" s="3049">
        <v>140.86000000000001</v>
      </c>
    </row>
    <row r="138" spans="1:5">
      <c r="A138" s="3047" t="s">
        <v>3100</v>
      </c>
      <c r="B138" s="3048" t="s">
        <v>3101</v>
      </c>
      <c r="C138" s="3049">
        <v>20</v>
      </c>
      <c r="D138" s="3049" t="s">
        <v>3148</v>
      </c>
      <c r="E138" s="3049">
        <v>138.33000000000001</v>
      </c>
    </row>
    <row r="139" spans="1:5">
      <c r="A139" s="3047" t="s">
        <v>3100</v>
      </c>
      <c r="B139" s="3048" t="s">
        <v>3101</v>
      </c>
      <c r="C139" s="3049">
        <v>20</v>
      </c>
      <c r="D139" s="3049" t="s">
        <v>3149</v>
      </c>
      <c r="E139" s="3049">
        <v>138.33000000000001</v>
      </c>
    </row>
    <row r="140" spans="1:5">
      <c r="A140" s="3047" t="s">
        <v>3100</v>
      </c>
      <c r="B140" s="3048" t="s">
        <v>3101</v>
      </c>
      <c r="C140" s="3049">
        <v>20</v>
      </c>
      <c r="D140" s="3049" t="s">
        <v>3150</v>
      </c>
      <c r="E140" s="3049">
        <v>138.33000000000001</v>
      </c>
    </row>
    <row r="141" spans="1:5">
      <c r="A141" s="3047" t="s">
        <v>3100</v>
      </c>
      <c r="B141" s="3048" t="s">
        <v>3101</v>
      </c>
      <c r="C141" s="3049">
        <v>20</v>
      </c>
      <c r="D141" s="3049" t="s">
        <v>3151</v>
      </c>
      <c r="E141" s="3049">
        <v>138.33000000000001</v>
      </c>
    </row>
    <row r="142" spans="1:5">
      <c r="A142" s="3047" t="s">
        <v>3100</v>
      </c>
      <c r="B142" s="3048" t="s">
        <v>3101</v>
      </c>
      <c r="C142" s="3049">
        <v>20</v>
      </c>
      <c r="D142" s="3049" t="s">
        <v>3152</v>
      </c>
      <c r="E142" s="3049">
        <v>138.44</v>
      </c>
    </row>
    <row r="143" spans="1:5">
      <c r="A143" s="3047" t="s">
        <v>3100</v>
      </c>
      <c r="B143" s="3048" t="s">
        <v>3101</v>
      </c>
      <c r="C143" s="3049">
        <v>20</v>
      </c>
      <c r="D143" s="3049" t="s">
        <v>3153</v>
      </c>
      <c r="E143" s="3049">
        <v>138.44</v>
      </c>
    </row>
    <row r="144" spans="1:5">
      <c r="A144" s="3047" t="s">
        <v>3100</v>
      </c>
      <c r="B144" s="3048" t="s">
        <v>3101</v>
      </c>
      <c r="C144" s="3049">
        <v>20</v>
      </c>
      <c r="D144" s="3049" t="s">
        <v>3154</v>
      </c>
      <c r="E144" s="3049">
        <v>138.44</v>
      </c>
    </row>
    <row r="145" spans="1:5">
      <c r="A145" s="3047" t="s">
        <v>3100</v>
      </c>
      <c r="B145" s="3048" t="s">
        <v>3101</v>
      </c>
      <c r="C145" s="3049">
        <v>20</v>
      </c>
      <c r="D145" s="3049" t="s">
        <v>3155</v>
      </c>
      <c r="E145" s="3049">
        <v>138.44</v>
      </c>
    </row>
    <row r="146" spans="1:5">
      <c r="A146" s="3047" t="s">
        <v>3100</v>
      </c>
      <c r="B146" s="3048" t="s">
        <v>3101</v>
      </c>
      <c r="C146" s="3049">
        <v>20</v>
      </c>
      <c r="D146" s="3049" t="s">
        <v>3156</v>
      </c>
      <c r="E146" s="3049">
        <v>138.44</v>
      </c>
    </row>
    <row r="147" spans="1:5">
      <c r="A147" s="3047" t="s">
        <v>3100</v>
      </c>
      <c r="B147" s="3048" t="s">
        <v>3101</v>
      </c>
      <c r="C147" s="3049">
        <v>20</v>
      </c>
      <c r="D147" s="3049" t="s">
        <v>3157</v>
      </c>
      <c r="E147" s="3049">
        <v>138.44</v>
      </c>
    </row>
    <row r="148" spans="1:5">
      <c r="A148" s="3047" t="s">
        <v>3100</v>
      </c>
      <c r="B148" s="3048" t="s">
        <v>3101</v>
      </c>
      <c r="C148" s="3049">
        <v>20</v>
      </c>
      <c r="D148" s="3049" t="s">
        <v>3158</v>
      </c>
      <c r="E148" s="3049">
        <v>138.44</v>
      </c>
    </row>
    <row r="149" spans="1:5">
      <c r="A149" s="3047" t="s">
        <v>3100</v>
      </c>
      <c r="B149" s="3048" t="s">
        <v>3101</v>
      </c>
      <c r="C149" s="3049">
        <v>20</v>
      </c>
      <c r="D149" s="3049" t="s">
        <v>3159</v>
      </c>
      <c r="E149" s="3049">
        <v>138.44</v>
      </c>
    </row>
    <row r="150" spans="1:5">
      <c r="A150" s="3047" t="s">
        <v>3100</v>
      </c>
      <c r="B150" s="3048" t="s">
        <v>3101</v>
      </c>
      <c r="C150" s="3049">
        <v>20</v>
      </c>
      <c r="D150" s="3049" t="s">
        <v>3160</v>
      </c>
      <c r="E150" s="3049">
        <v>138.44</v>
      </c>
    </row>
    <row r="151" spans="1:5">
      <c r="A151" s="3047" t="s">
        <v>3100</v>
      </c>
      <c r="B151" s="3048" t="s">
        <v>3101</v>
      </c>
      <c r="C151" s="3049">
        <v>20</v>
      </c>
      <c r="D151" s="3049" t="s">
        <v>3161</v>
      </c>
      <c r="E151" s="3049">
        <v>138.44</v>
      </c>
    </row>
    <row r="152" spans="1:5">
      <c r="A152" s="3047" t="s">
        <v>3100</v>
      </c>
      <c r="B152" s="3048" t="s">
        <v>3101</v>
      </c>
      <c r="C152" s="3049">
        <v>20</v>
      </c>
      <c r="D152" s="3049" t="s">
        <v>3162</v>
      </c>
      <c r="E152" s="3049">
        <v>138.77000000000001</v>
      </c>
    </row>
    <row r="153" spans="1:5">
      <c r="A153" s="3047" t="s">
        <v>3100</v>
      </c>
      <c r="B153" s="3048" t="s">
        <v>3101</v>
      </c>
      <c r="C153" s="3049">
        <v>20</v>
      </c>
      <c r="D153" s="3049" t="s">
        <v>3163</v>
      </c>
      <c r="E153" s="3049">
        <v>138.77000000000001</v>
      </c>
    </row>
    <row r="154" spans="1:5">
      <c r="A154" s="3047" t="s">
        <v>3100</v>
      </c>
      <c r="B154" s="3048" t="s">
        <v>3101</v>
      </c>
      <c r="C154" s="3049">
        <v>20</v>
      </c>
      <c r="D154" s="3049" t="s">
        <v>3164</v>
      </c>
      <c r="E154" s="3049">
        <v>138.77000000000001</v>
      </c>
    </row>
    <row r="155" spans="1:5">
      <c r="A155" s="3047" t="s">
        <v>3100</v>
      </c>
      <c r="B155" s="3048" t="s">
        <v>3101</v>
      </c>
      <c r="C155" s="3049">
        <v>20</v>
      </c>
      <c r="D155" s="3049" t="s">
        <v>3165</v>
      </c>
      <c r="E155" s="3049">
        <v>138.77000000000001</v>
      </c>
    </row>
    <row r="156" spans="1:5">
      <c r="A156" s="3047" t="s">
        <v>3100</v>
      </c>
      <c r="B156" s="3048" t="s">
        <v>3101</v>
      </c>
      <c r="C156" s="3049">
        <v>20</v>
      </c>
      <c r="D156" s="3049" t="s">
        <v>3166</v>
      </c>
      <c r="E156" s="3049">
        <v>138.94999999999999</v>
      </c>
    </row>
    <row r="157" spans="1:5">
      <c r="A157" s="3047" t="s">
        <v>3100</v>
      </c>
      <c r="B157" s="3048" t="s">
        <v>3101</v>
      </c>
      <c r="C157" s="3049">
        <v>20</v>
      </c>
      <c r="D157" s="3049" t="s">
        <v>3167</v>
      </c>
      <c r="E157" s="3049">
        <v>138.94999999999999</v>
      </c>
    </row>
    <row r="158" spans="1:5">
      <c r="A158" s="3047" t="s">
        <v>3100</v>
      </c>
      <c r="B158" s="3048" t="s">
        <v>3101</v>
      </c>
      <c r="C158" s="3049">
        <v>21</v>
      </c>
      <c r="D158" s="3049" t="s">
        <v>3102</v>
      </c>
      <c r="E158" s="3049">
        <v>131.06</v>
      </c>
    </row>
    <row r="159" spans="1:5">
      <c r="A159" s="3047" t="s">
        <v>3100</v>
      </c>
      <c r="B159" s="3048" t="s">
        <v>3101</v>
      </c>
      <c r="C159" s="3049">
        <v>21</v>
      </c>
      <c r="D159" s="3049" t="s">
        <v>3103</v>
      </c>
      <c r="E159" s="3049">
        <v>143.72999999999999</v>
      </c>
    </row>
    <row r="160" spans="1:5">
      <c r="A160" s="3047" t="s">
        <v>3100</v>
      </c>
      <c r="B160" s="3048" t="s">
        <v>3101</v>
      </c>
      <c r="C160" s="3049">
        <v>21</v>
      </c>
      <c r="D160" s="3049" t="s">
        <v>3104</v>
      </c>
      <c r="E160" s="3049">
        <v>138.19999999999999</v>
      </c>
    </row>
    <row r="161" spans="1:5">
      <c r="A161" s="3047" t="s">
        <v>3100</v>
      </c>
      <c r="B161" s="3048" t="s">
        <v>3101</v>
      </c>
      <c r="C161" s="3049">
        <v>21</v>
      </c>
      <c r="D161" s="3049" t="s">
        <v>3105</v>
      </c>
      <c r="E161" s="3049">
        <v>138.19999999999999</v>
      </c>
    </row>
    <row r="162" spans="1:5">
      <c r="A162" s="3047" t="s">
        <v>3100</v>
      </c>
      <c r="B162" s="3048" t="s">
        <v>3101</v>
      </c>
      <c r="C162" s="3049">
        <v>21</v>
      </c>
      <c r="D162" s="3049" t="s">
        <v>3106</v>
      </c>
      <c r="E162" s="3049">
        <v>138.19999999999999</v>
      </c>
    </row>
    <row r="163" spans="1:5">
      <c r="A163" s="3047" t="s">
        <v>3100</v>
      </c>
      <c r="B163" s="3048" t="s">
        <v>3101</v>
      </c>
      <c r="C163" s="3049">
        <v>21</v>
      </c>
      <c r="D163" s="3049" t="s">
        <v>3107</v>
      </c>
      <c r="E163" s="3049">
        <v>138.19999999999999</v>
      </c>
    </row>
    <row r="164" spans="1:5">
      <c r="A164" s="3047" t="s">
        <v>3100</v>
      </c>
      <c r="B164" s="3048" t="s">
        <v>3101</v>
      </c>
      <c r="C164" s="3049">
        <v>21</v>
      </c>
      <c r="D164" s="3049" t="s">
        <v>3108</v>
      </c>
      <c r="E164" s="3049">
        <v>138.31</v>
      </c>
    </row>
    <row r="165" spans="1:5">
      <c r="A165" s="3047" t="s">
        <v>3100</v>
      </c>
      <c r="B165" s="3048" t="s">
        <v>3101</v>
      </c>
      <c r="C165" s="3049">
        <v>21</v>
      </c>
      <c r="D165" s="3049" t="s">
        <v>3109</v>
      </c>
      <c r="E165" s="3049">
        <v>138.31</v>
      </c>
    </row>
    <row r="166" spans="1:5">
      <c r="A166" s="3047" t="s">
        <v>3100</v>
      </c>
      <c r="B166" s="3048" t="s">
        <v>3101</v>
      </c>
      <c r="C166" s="3049">
        <v>21</v>
      </c>
      <c r="D166" s="3049" t="s">
        <v>3110</v>
      </c>
      <c r="E166" s="3049">
        <v>138.31</v>
      </c>
    </row>
    <row r="167" spans="1:5">
      <c r="A167" s="3047" t="s">
        <v>3100</v>
      </c>
      <c r="B167" s="3048" t="s">
        <v>3101</v>
      </c>
      <c r="C167" s="3049">
        <v>21</v>
      </c>
      <c r="D167" s="3049" t="s">
        <v>3111</v>
      </c>
      <c r="E167" s="3049">
        <v>138.31</v>
      </c>
    </row>
    <row r="168" spans="1:5">
      <c r="A168" s="3047" t="s">
        <v>3100</v>
      </c>
      <c r="B168" s="3048" t="s">
        <v>3101</v>
      </c>
      <c r="C168" s="3049">
        <v>21</v>
      </c>
      <c r="D168" s="3049" t="s">
        <v>3112</v>
      </c>
      <c r="E168" s="3049">
        <v>138.31</v>
      </c>
    </row>
    <row r="169" spans="1:5">
      <c r="A169" s="3047" t="s">
        <v>3100</v>
      </c>
      <c r="B169" s="3048" t="s">
        <v>3101</v>
      </c>
      <c r="C169" s="3049">
        <v>21</v>
      </c>
      <c r="D169" s="3049" t="s">
        <v>3113</v>
      </c>
      <c r="E169" s="3049">
        <v>138.31</v>
      </c>
    </row>
    <row r="170" spans="1:5">
      <c r="A170" s="3047" t="s">
        <v>3100</v>
      </c>
      <c r="B170" s="3048" t="s">
        <v>3101</v>
      </c>
      <c r="C170" s="3049">
        <v>21</v>
      </c>
      <c r="D170" s="3049" t="s">
        <v>3114</v>
      </c>
      <c r="E170" s="3049">
        <v>138.31</v>
      </c>
    </row>
    <row r="171" spans="1:5">
      <c r="A171" s="3047" t="s">
        <v>3100</v>
      </c>
      <c r="B171" s="3048" t="s">
        <v>3101</v>
      </c>
      <c r="C171" s="3049">
        <v>21</v>
      </c>
      <c r="D171" s="3049" t="s">
        <v>3115</v>
      </c>
      <c r="E171" s="3049">
        <v>138.31</v>
      </c>
    </row>
    <row r="172" spans="1:5">
      <c r="A172" s="3047" t="s">
        <v>3100</v>
      </c>
      <c r="B172" s="3048" t="s">
        <v>3101</v>
      </c>
      <c r="C172" s="3049">
        <v>21</v>
      </c>
      <c r="D172" s="3049" t="s">
        <v>3136</v>
      </c>
      <c r="E172" s="3049">
        <v>138.31</v>
      </c>
    </row>
    <row r="173" spans="1:5">
      <c r="A173" s="3047" t="s">
        <v>3100</v>
      </c>
      <c r="B173" s="3048" t="s">
        <v>3101</v>
      </c>
      <c r="C173" s="3049">
        <v>21</v>
      </c>
      <c r="D173" s="3049" t="s">
        <v>3137</v>
      </c>
      <c r="E173" s="3049">
        <v>138.31</v>
      </c>
    </row>
    <row r="174" spans="1:5">
      <c r="A174" s="3047" t="s">
        <v>3100</v>
      </c>
      <c r="B174" s="3048" t="s">
        <v>3101</v>
      </c>
      <c r="C174" s="3049">
        <v>21</v>
      </c>
      <c r="D174" s="3049" t="s">
        <v>3138</v>
      </c>
      <c r="E174" s="3049">
        <v>138.54</v>
      </c>
    </row>
    <row r="175" spans="1:5">
      <c r="A175" s="3047" t="s">
        <v>3100</v>
      </c>
      <c r="B175" s="3048" t="s">
        <v>3101</v>
      </c>
      <c r="C175" s="3049">
        <v>21</v>
      </c>
      <c r="D175" s="3049" t="s">
        <v>3139</v>
      </c>
      <c r="E175" s="3049">
        <v>138.54</v>
      </c>
    </row>
    <row r="176" spans="1:5">
      <c r="A176" s="3047" t="s">
        <v>3100</v>
      </c>
      <c r="B176" s="3048" t="s">
        <v>3101</v>
      </c>
      <c r="C176" s="3049">
        <v>21</v>
      </c>
      <c r="D176" s="3049" t="s">
        <v>3140</v>
      </c>
      <c r="E176" s="3049">
        <v>138.54</v>
      </c>
    </row>
    <row r="177" spans="1:5">
      <c r="A177" s="3047" t="s">
        <v>3100</v>
      </c>
      <c r="B177" s="3048" t="s">
        <v>3101</v>
      </c>
      <c r="C177" s="3049">
        <v>21</v>
      </c>
      <c r="D177" s="3049" t="s">
        <v>3141</v>
      </c>
      <c r="E177" s="3049">
        <v>138.54</v>
      </c>
    </row>
    <row r="178" spans="1:5">
      <c r="A178" s="3047" t="s">
        <v>3100</v>
      </c>
      <c r="B178" s="3048" t="s">
        <v>3101</v>
      </c>
      <c r="C178" s="3049">
        <v>21</v>
      </c>
      <c r="D178" s="3049" t="s">
        <v>3142</v>
      </c>
      <c r="E178" s="3049">
        <v>138.72</v>
      </c>
    </row>
    <row r="179" spans="1:5">
      <c r="A179" s="3047" t="s">
        <v>3100</v>
      </c>
      <c r="B179" s="3048" t="s">
        <v>3101</v>
      </c>
      <c r="C179" s="3049">
        <v>21</v>
      </c>
      <c r="D179" s="3049" t="s">
        <v>3143</v>
      </c>
      <c r="E179" s="3049">
        <v>138.72</v>
      </c>
    </row>
    <row r="180" spans="1:5">
      <c r="A180" s="3047" t="s">
        <v>3100</v>
      </c>
      <c r="B180" s="3048" t="s">
        <v>3101</v>
      </c>
      <c r="C180" s="3049">
        <v>21</v>
      </c>
      <c r="D180" s="3049" t="s">
        <v>3144</v>
      </c>
      <c r="E180" s="3049">
        <v>134.24</v>
      </c>
    </row>
    <row r="181" spans="1:5">
      <c r="A181" s="3047" t="s">
        <v>3100</v>
      </c>
      <c r="B181" s="3048" t="s">
        <v>3101</v>
      </c>
      <c r="C181" s="3049">
        <v>21</v>
      </c>
      <c r="D181" s="3049" t="s">
        <v>3145</v>
      </c>
      <c r="E181" s="3049">
        <v>146.99</v>
      </c>
    </row>
    <row r="182" spans="1:5">
      <c r="A182" s="3047" t="s">
        <v>3100</v>
      </c>
      <c r="B182" s="3048" t="s">
        <v>3101</v>
      </c>
      <c r="C182" s="3049">
        <v>21</v>
      </c>
      <c r="D182" s="3049" t="s">
        <v>3116</v>
      </c>
      <c r="E182" s="3049">
        <v>141.85</v>
      </c>
    </row>
    <row r="183" spans="1:5">
      <c r="A183" s="3047" t="s">
        <v>3100</v>
      </c>
      <c r="B183" s="3048" t="s">
        <v>3101</v>
      </c>
      <c r="C183" s="3049">
        <v>21</v>
      </c>
      <c r="D183" s="3049" t="s">
        <v>3117</v>
      </c>
      <c r="E183" s="3049">
        <v>141.85</v>
      </c>
    </row>
    <row r="184" spans="1:5">
      <c r="A184" s="3047" t="s">
        <v>3100</v>
      </c>
      <c r="B184" s="3048" t="s">
        <v>3101</v>
      </c>
      <c r="C184" s="3049">
        <v>21</v>
      </c>
      <c r="D184" s="3049" t="s">
        <v>3118</v>
      </c>
      <c r="E184" s="3049">
        <v>141.85</v>
      </c>
    </row>
    <row r="185" spans="1:5">
      <c r="A185" s="3047" t="s">
        <v>3100</v>
      </c>
      <c r="B185" s="3048" t="s">
        <v>3101</v>
      </c>
      <c r="C185" s="3049">
        <v>21</v>
      </c>
      <c r="D185" s="3049" t="s">
        <v>3119</v>
      </c>
      <c r="E185" s="3049">
        <v>141.85</v>
      </c>
    </row>
    <row r="186" spans="1:5">
      <c r="A186" s="3047" t="s">
        <v>3100</v>
      </c>
      <c r="B186" s="3048" t="s">
        <v>3101</v>
      </c>
      <c r="C186" s="3049">
        <v>21</v>
      </c>
      <c r="D186" s="3049" t="s">
        <v>3120</v>
      </c>
      <c r="E186" s="3049">
        <v>141.85</v>
      </c>
    </row>
    <row r="187" spans="1:5">
      <c r="A187" s="3047" t="s">
        <v>3100</v>
      </c>
      <c r="B187" s="3048" t="s">
        <v>3101</v>
      </c>
      <c r="C187" s="3049">
        <v>21</v>
      </c>
      <c r="D187" s="3049" t="s">
        <v>3121</v>
      </c>
      <c r="E187" s="3049">
        <v>141.85</v>
      </c>
    </row>
    <row r="188" spans="1:5">
      <c r="A188" s="3047" t="s">
        <v>3100</v>
      </c>
      <c r="B188" s="3048" t="s">
        <v>3101</v>
      </c>
      <c r="C188" s="3049">
        <v>21</v>
      </c>
      <c r="D188" s="3049" t="s">
        <v>3122</v>
      </c>
      <c r="E188" s="3049">
        <v>141.85</v>
      </c>
    </row>
    <row r="189" spans="1:5">
      <c r="A189" s="3047" t="s">
        <v>3100</v>
      </c>
      <c r="B189" s="3048" t="s">
        <v>3101</v>
      </c>
      <c r="C189" s="3049">
        <v>21</v>
      </c>
      <c r="D189" s="3049" t="s">
        <v>3123</v>
      </c>
      <c r="E189" s="3049">
        <v>141.85</v>
      </c>
    </row>
    <row r="190" spans="1:5">
      <c r="A190" s="3047" t="s">
        <v>3100</v>
      </c>
      <c r="B190" s="3048" t="s">
        <v>3101</v>
      </c>
      <c r="C190" s="3049">
        <v>21</v>
      </c>
      <c r="D190" s="3049" t="s">
        <v>3124</v>
      </c>
      <c r="E190" s="3049">
        <v>141.85</v>
      </c>
    </row>
    <row r="191" spans="1:5">
      <c r="A191" s="3047" t="s">
        <v>3100</v>
      </c>
      <c r="B191" s="3048" t="s">
        <v>3101</v>
      </c>
      <c r="C191" s="3049">
        <v>21</v>
      </c>
      <c r="D191" s="3049" t="s">
        <v>3125</v>
      </c>
      <c r="E191" s="3049">
        <v>141.85</v>
      </c>
    </row>
    <row r="192" spans="1:5">
      <c r="A192" s="3047" t="s">
        <v>3100</v>
      </c>
      <c r="B192" s="3048" t="s">
        <v>3101</v>
      </c>
      <c r="C192" s="3049">
        <v>21</v>
      </c>
      <c r="D192" s="3049" t="s">
        <v>3126</v>
      </c>
      <c r="E192" s="3049">
        <v>141.91999999999999</v>
      </c>
    </row>
    <row r="193" spans="1:5">
      <c r="A193" s="3047" t="s">
        <v>3100</v>
      </c>
      <c r="B193" s="3048" t="s">
        <v>3101</v>
      </c>
      <c r="C193" s="3049">
        <v>21</v>
      </c>
      <c r="D193" s="3049" t="s">
        <v>3127</v>
      </c>
      <c r="E193" s="3049">
        <v>141.91999999999999</v>
      </c>
    </row>
    <row r="194" spans="1:5">
      <c r="A194" s="3047" t="s">
        <v>3100</v>
      </c>
      <c r="B194" s="3048" t="s">
        <v>3101</v>
      </c>
      <c r="C194" s="3049">
        <v>21</v>
      </c>
      <c r="D194" s="3049" t="s">
        <v>3146</v>
      </c>
      <c r="E194" s="3049">
        <v>131.06</v>
      </c>
    </row>
    <row r="195" spans="1:5">
      <c r="A195" s="3047" t="s">
        <v>3100</v>
      </c>
      <c r="B195" s="3048" t="s">
        <v>3101</v>
      </c>
      <c r="C195" s="3049">
        <v>21</v>
      </c>
      <c r="D195" s="3049" t="s">
        <v>3147</v>
      </c>
      <c r="E195" s="3049">
        <v>143.72999999999999</v>
      </c>
    </row>
    <row r="196" spans="1:5">
      <c r="A196" s="3047" t="s">
        <v>3100</v>
      </c>
      <c r="B196" s="3048" t="s">
        <v>3101</v>
      </c>
      <c r="C196" s="3049">
        <v>21</v>
      </c>
      <c r="D196" s="3049" t="s">
        <v>3148</v>
      </c>
      <c r="E196" s="3049">
        <v>138.19999999999999</v>
      </c>
    </row>
    <row r="197" spans="1:5">
      <c r="A197" s="3047" t="s">
        <v>3100</v>
      </c>
      <c r="B197" s="3048" t="s">
        <v>3101</v>
      </c>
      <c r="C197" s="3049">
        <v>21</v>
      </c>
      <c r="D197" s="3049" t="s">
        <v>3149</v>
      </c>
      <c r="E197" s="3049">
        <v>138.19999999999999</v>
      </c>
    </row>
    <row r="198" spans="1:5">
      <c r="A198" s="3047" t="s">
        <v>3100</v>
      </c>
      <c r="B198" s="3048" t="s">
        <v>3101</v>
      </c>
      <c r="C198" s="3049">
        <v>21</v>
      </c>
      <c r="D198" s="3049" t="s">
        <v>3150</v>
      </c>
      <c r="E198" s="3049">
        <v>138.19999999999999</v>
      </c>
    </row>
    <row r="199" spans="1:5">
      <c r="A199" s="3047" t="s">
        <v>3100</v>
      </c>
      <c r="B199" s="3048" t="s">
        <v>3101</v>
      </c>
      <c r="C199" s="3049">
        <v>21</v>
      </c>
      <c r="D199" s="3049" t="s">
        <v>3151</v>
      </c>
      <c r="E199" s="3049">
        <v>138.19999999999999</v>
      </c>
    </row>
    <row r="200" spans="1:5">
      <c r="A200" s="3047" t="s">
        <v>3100</v>
      </c>
      <c r="B200" s="3048" t="s">
        <v>3101</v>
      </c>
      <c r="C200" s="3049">
        <v>21</v>
      </c>
      <c r="D200" s="3049" t="s">
        <v>3152</v>
      </c>
      <c r="E200" s="3049">
        <v>138.31</v>
      </c>
    </row>
    <row r="201" spans="1:5">
      <c r="A201" s="3047" t="s">
        <v>3100</v>
      </c>
      <c r="B201" s="3048" t="s">
        <v>3101</v>
      </c>
      <c r="C201" s="3049">
        <v>21</v>
      </c>
      <c r="D201" s="3049" t="s">
        <v>3153</v>
      </c>
      <c r="E201" s="3049">
        <v>138.31</v>
      </c>
    </row>
    <row r="202" spans="1:5">
      <c r="A202" s="3047" t="s">
        <v>3100</v>
      </c>
      <c r="B202" s="3048" t="s">
        <v>3101</v>
      </c>
      <c r="C202" s="3049">
        <v>21</v>
      </c>
      <c r="D202" s="3049" t="s">
        <v>3154</v>
      </c>
      <c r="E202" s="3049">
        <v>138.31</v>
      </c>
    </row>
    <row r="203" spans="1:5">
      <c r="A203" s="3047" t="s">
        <v>3100</v>
      </c>
      <c r="B203" s="3048" t="s">
        <v>3101</v>
      </c>
      <c r="C203" s="3049">
        <v>21</v>
      </c>
      <c r="D203" s="3049" t="s">
        <v>3155</v>
      </c>
      <c r="E203" s="3049">
        <v>138.31</v>
      </c>
    </row>
    <row r="204" spans="1:5">
      <c r="A204" s="3047" t="s">
        <v>3100</v>
      </c>
      <c r="B204" s="3048" t="s">
        <v>3101</v>
      </c>
      <c r="C204" s="3049">
        <v>21</v>
      </c>
      <c r="D204" s="3049" t="s">
        <v>3156</v>
      </c>
      <c r="E204" s="3049">
        <v>138.31</v>
      </c>
    </row>
    <row r="205" spans="1:5">
      <c r="A205" s="3047" t="s">
        <v>3100</v>
      </c>
      <c r="B205" s="3048" t="s">
        <v>3101</v>
      </c>
      <c r="C205" s="3049">
        <v>21</v>
      </c>
      <c r="D205" s="3049" t="s">
        <v>3157</v>
      </c>
      <c r="E205" s="3049">
        <v>138.31</v>
      </c>
    </row>
    <row r="206" spans="1:5">
      <c r="A206" s="3047" t="s">
        <v>3100</v>
      </c>
      <c r="B206" s="3048" t="s">
        <v>3101</v>
      </c>
      <c r="C206" s="3049">
        <v>21</v>
      </c>
      <c r="D206" s="3049" t="s">
        <v>3158</v>
      </c>
      <c r="E206" s="3049">
        <v>138.31</v>
      </c>
    </row>
    <row r="207" spans="1:5">
      <c r="A207" s="3047" t="s">
        <v>3100</v>
      </c>
      <c r="B207" s="3048" t="s">
        <v>3101</v>
      </c>
      <c r="C207" s="3049">
        <v>21</v>
      </c>
      <c r="D207" s="3049" t="s">
        <v>3159</v>
      </c>
      <c r="E207" s="3049">
        <v>138.31</v>
      </c>
    </row>
    <row r="208" spans="1:5">
      <c r="A208" s="3047" t="s">
        <v>3100</v>
      </c>
      <c r="B208" s="3048" t="s">
        <v>3101</v>
      </c>
      <c r="C208" s="3049">
        <v>21</v>
      </c>
      <c r="D208" s="3049" t="s">
        <v>3160</v>
      </c>
      <c r="E208" s="3049">
        <v>138.31</v>
      </c>
    </row>
    <row r="209" spans="1:5">
      <c r="A209" s="3047" t="s">
        <v>3100</v>
      </c>
      <c r="B209" s="3048" t="s">
        <v>3101</v>
      </c>
      <c r="C209" s="3049">
        <v>21</v>
      </c>
      <c r="D209" s="3049" t="s">
        <v>3161</v>
      </c>
      <c r="E209" s="3049">
        <v>138.31</v>
      </c>
    </row>
    <row r="210" spans="1:5">
      <c r="A210" s="3047" t="s">
        <v>3100</v>
      </c>
      <c r="B210" s="3048" t="s">
        <v>3101</v>
      </c>
      <c r="C210" s="3049">
        <v>21</v>
      </c>
      <c r="D210" s="3049" t="s">
        <v>3162</v>
      </c>
      <c r="E210" s="3049">
        <v>138.54</v>
      </c>
    </row>
    <row r="211" spans="1:5">
      <c r="A211" s="3047" t="s">
        <v>3100</v>
      </c>
      <c r="B211" s="3048" t="s">
        <v>3101</v>
      </c>
      <c r="C211" s="3049">
        <v>21</v>
      </c>
      <c r="D211" s="3049" t="s">
        <v>3163</v>
      </c>
      <c r="E211" s="3049">
        <v>138.54</v>
      </c>
    </row>
    <row r="212" spans="1:5">
      <c r="A212" s="3047" t="s">
        <v>3100</v>
      </c>
      <c r="B212" s="3048" t="s">
        <v>3101</v>
      </c>
      <c r="C212" s="3049">
        <v>21</v>
      </c>
      <c r="D212" s="3049" t="s">
        <v>3164</v>
      </c>
      <c r="E212" s="3049">
        <v>138.54</v>
      </c>
    </row>
    <row r="213" spans="1:5">
      <c r="A213" s="3047" t="s">
        <v>3100</v>
      </c>
      <c r="B213" s="3048" t="s">
        <v>3101</v>
      </c>
      <c r="C213" s="3049">
        <v>21</v>
      </c>
      <c r="D213" s="3049" t="s">
        <v>3165</v>
      </c>
      <c r="E213" s="3049">
        <v>138.54</v>
      </c>
    </row>
    <row r="214" spans="1:5">
      <c r="A214" s="3047" t="s">
        <v>3100</v>
      </c>
      <c r="B214" s="3048" t="s">
        <v>3101</v>
      </c>
      <c r="C214" s="3049">
        <v>21</v>
      </c>
      <c r="D214" s="3049" t="s">
        <v>3166</v>
      </c>
      <c r="E214" s="3049">
        <v>138.72</v>
      </c>
    </row>
    <row r="215" spans="1:5">
      <c r="A215" s="3047" t="s">
        <v>3100</v>
      </c>
      <c r="B215" s="3048" t="s">
        <v>3101</v>
      </c>
      <c r="C215" s="3049">
        <v>21</v>
      </c>
      <c r="D215" s="3049" t="s">
        <v>3167</v>
      </c>
      <c r="E215" s="3049">
        <v>138.72</v>
      </c>
    </row>
    <row r="216" spans="1:5">
      <c r="A216" s="3047" t="s">
        <v>3100</v>
      </c>
      <c r="B216" s="3048" t="s">
        <v>3101</v>
      </c>
      <c r="C216" s="3049">
        <v>22</v>
      </c>
      <c r="D216" s="3049" t="s">
        <v>3102</v>
      </c>
      <c r="E216" s="3049">
        <v>134.43</v>
      </c>
    </row>
    <row r="217" spans="1:5">
      <c r="A217" s="3047" t="s">
        <v>3100</v>
      </c>
      <c r="B217" s="3048" t="s">
        <v>3101</v>
      </c>
      <c r="C217" s="3049">
        <v>22</v>
      </c>
      <c r="D217" s="3049" t="s">
        <v>3103</v>
      </c>
      <c r="E217" s="3049">
        <v>147.19999999999999</v>
      </c>
    </row>
    <row r="218" spans="1:5">
      <c r="A218" s="3047" t="s">
        <v>3100</v>
      </c>
      <c r="B218" s="3048" t="s">
        <v>3101</v>
      </c>
      <c r="C218" s="3049">
        <v>22</v>
      </c>
      <c r="D218" s="3049" t="s">
        <v>3104</v>
      </c>
      <c r="E218" s="3049">
        <v>142.06</v>
      </c>
    </row>
    <row r="219" spans="1:5">
      <c r="A219" s="3047" t="s">
        <v>3100</v>
      </c>
      <c r="B219" s="3048" t="s">
        <v>3101</v>
      </c>
      <c r="C219" s="3049">
        <v>22</v>
      </c>
      <c r="D219" s="3049" t="s">
        <v>3105</v>
      </c>
      <c r="E219" s="3049">
        <v>142.06</v>
      </c>
    </row>
    <row r="220" spans="1:5">
      <c r="A220" s="3047" t="s">
        <v>3100</v>
      </c>
      <c r="B220" s="3048" t="s">
        <v>3101</v>
      </c>
      <c r="C220" s="3049">
        <v>22</v>
      </c>
      <c r="D220" s="3049" t="s">
        <v>3106</v>
      </c>
      <c r="E220" s="3049">
        <v>142.06</v>
      </c>
    </row>
    <row r="221" spans="1:5">
      <c r="A221" s="3047" t="s">
        <v>3100</v>
      </c>
      <c r="B221" s="3048" t="s">
        <v>3101</v>
      </c>
      <c r="C221" s="3049">
        <v>22</v>
      </c>
      <c r="D221" s="3049" t="s">
        <v>3107</v>
      </c>
      <c r="E221" s="3049">
        <v>142.06</v>
      </c>
    </row>
    <row r="222" spans="1:5">
      <c r="A222" s="3047" t="s">
        <v>3100</v>
      </c>
      <c r="B222" s="3048" t="s">
        <v>3101</v>
      </c>
      <c r="C222" s="3049">
        <v>22</v>
      </c>
      <c r="D222" s="3049" t="s">
        <v>3108</v>
      </c>
      <c r="E222" s="3049">
        <v>142.06</v>
      </c>
    </row>
    <row r="223" spans="1:5">
      <c r="A223" s="3047" t="s">
        <v>3100</v>
      </c>
      <c r="B223" s="3048" t="s">
        <v>3101</v>
      </c>
      <c r="C223" s="3049">
        <v>22</v>
      </c>
      <c r="D223" s="3049" t="s">
        <v>3109</v>
      </c>
      <c r="E223" s="3049">
        <v>142.16</v>
      </c>
    </row>
    <row r="224" spans="1:5">
      <c r="A224" s="3047" t="s">
        <v>3100</v>
      </c>
      <c r="B224" s="3048" t="s">
        <v>3101</v>
      </c>
      <c r="C224" s="3049">
        <v>22</v>
      </c>
      <c r="D224" s="3049" t="s">
        <v>3110</v>
      </c>
      <c r="E224" s="3049">
        <v>142.06</v>
      </c>
    </row>
    <row r="225" spans="1:5">
      <c r="A225" s="3047" t="s">
        <v>3100</v>
      </c>
      <c r="B225" s="3048" t="s">
        <v>3101</v>
      </c>
      <c r="C225" s="3049">
        <v>22</v>
      </c>
      <c r="D225" s="3049" t="s">
        <v>3111</v>
      </c>
      <c r="E225" s="3049">
        <v>142.16</v>
      </c>
    </row>
    <row r="226" spans="1:5">
      <c r="A226" s="3047" t="s">
        <v>3100</v>
      </c>
      <c r="B226" s="3048" t="s">
        <v>3101</v>
      </c>
      <c r="C226" s="3049">
        <v>22</v>
      </c>
      <c r="D226" s="3049" t="s">
        <v>3112</v>
      </c>
      <c r="E226" s="3049">
        <v>142.06</v>
      </c>
    </row>
    <row r="227" spans="1:5">
      <c r="A227" s="3047" t="s">
        <v>3100</v>
      </c>
      <c r="B227" s="3048" t="s">
        <v>3101</v>
      </c>
      <c r="C227" s="3049">
        <v>22</v>
      </c>
      <c r="D227" s="3049" t="s">
        <v>3113</v>
      </c>
      <c r="E227" s="3049">
        <v>142.16</v>
      </c>
    </row>
    <row r="228" spans="1:5">
      <c r="A228" s="3047" t="s">
        <v>3100</v>
      </c>
      <c r="B228" s="3048" t="s">
        <v>3101</v>
      </c>
      <c r="C228" s="3049">
        <v>22</v>
      </c>
      <c r="D228" s="3049" t="s">
        <v>3114</v>
      </c>
      <c r="E228" s="3049">
        <v>142.13</v>
      </c>
    </row>
    <row r="229" spans="1:5">
      <c r="A229" s="3047" t="s">
        <v>3100</v>
      </c>
      <c r="B229" s="3048" t="s">
        <v>3101</v>
      </c>
      <c r="C229" s="3049">
        <v>22</v>
      </c>
      <c r="D229" s="3049" t="s">
        <v>3115</v>
      </c>
      <c r="E229" s="3049">
        <v>142.25</v>
      </c>
    </row>
    <row r="230" spans="1:5">
      <c r="A230" s="3047" t="s">
        <v>3100</v>
      </c>
      <c r="B230" s="3048" t="s">
        <v>3101</v>
      </c>
      <c r="C230" s="3049">
        <v>22</v>
      </c>
      <c r="D230" s="3049" t="s">
        <v>3144</v>
      </c>
      <c r="E230" s="3049">
        <v>131.26</v>
      </c>
    </row>
    <row r="231" spans="1:5">
      <c r="A231" s="3047" t="s">
        <v>3100</v>
      </c>
      <c r="B231" s="3048" t="s">
        <v>3101</v>
      </c>
      <c r="C231" s="3049">
        <v>22</v>
      </c>
      <c r="D231" s="3049" t="s">
        <v>3145</v>
      </c>
      <c r="E231" s="3049">
        <v>143.94</v>
      </c>
    </row>
    <row r="232" spans="1:5">
      <c r="A232" s="3047" t="s">
        <v>3100</v>
      </c>
      <c r="B232" s="3048" t="s">
        <v>3101</v>
      </c>
      <c r="C232" s="3049">
        <v>22</v>
      </c>
      <c r="D232" s="3049" t="s">
        <v>3116</v>
      </c>
      <c r="E232" s="3049">
        <v>138.4</v>
      </c>
    </row>
    <row r="233" spans="1:5">
      <c r="A233" s="3047" t="s">
        <v>3100</v>
      </c>
      <c r="B233" s="3048" t="s">
        <v>3101</v>
      </c>
      <c r="C233" s="3049">
        <v>22</v>
      </c>
      <c r="D233" s="3049" t="s">
        <v>3117</v>
      </c>
      <c r="E233" s="3049">
        <v>138.4</v>
      </c>
    </row>
    <row r="234" spans="1:5">
      <c r="A234" s="3047" t="s">
        <v>3100</v>
      </c>
      <c r="B234" s="3048" t="s">
        <v>3101</v>
      </c>
      <c r="C234" s="3049">
        <v>22</v>
      </c>
      <c r="D234" s="3049" t="s">
        <v>3118</v>
      </c>
      <c r="E234" s="3049">
        <v>138.4</v>
      </c>
    </row>
    <row r="235" spans="1:5">
      <c r="A235" s="3047" t="s">
        <v>3100</v>
      </c>
      <c r="B235" s="3048" t="s">
        <v>3101</v>
      </c>
      <c r="C235" s="3049">
        <v>22</v>
      </c>
      <c r="D235" s="3049" t="s">
        <v>3119</v>
      </c>
      <c r="E235" s="3049">
        <v>138.4</v>
      </c>
    </row>
    <row r="236" spans="1:5">
      <c r="A236" s="3047" t="s">
        <v>3100</v>
      </c>
      <c r="B236" s="3048" t="s">
        <v>3101</v>
      </c>
      <c r="C236" s="3049">
        <v>22</v>
      </c>
      <c r="D236" s="3049" t="s">
        <v>3120</v>
      </c>
      <c r="E236" s="3049">
        <v>138.51</v>
      </c>
    </row>
    <row r="237" spans="1:5">
      <c r="A237" s="3047" t="s">
        <v>3100</v>
      </c>
      <c r="B237" s="3048" t="s">
        <v>3101</v>
      </c>
      <c r="C237" s="3049">
        <v>22</v>
      </c>
      <c r="D237" s="3049" t="s">
        <v>3121</v>
      </c>
      <c r="E237" s="3049">
        <v>138.51</v>
      </c>
    </row>
    <row r="238" spans="1:5">
      <c r="A238" s="3047" t="s">
        <v>3100</v>
      </c>
      <c r="B238" s="3048" t="s">
        <v>3101</v>
      </c>
      <c r="C238" s="3049">
        <v>22</v>
      </c>
      <c r="D238" s="3049" t="s">
        <v>3122</v>
      </c>
      <c r="E238" s="3049">
        <v>138.51</v>
      </c>
    </row>
    <row r="239" spans="1:5">
      <c r="A239" s="3047" t="s">
        <v>3100</v>
      </c>
      <c r="B239" s="3048" t="s">
        <v>3101</v>
      </c>
      <c r="C239" s="3049">
        <v>22</v>
      </c>
      <c r="D239" s="3049" t="s">
        <v>3123</v>
      </c>
      <c r="E239" s="3049">
        <v>138.51</v>
      </c>
    </row>
    <row r="240" spans="1:5">
      <c r="A240" s="3047" t="s">
        <v>3100</v>
      </c>
      <c r="B240" s="3048" t="s">
        <v>3101</v>
      </c>
      <c r="C240" s="3049">
        <v>22</v>
      </c>
      <c r="D240" s="3049" t="s">
        <v>3124</v>
      </c>
      <c r="E240" s="3049">
        <v>138.51</v>
      </c>
    </row>
    <row r="241" spans="1:5">
      <c r="A241" s="3047" t="s">
        <v>3100</v>
      </c>
      <c r="B241" s="3048" t="s">
        <v>3101</v>
      </c>
      <c r="C241" s="3049">
        <v>22</v>
      </c>
      <c r="D241" s="3049" t="s">
        <v>3125</v>
      </c>
      <c r="E241" s="3049">
        <v>138.51</v>
      </c>
    </row>
    <row r="242" spans="1:5">
      <c r="A242" s="3047" t="s">
        <v>3100</v>
      </c>
      <c r="B242" s="3048" t="s">
        <v>3101</v>
      </c>
      <c r="C242" s="3049">
        <v>22</v>
      </c>
      <c r="D242" s="3049" t="s">
        <v>3126</v>
      </c>
      <c r="E242" s="3049">
        <v>138.51</v>
      </c>
    </row>
    <row r="243" spans="1:5">
      <c r="A243" s="3047" t="s">
        <v>3100</v>
      </c>
      <c r="B243" s="3048" t="s">
        <v>3101</v>
      </c>
      <c r="C243" s="3049">
        <v>22</v>
      </c>
      <c r="D243" s="3049" t="s">
        <v>3127</v>
      </c>
      <c r="E243" s="3049">
        <v>138.51</v>
      </c>
    </row>
    <row r="244" spans="1:5">
      <c r="A244" s="3047" t="s">
        <v>3100</v>
      </c>
      <c r="B244" s="3048" t="s">
        <v>3101</v>
      </c>
      <c r="C244" s="3049">
        <v>22</v>
      </c>
      <c r="D244" s="3049" t="s">
        <v>3128</v>
      </c>
      <c r="E244" s="3049">
        <v>138.51</v>
      </c>
    </row>
    <row r="245" spans="1:5">
      <c r="A245" s="3047" t="s">
        <v>3100</v>
      </c>
      <c r="B245" s="3048" t="s">
        <v>3101</v>
      </c>
      <c r="C245" s="3049">
        <v>22</v>
      </c>
      <c r="D245" s="3049" t="s">
        <v>3129</v>
      </c>
      <c r="E245" s="3049">
        <v>138.51</v>
      </c>
    </row>
    <row r="246" spans="1:5">
      <c r="A246" s="3047" t="s">
        <v>3100</v>
      </c>
      <c r="B246" s="3048" t="s">
        <v>3101</v>
      </c>
      <c r="C246" s="3049">
        <v>22</v>
      </c>
      <c r="D246" s="3049" t="s">
        <v>3130</v>
      </c>
      <c r="E246" s="3049">
        <v>138.75</v>
      </c>
    </row>
    <row r="247" spans="1:5">
      <c r="A247" s="3047" t="s">
        <v>3100</v>
      </c>
      <c r="B247" s="3048" t="s">
        <v>3101</v>
      </c>
      <c r="C247" s="3049">
        <v>22</v>
      </c>
      <c r="D247" s="3049" t="s">
        <v>3131</v>
      </c>
      <c r="E247" s="3049">
        <v>138.75</v>
      </c>
    </row>
    <row r="248" spans="1:5">
      <c r="A248" s="3047" t="s">
        <v>3100</v>
      </c>
      <c r="B248" s="3048" t="s">
        <v>3101</v>
      </c>
      <c r="C248" s="3049">
        <v>22</v>
      </c>
      <c r="D248" s="3049" t="s">
        <v>3132</v>
      </c>
      <c r="E248" s="3049">
        <v>138.75</v>
      </c>
    </row>
    <row r="249" spans="1:5">
      <c r="A249" s="3047" t="s">
        <v>3100</v>
      </c>
      <c r="B249" s="3048" t="s">
        <v>3101</v>
      </c>
      <c r="C249" s="3049">
        <v>22</v>
      </c>
      <c r="D249" s="3049" t="s">
        <v>3133</v>
      </c>
      <c r="E249" s="3049">
        <v>138.75</v>
      </c>
    </row>
    <row r="250" spans="1:5">
      <c r="A250" s="3047" t="s">
        <v>3100</v>
      </c>
      <c r="B250" s="3048" t="s">
        <v>3101</v>
      </c>
      <c r="C250" s="3049">
        <v>22</v>
      </c>
      <c r="D250" s="3049" t="s">
        <v>3134</v>
      </c>
      <c r="E250" s="3049">
        <v>138.91999999999999</v>
      </c>
    </row>
    <row r="251" spans="1:5">
      <c r="A251" s="3047" t="s">
        <v>3100</v>
      </c>
      <c r="B251" s="3048" t="s">
        <v>3101</v>
      </c>
      <c r="C251" s="3049">
        <v>22</v>
      </c>
      <c r="D251" s="3049" t="s">
        <v>3135</v>
      </c>
      <c r="E251" s="3049">
        <v>138.91999999999999</v>
      </c>
    </row>
    <row r="252" spans="1:5">
      <c r="A252" s="3047" t="s">
        <v>3100</v>
      </c>
      <c r="B252" s="3048" t="s">
        <v>3101</v>
      </c>
      <c r="C252" s="3049">
        <v>22</v>
      </c>
      <c r="D252" s="3049" t="s">
        <v>3146</v>
      </c>
      <c r="E252" s="3049">
        <v>113.16</v>
      </c>
    </row>
    <row r="253" spans="1:5">
      <c r="A253" s="3047" t="s">
        <v>3100</v>
      </c>
      <c r="B253" s="3048" t="s">
        <v>3101</v>
      </c>
      <c r="C253" s="3049">
        <v>22</v>
      </c>
      <c r="D253" s="3049" t="s">
        <v>3147</v>
      </c>
      <c r="E253" s="3049">
        <v>123.95</v>
      </c>
    </row>
    <row r="254" spans="1:5">
      <c r="A254" s="3047" t="s">
        <v>3100</v>
      </c>
      <c r="B254" s="3048" t="s">
        <v>3101</v>
      </c>
      <c r="C254" s="3049">
        <v>22</v>
      </c>
      <c r="D254" s="3049" t="s">
        <v>3148</v>
      </c>
      <c r="E254" s="3049">
        <v>126.99</v>
      </c>
    </row>
    <row r="255" spans="1:5">
      <c r="A255" s="3047" t="s">
        <v>3100</v>
      </c>
      <c r="B255" s="3048" t="s">
        <v>3101</v>
      </c>
      <c r="C255" s="3049">
        <v>22</v>
      </c>
      <c r="D255" s="3049" t="s">
        <v>3149</v>
      </c>
      <c r="E255" s="3049">
        <v>123.95</v>
      </c>
    </row>
    <row r="256" spans="1:5">
      <c r="A256" s="3047" t="s">
        <v>3100</v>
      </c>
      <c r="B256" s="3048" t="s">
        <v>3101</v>
      </c>
      <c r="C256" s="3049">
        <v>22</v>
      </c>
      <c r="D256" s="3049" t="s">
        <v>3150</v>
      </c>
      <c r="E256" s="3049">
        <v>126.99</v>
      </c>
    </row>
    <row r="257" spans="1:5">
      <c r="A257" s="3047" t="s">
        <v>3100</v>
      </c>
      <c r="B257" s="3048" t="s">
        <v>3101</v>
      </c>
      <c r="C257" s="3049">
        <v>22</v>
      </c>
      <c r="D257" s="3049" t="s">
        <v>3151</v>
      </c>
      <c r="E257" s="3049">
        <v>123.95</v>
      </c>
    </row>
    <row r="258" spans="1:5">
      <c r="A258" s="3047" t="s">
        <v>3100</v>
      </c>
      <c r="B258" s="3048" t="s">
        <v>3101</v>
      </c>
      <c r="C258" s="3049">
        <v>22</v>
      </c>
      <c r="D258" s="3049" t="s">
        <v>3152</v>
      </c>
      <c r="E258" s="3049">
        <v>126.99</v>
      </c>
    </row>
    <row r="259" spans="1:5">
      <c r="A259" s="3047" t="s">
        <v>3100</v>
      </c>
      <c r="B259" s="3048" t="s">
        <v>3101</v>
      </c>
      <c r="C259" s="3049">
        <v>22</v>
      </c>
      <c r="D259" s="3049" t="s">
        <v>3153</v>
      </c>
      <c r="E259" s="3049">
        <v>123.95</v>
      </c>
    </row>
    <row r="260" spans="1:5">
      <c r="A260" s="3047" t="s">
        <v>3100</v>
      </c>
      <c r="B260" s="3048" t="s">
        <v>3101</v>
      </c>
      <c r="C260" s="3049">
        <v>22</v>
      </c>
      <c r="D260" s="3049" t="s">
        <v>3154</v>
      </c>
      <c r="E260" s="3049">
        <v>126.99</v>
      </c>
    </row>
    <row r="261" spans="1:5">
      <c r="A261" s="3047" t="s">
        <v>3100</v>
      </c>
      <c r="B261" s="3048" t="s">
        <v>3101</v>
      </c>
      <c r="C261" s="3049">
        <v>22</v>
      </c>
      <c r="D261" s="3049" t="s">
        <v>3155</v>
      </c>
      <c r="E261" s="3049">
        <v>123.95</v>
      </c>
    </row>
    <row r="262" spans="1:5">
      <c r="A262" s="3047" t="s">
        <v>3100</v>
      </c>
      <c r="B262" s="3048" t="s">
        <v>3101</v>
      </c>
      <c r="C262" s="3049">
        <v>22</v>
      </c>
      <c r="D262" s="3049" t="s">
        <v>3156</v>
      </c>
      <c r="E262" s="3049">
        <v>126.99</v>
      </c>
    </row>
    <row r="263" spans="1:5">
      <c r="A263" s="3047" t="s">
        <v>3100</v>
      </c>
      <c r="B263" s="3048" t="s">
        <v>3101</v>
      </c>
      <c r="C263" s="3049">
        <v>22</v>
      </c>
      <c r="D263" s="3049" t="s">
        <v>3157</v>
      </c>
      <c r="E263" s="3049">
        <v>123.95</v>
      </c>
    </row>
    <row r="264" spans="1:5">
      <c r="A264" s="3047" t="s">
        <v>3100</v>
      </c>
      <c r="B264" s="3048" t="s">
        <v>3101</v>
      </c>
      <c r="C264" s="3049">
        <v>22</v>
      </c>
      <c r="D264" s="3049" t="s">
        <v>3158</v>
      </c>
      <c r="E264" s="3049">
        <v>126.99</v>
      </c>
    </row>
    <row r="265" spans="1:5">
      <c r="A265" s="3047" t="s">
        <v>3100</v>
      </c>
      <c r="B265" s="3048" t="s">
        <v>3101</v>
      </c>
      <c r="C265" s="3049">
        <v>22</v>
      </c>
      <c r="D265" s="3049" t="s">
        <v>3159</v>
      </c>
      <c r="E265" s="3049">
        <v>123.95</v>
      </c>
    </row>
    <row r="266" spans="1:5">
      <c r="A266" s="3047" t="s">
        <v>3100</v>
      </c>
      <c r="B266" s="3048" t="s">
        <v>3101</v>
      </c>
      <c r="C266" s="3049">
        <v>23</v>
      </c>
      <c r="D266" s="3049" t="s">
        <v>3102</v>
      </c>
      <c r="E266" s="3049">
        <v>146.94</v>
      </c>
    </row>
    <row r="267" spans="1:5">
      <c r="A267" s="3047" t="s">
        <v>3100</v>
      </c>
      <c r="B267" s="3048" t="s">
        <v>3101</v>
      </c>
      <c r="C267" s="3049">
        <v>23</v>
      </c>
      <c r="D267" s="3049" t="s">
        <v>3103</v>
      </c>
      <c r="E267" s="3049">
        <v>142.36000000000001</v>
      </c>
    </row>
    <row r="268" spans="1:5">
      <c r="A268" s="3047" t="s">
        <v>3100</v>
      </c>
      <c r="B268" s="3048" t="s">
        <v>3101</v>
      </c>
      <c r="C268" s="3049">
        <v>23</v>
      </c>
      <c r="D268" s="3049" t="s">
        <v>3104</v>
      </c>
      <c r="E268" s="3049">
        <v>142.36000000000001</v>
      </c>
    </row>
    <row r="269" spans="1:5">
      <c r="A269" s="3047" t="s">
        <v>3100</v>
      </c>
      <c r="B269" s="3048" t="s">
        <v>3101</v>
      </c>
      <c r="C269" s="3049">
        <v>23</v>
      </c>
      <c r="D269" s="3049" t="s">
        <v>3105</v>
      </c>
      <c r="E269" s="3049">
        <v>142.46</v>
      </c>
    </row>
    <row r="270" spans="1:5">
      <c r="A270" s="3047" t="s">
        <v>3100</v>
      </c>
      <c r="B270" s="3048" t="s">
        <v>3101</v>
      </c>
      <c r="C270" s="3049">
        <v>23</v>
      </c>
      <c r="D270" s="3049" t="s">
        <v>3106</v>
      </c>
      <c r="E270" s="3049">
        <v>142.36000000000001</v>
      </c>
    </row>
    <row r="271" spans="1:5">
      <c r="A271" s="3047" t="s">
        <v>3100</v>
      </c>
      <c r="B271" s="3048" t="s">
        <v>3101</v>
      </c>
      <c r="C271" s="3049">
        <v>23</v>
      </c>
      <c r="D271" s="3049" t="s">
        <v>3107</v>
      </c>
      <c r="E271" s="3049">
        <v>142.36000000000001</v>
      </c>
    </row>
    <row r="272" spans="1:5">
      <c r="A272" s="3047" t="s">
        <v>3100</v>
      </c>
      <c r="B272" s="3048" t="s">
        <v>3101</v>
      </c>
      <c r="C272" s="3049">
        <v>23</v>
      </c>
      <c r="D272" s="3049" t="s">
        <v>3108</v>
      </c>
      <c r="E272" s="3049">
        <v>142.36000000000001</v>
      </c>
    </row>
    <row r="273" spans="1:5">
      <c r="A273" s="3047" t="s">
        <v>3100</v>
      </c>
      <c r="B273" s="3048" t="s">
        <v>3101</v>
      </c>
      <c r="C273" s="3049">
        <v>23</v>
      </c>
      <c r="D273" s="3049" t="s">
        <v>3109</v>
      </c>
      <c r="E273" s="3049">
        <v>142.36000000000001</v>
      </c>
    </row>
    <row r="274" spans="1:5">
      <c r="A274" s="3047" t="s">
        <v>3100</v>
      </c>
      <c r="B274" s="3048" t="s">
        <v>3101</v>
      </c>
      <c r="C274" s="3049">
        <v>23</v>
      </c>
      <c r="D274" s="3049" t="s">
        <v>3110</v>
      </c>
      <c r="E274" s="3049">
        <v>142.36000000000001</v>
      </c>
    </row>
    <row r="275" spans="1:5">
      <c r="A275" s="3047" t="s">
        <v>3100</v>
      </c>
      <c r="B275" s="3048" t="s">
        <v>3101</v>
      </c>
      <c r="C275" s="3049">
        <v>23</v>
      </c>
      <c r="D275" s="3049" t="s">
        <v>3111</v>
      </c>
      <c r="E275" s="3049">
        <v>142.36000000000001</v>
      </c>
    </row>
    <row r="276" spans="1:5">
      <c r="A276" s="3047" t="s">
        <v>3100</v>
      </c>
      <c r="B276" s="3048" t="s">
        <v>3101</v>
      </c>
      <c r="C276" s="3049">
        <v>23</v>
      </c>
      <c r="D276" s="3049" t="s">
        <v>3112</v>
      </c>
      <c r="E276" s="3049">
        <v>142.36000000000001</v>
      </c>
    </row>
    <row r="277" spans="1:5">
      <c r="A277" s="3047" t="s">
        <v>3100</v>
      </c>
      <c r="B277" s="3048" t="s">
        <v>3101</v>
      </c>
      <c r="C277" s="3049">
        <v>23</v>
      </c>
      <c r="D277" s="3049" t="s">
        <v>3113</v>
      </c>
      <c r="E277" s="3049">
        <v>142.36000000000001</v>
      </c>
    </row>
    <row r="278" spans="1:5">
      <c r="A278" s="3047" t="s">
        <v>3100</v>
      </c>
      <c r="B278" s="3048" t="s">
        <v>3101</v>
      </c>
      <c r="C278" s="3049">
        <v>23</v>
      </c>
      <c r="D278" s="3049" t="s">
        <v>3114</v>
      </c>
      <c r="E278" s="3049">
        <v>142.43</v>
      </c>
    </row>
    <row r="279" spans="1:5">
      <c r="A279" s="3047" t="s">
        <v>3100</v>
      </c>
      <c r="B279" s="3048" t="s">
        <v>3101</v>
      </c>
      <c r="C279" s="3049">
        <v>23</v>
      </c>
      <c r="D279" s="3049" t="s">
        <v>3115</v>
      </c>
      <c r="E279" s="3049">
        <v>142.54</v>
      </c>
    </row>
    <row r="280" spans="1:5">
      <c r="A280" s="3047" t="s">
        <v>3100</v>
      </c>
      <c r="B280" s="3048" t="s">
        <v>3101</v>
      </c>
      <c r="C280" s="3049">
        <v>23</v>
      </c>
      <c r="D280" s="3049" t="s">
        <v>3144</v>
      </c>
      <c r="E280" s="3049">
        <v>141.22999999999999</v>
      </c>
    </row>
    <row r="281" spans="1:5">
      <c r="A281" s="3047" t="s">
        <v>3100</v>
      </c>
      <c r="B281" s="3048" t="s">
        <v>3101</v>
      </c>
      <c r="C281" s="3049">
        <v>23</v>
      </c>
      <c r="D281" s="3049" t="s">
        <v>3145</v>
      </c>
      <c r="E281" s="3049">
        <v>141.22999999999999</v>
      </c>
    </row>
    <row r="282" spans="1:5">
      <c r="A282" s="3047" t="s">
        <v>3100</v>
      </c>
      <c r="B282" s="3048" t="s">
        <v>3101</v>
      </c>
      <c r="C282" s="3049">
        <v>23</v>
      </c>
      <c r="D282" s="3049" t="s">
        <v>3116</v>
      </c>
      <c r="E282" s="3049">
        <v>138.69</v>
      </c>
    </row>
    <row r="283" spans="1:5">
      <c r="A283" s="3047" t="s">
        <v>3100</v>
      </c>
      <c r="B283" s="3048" t="s">
        <v>3101</v>
      </c>
      <c r="C283" s="3049">
        <v>23</v>
      </c>
      <c r="D283" s="3049" t="s">
        <v>3117</v>
      </c>
      <c r="E283" s="3049">
        <v>138.69</v>
      </c>
    </row>
    <row r="284" spans="1:5">
      <c r="A284" s="3047" t="s">
        <v>3100</v>
      </c>
      <c r="B284" s="3048" t="s">
        <v>3101</v>
      </c>
      <c r="C284" s="3049">
        <v>23</v>
      </c>
      <c r="D284" s="3049" t="s">
        <v>3118</v>
      </c>
      <c r="E284" s="3049">
        <v>138.69</v>
      </c>
    </row>
    <row r="285" spans="1:5">
      <c r="A285" s="3047" t="s">
        <v>3100</v>
      </c>
      <c r="B285" s="3048" t="s">
        <v>3101</v>
      </c>
      <c r="C285" s="3049">
        <v>23</v>
      </c>
      <c r="D285" s="3049" t="s">
        <v>3119</v>
      </c>
      <c r="E285" s="3049">
        <v>138.69</v>
      </c>
    </row>
    <row r="286" spans="1:5">
      <c r="A286" s="3047" t="s">
        <v>3100</v>
      </c>
      <c r="B286" s="3048" t="s">
        <v>3101</v>
      </c>
      <c r="C286" s="3049">
        <v>23</v>
      </c>
      <c r="D286" s="3049" t="s">
        <v>3120</v>
      </c>
      <c r="E286" s="3049">
        <v>138.80000000000001</v>
      </c>
    </row>
    <row r="287" spans="1:5">
      <c r="A287" s="3047" t="s">
        <v>3100</v>
      </c>
      <c r="B287" s="3048" t="s">
        <v>3101</v>
      </c>
      <c r="C287" s="3049">
        <v>23</v>
      </c>
      <c r="D287" s="3049" t="s">
        <v>3121</v>
      </c>
      <c r="E287" s="3049">
        <v>138.80000000000001</v>
      </c>
    </row>
    <row r="288" spans="1:5">
      <c r="A288" s="3047" t="s">
        <v>3100</v>
      </c>
      <c r="B288" s="3048" t="s">
        <v>3101</v>
      </c>
      <c r="C288" s="3049">
        <v>23</v>
      </c>
      <c r="D288" s="3049" t="s">
        <v>3122</v>
      </c>
      <c r="E288" s="3049">
        <v>138.80000000000001</v>
      </c>
    </row>
    <row r="289" spans="1:5">
      <c r="A289" s="3047" t="s">
        <v>3100</v>
      </c>
      <c r="B289" s="3048" t="s">
        <v>3101</v>
      </c>
      <c r="C289" s="3049">
        <v>23</v>
      </c>
      <c r="D289" s="3049" t="s">
        <v>3123</v>
      </c>
      <c r="E289" s="3049">
        <v>138.80000000000001</v>
      </c>
    </row>
    <row r="290" spans="1:5">
      <c r="A290" s="3047" t="s">
        <v>3100</v>
      </c>
      <c r="B290" s="3048" t="s">
        <v>3101</v>
      </c>
      <c r="C290" s="3049">
        <v>23</v>
      </c>
      <c r="D290" s="3049" t="s">
        <v>3124</v>
      </c>
      <c r="E290" s="3049">
        <v>138.80000000000001</v>
      </c>
    </row>
    <row r="291" spans="1:5">
      <c r="A291" s="3047" t="s">
        <v>3100</v>
      </c>
      <c r="B291" s="3048" t="s">
        <v>3101</v>
      </c>
      <c r="C291" s="3049">
        <v>23</v>
      </c>
      <c r="D291" s="3049" t="s">
        <v>3125</v>
      </c>
      <c r="E291" s="3049">
        <v>138.80000000000001</v>
      </c>
    </row>
    <row r="292" spans="1:5">
      <c r="A292" s="3047" t="s">
        <v>3100</v>
      </c>
      <c r="B292" s="3048" t="s">
        <v>3101</v>
      </c>
      <c r="C292" s="3049">
        <v>23</v>
      </c>
      <c r="D292" s="3049" t="s">
        <v>3126</v>
      </c>
      <c r="E292" s="3049">
        <v>138.80000000000001</v>
      </c>
    </row>
    <row r="293" spans="1:5">
      <c r="A293" s="3047" t="s">
        <v>3100</v>
      </c>
      <c r="B293" s="3048" t="s">
        <v>3101</v>
      </c>
      <c r="C293" s="3049">
        <v>23</v>
      </c>
      <c r="D293" s="3049" t="s">
        <v>3127</v>
      </c>
      <c r="E293" s="3049">
        <v>138.80000000000001</v>
      </c>
    </row>
    <row r="294" spans="1:5">
      <c r="A294" s="3047" t="s">
        <v>3100</v>
      </c>
      <c r="B294" s="3048" t="s">
        <v>3101</v>
      </c>
      <c r="C294" s="3049">
        <v>23</v>
      </c>
      <c r="D294" s="3049" t="s">
        <v>3128</v>
      </c>
      <c r="E294" s="3049">
        <v>138.80000000000001</v>
      </c>
    </row>
    <row r="295" spans="1:5">
      <c r="A295" s="3047" t="s">
        <v>3100</v>
      </c>
      <c r="B295" s="3048" t="s">
        <v>3101</v>
      </c>
      <c r="C295" s="3049">
        <v>23</v>
      </c>
      <c r="D295" s="3049" t="s">
        <v>3129</v>
      </c>
      <c r="E295" s="3049">
        <v>138.80000000000001</v>
      </c>
    </row>
    <row r="296" spans="1:5">
      <c r="A296" s="3047" t="s">
        <v>3100</v>
      </c>
      <c r="B296" s="3048" t="s">
        <v>3101</v>
      </c>
      <c r="C296" s="3049">
        <v>23</v>
      </c>
      <c r="D296" s="3049" t="s">
        <v>3130</v>
      </c>
      <c r="E296" s="3049">
        <v>139.04</v>
      </c>
    </row>
    <row r="297" spans="1:5">
      <c r="A297" s="3047" t="s">
        <v>3100</v>
      </c>
      <c r="B297" s="3048" t="s">
        <v>3101</v>
      </c>
      <c r="C297" s="3049">
        <v>23</v>
      </c>
      <c r="D297" s="3049" t="s">
        <v>3131</v>
      </c>
      <c r="E297" s="3049">
        <v>139.04</v>
      </c>
    </row>
    <row r="298" spans="1:5">
      <c r="A298" s="3047" t="s">
        <v>3100</v>
      </c>
      <c r="B298" s="3048" t="s">
        <v>3101</v>
      </c>
      <c r="C298" s="3049">
        <v>23</v>
      </c>
      <c r="D298" s="3049" t="s">
        <v>3132</v>
      </c>
      <c r="E298" s="3049">
        <v>139.04</v>
      </c>
    </row>
    <row r="299" spans="1:5">
      <c r="A299" s="3047" t="s">
        <v>3100</v>
      </c>
      <c r="B299" s="3048" t="s">
        <v>3101</v>
      </c>
      <c r="C299" s="3049">
        <v>23</v>
      </c>
      <c r="D299" s="3049" t="s">
        <v>3133</v>
      </c>
      <c r="E299" s="3049">
        <v>139.04</v>
      </c>
    </row>
    <row r="300" spans="1:5">
      <c r="A300" s="3047" t="s">
        <v>3100</v>
      </c>
      <c r="B300" s="3048" t="s">
        <v>3101</v>
      </c>
      <c r="C300" s="3049">
        <v>23</v>
      </c>
      <c r="D300" s="3049" t="s">
        <v>3134</v>
      </c>
      <c r="E300" s="3049">
        <v>139.21</v>
      </c>
    </row>
    <row r="301" spans="1:5">
      <c r="A301" s="3047" t="s">
        <v>3100</v>
      </c>
      <c r="B301" s="3048" t="s">
        <v>3101</v>
      </c>
      <c r="C301" s="3049">
        <v>23</v>
      </c>
      <c r="D301" s="3049" t="s">
        <v>3135</v>
      </c>
      <c r="E301" s="3049">
        <v>139.21</v>
      </c>
    </row>
    <row r="302" spans="1:5">
      <c r="A302" s="3047" t="s">
        <v>3100</v>
      </c>
      <c r="B302" s="3048" t="s">
        <v>3101</v>
      </c>
      <c r="C302" s="3049">
        <v>23</v>
      </c>
      <c r="D302" s="3049" t="s">
        <v>3146</v>
      </c>
      <c r="E302" s="3049">
        <v>116.69</v>
      </c>
    </row>
    <row r="303" spans="1:5">
      <c r="A303" s="3047" t="s">
        <v>3100</v>
      </c>
      <c r="B303" s="3048" t="s">
        <v>3101</v>
      </c>
      <c r="C303" s="3049">
        <v>23</v>
      </c>
      <c r="D303" s="3049" t="s">
        <v>3147</v>
      </c>
      <c r="E303" s="3049">
        <v>114.35</v>
      </c>
    </row>
    <row r="304" spans="1:5">
      <c r="A304" s="3047" t="s">
        <v>3100</v>
      </c>
      <c r="B304" s="3048" t="s">
        <v>3101</v>
      </c>
      <c r="C304" s="3049">
        <v>23</v>
      </c>
      <c r="D304" s="3049" t="s">
        <v>3148</v>
      </c>
      <c r="E304" s="3049">
        <v>127.26</v>
      </c>
    </row>
    <row r="305" spans="1:5">
      <c r="A305" s="3047" t="s">
        <v>3100</v>
      </c>
      <c r="B305" s="3048" t="s">
        <v>3101</v>
      </c>
      <c r="C305" s="3049">
        <v>23</v>
      </c>
      <c r="D305" s="3049" t="s">
        <v>3149</v>
      </c>
      <c r="E305" s="3049">
        <v>124.21</v>
      </c>
    </row>
    <row r="306" spans="1:5">
      <c r="A306" s="3047" t="s">
        <v>3100</v>
      </c>
      <c r="B306" s="3048" t="s">
        <v>3101</v>
      </c>
      <c r="C306" s="3049">
        <v>23</v>
      </c>
      <c r="D306" s="3049" t="s">
        <v>3150</v>
      </c>
      <c r="E306" s="3049">
        <v>127.26</v>
      </c>
    </row>
    <row r="307" spans="1:5">
      <c r="A307" s="3047" t="s">
        <v>3100</v>
      </c>
      <c r="B307" s="3048" t="s">
        <v>3101</v>
      </c>
      <c r="C307" s="3049">
        <v>23</v>
      </c>
      <c r="D307" s="3049" t="s">
        <v>3151</v>
      </c>
      <c r="E307" s="3049">
        <v>124.21</v>
      </c>
    </row>
    <row r="308" spans="1:5">
      <c r="A308" s="3047" t="s">
        <v>3100</v>
      </c>
      <c r="B308" s="3048" t="s">
        <v>3101</v>
      </c>
      <c r="C308" s="3049">
        <v>23</v>
      </c>
      <c r="D308" s="3049" t="s">
        <v>3152</v>
      </c>
      <c r="E308" s="3049">
        <v>127.26</v>
      </c>
    </row>
    <row r="309" spans="1:5">
      <c r="A309" s="3047" t="s">
        <v>3100</v>
      </c>
      <c r="B309" s="3048" t="s">
        <v>3101</v>
      </c>
      <c r="C309" s="3049">
        <v>23</v>
      </c>
      <c r="D309" s="3049" t="s">
        <v>3153</v>
      </c>
      <c r="E309" s="3049">
        <v>124.21</v>
      </c>
    </row>
    <row r="310" spans="1:5">
      <c r="A310" s="3047" t="s">
        <v>3100</v>
      </c>
      <c r="B310" s="3048" t="s">
        <v>3101</v>
      </c>
      <c r="C310" s="3049">
        <v>23</v>
      </c>
      <c r="D310" s="3049" t="s">
        <v>3154</v>
      </c>
      <c r="E310" s="3049">
        <v>127.26</v>
      </c>
    </row>
    <row r="311" spans="1:5">
      <c r="A311" s="3047" t="s">
        <v>3100</v>
      </c>
      <c r="B311" s="3048" t="s">
        <v>3101</v>
      </c>
      <c r="C311" s="3049">
        <v>23</v>
      </c>
      <c r="D311" s="3049" t="s">
        <v>3155</v>
      </c>
      <c r="E311" s="3049">
        <v>124.21</v>
      </c>
    </row>
    <row r="312" spans="1:5">
      <c r="A312" s="3047" t="s">
        <v>3100</v>
      </c>
      <c r="B312" s="3048" t="s">
        <v>3101</v>
      </c>
      <c r="C312" s="3049">
        <v>23</v>
      </c>
      <c r="D312" s="3049" t="s">
        <v>3156</v>
      </c>
      <c r="E312" s="3049">
        <v>127.26</v>
      </c>
    </row>
    <row r="313" spans="1:5">
      <c r="A313" s="3047" t="s">
        <v>3100</v>
      </c>
      <c r="B313" s="3048" t="s">
        <v>3101</v>
      </c>
      <c r="C313" s="3049">
        <v>23</v>
      </c>
      <c r="D313" s="3049" t="s">
        <v>3157</v>
      </c>
      <c r="E313" s="3049">
        <v>124.21</v>
      </c>
    </row>
    <row r="314" spans="1:5">
      <c r="A314" s="3047" t="s">
        <v>3100</v>
      </c>
      <c r="B314" s="3048" t="s">
        <v>3101</v>
      </c>
      <c r="C314" s="3049">
        <v>23</v>
      </c>
      <c r="D314" s="3049" t="s">
        <v>3158</v>
      </c>
      <c r="E314" s="3049">
        <v>127.26</v>
      </c>
    </row>
    <row r="315" spans="1:5">
      <c r="A315" s="3047" t="s">
        <v>3100</v>
      </c>
      <c r="B315" s="3048" t="s">
        <v>3101</v>
      </c>
      <c r="C315" s="3049">
        <v>23</v>
      </c>
      <c r="D315" s="3049" t="s">
        <v>3159</v>
      </c>
      <c r="E315" s="3049">
        <v>124.21</v>
      </c>
    </row>
    <row r="316" spans="1:5">
      <c r="A316" s="3047" t="s">
        <v>3100</v>
      </c>
      <c r="B316" s="3048" t="s">
        <v>3101</v>
      </c>
      <c r="C316" s="3049">
        <v>24</v>
      </c>
      <c r="D316" s="3049" t="s">
        <v>3104</v>
      </c>
      <c r="E316" s="3049">
        <v>141.58000000000001</v>
      </c>
    </row>
    <row r="317" spans="1:5">
      <c r="A317" s="3047" t="s">
        <v>3100</v>
      </c>
      <c r="B317" s="3048" t="s">
        <v>3101</v>
      </c>
      <c r="C317" s="3049">
        <v>24</v>
      </c>
      <c r="D317" s="3049" t="s">
        <v>3105</v>
      </c>
      <c r="E317" s="3049">
        <v>141.68</v>
      </c>
    </row>
    <row r="318" spans="1:5">
      <c r="A318" s="3047" t="s">
        <v>3100</v>
      </c>
      <c r="B318" s="3048" t="s">
        <v>3101</v>
      </c>
      <c r="C318" s="3049">
        <v>24</v>
      </c>
      <c r="D318" s="3049" t="s">
        <v>3106</v>
      </c>
      <c r="E318" s="3049">
        <v>141.58000000000001</v>
      </c>
    </row>
    <row r="319" spans="1:5">
      <c r="A319" s="3047" t="s">
        <v>3100</v>
      </c>
      <c r="B319" s="3048" t="s">
        <v>3101</v>
      </c>
      <c r="C319" s="3049">
        <v>24</v>
      </c>
      <c r="D319" s="3049" t="s">
        <v>3107</v>
      </c>
      <c r="E319" s="3049">
        <v>141.68</v>
      </c>
    </row>
    <row r="320" spans="1:5">
      <c r="A320" s="3047" t="s">
        <v>3100</v>
      </c>
      <c r="B320" s="3048" t="s">
        <v>3101</v>
      </c>
      <c r="C320" s="3049">
        <v>24</v>
      </c>
      <c r="D320" s="3049" t="s">
        <v>3108</v>
      </c>
      <c r="E320" s="3049">
        <v>141.58000000000001</v>
      </c>
    </row>
    <row r="321" spans="1:5">
      <c r="A321" s="3047" t="s">
        <v>3100</v>
      </c>
      <c r="B321" s="3048" t="s">
        <v>3101</v>
      </c>
      <c r="C321" s="3049">
        <v>24</v>
      </c>
      <c r="D321" s="3049" t="s">
        <v>3109</v>
      </c>
      <c r="E321" s="3049">
        <v>141.68</v>
      </c>
    </row>
    <row r="322" spans="1:5">
      <c r="A322" s="3047" t="s">
        <v>3100</v>
      </c>
      <c r="B322" s="3048" t="s">
        <v>3101</v>
      </c>
      <c r="C322" s="3049">
        <v>24</v>
      </c>
      <c r="D322" s="3049" t="s">
        <v>3110</v>
      </c>
      <c r="E322" s="3049">
        <v>141.58000000000001</v>
      </c>
    </row>
    <row r="323" spans="1:5">
      <c r="A323" s="3047" t="s">
        <v>3100</v>
      </c>
      <c r="B323" s="3048" t="s">
        <v>3101</v>
      </c>
      <c r="C323" s="3049">
        <v>24</v>
      </c>
      <c r="D323" s="3049" t="s">
        <v>3111</v>
      </c>
      <c r="E323" s="3049">
        <v>141.68</v>
      </c>
    </row>
    <row r="324" spans="1:5">
      <c r="A324" s="3047" t="s">
        <v>3100</v>
      </c>
      <c r="B324" s="3048" t="s">
        <v>3101</v>
      </c>
      <c r="C324" s="3049">
        <v>24</v>
      </c>
      <c r="D324" s="3049" t="s">
        <v>3112</v>
      </c>
      <c r="E324" s="3049">
        <v>141.58000000000001</v>
      </c>
    </row>
    <row r="325" spans="1:5">
      <c r="A325" s="3047" t="s">
        <v>3100</v>
      </c>
      <c r="B325" s="3048" t="s">
        <v>3101</v>
      </c>
      <c r="C325" s="3049">
        <v>24</v>
      </c>
      <c r="D325" s="3049" t="s">
        <v>3113</v>
      </c>
      <c r="E325" s="3049">
        <v>141.68</v>
      </c>
    </row>
    <row r="326" spans="1:5">
      <c r="A326" s="3047" t="s">
        <v>3100</v>
      </c>
      <c r="B326" s="3048" t="s">
        <v>3101</v>
      </c>
      <c r="C326" s="3049">
        <v>24</v>
      </c>
      <c r="D326" s="3049" t="s">
        <v>3114</v>
      </c>
      <c r="E326" s="3049">
        <v>141.66</v>
      </c>
    </row>
    <row r="327" spans="1:5">
      <c r="A327" s="3047" t="s">
        <v>3100</v>
      </c>
      <c r="B327" s="3048" t="s">
        <v>3101</v>
      </c>
      <c r="C327" s="3049">
        <v>24</v>
      </c>
      <c r="D327" s="3049" t="s">
        <v>3115</v>
      </c>
      <c r="E327" s="3049">
        <v>141.75</v>
      </c>
    </row>
    <row r="328" spans="1:5">
      <c r="A328" s="3047" t="s">
        <v>3100</v>
      </c>
      <c r="B328" s="3048" t="s">
        <v>3101</v>
      </c>
      <c r="C328" s="3049">
        <v>24</v>
      </c>
      <c r="D328" s="3049" t="s">
        <v>3116</v>
      </c>
      <c r="E328" s="3049">
        <v>137.83000000000001</v>
      </c>
    </row>
    <row r="329" spans="1:5">
      <c r="A329" s="3047" t="s">
        <v>3100</v>
      </c>
      <c r="B329" s="3048" t="s">
        <v>3101</v>
      </c>
      <c r="C329" s="3049">
        <v>24</v>
      </c>
      <c r="D329" s="3049" t="s">
        <v>3117</v>
      </c>
      <c r="E329" s="3049">
        <v>137.83000000000001</v>
      </c>
    </row>
    <row r="330" spans="1:5">
      <c r="A330" s="3047" t="s">
        <v>3100</v>
      </c>
      <c r="B330" s="3048" t="s">
        <v>3101</v>
      </c>
      <c r="C330" s="3049">
        <v>24</v>
      </c>
      <c r="D330" s="3049" t="s">
        <v>3118</v>
      </c>
      <c r="E330" s="3049">
        <v>137.83000000000001</v>
      </c>
    </row>
    <row r="331" spans="1:5">
      <c r="A331" s="3047" t="s">
        <v>3100</v>
      </c>
      <c r="B331" s="3048" t="s">
        <v>3101</v>
      </c>
      <c r="C331" s="3049">
        <v>24</v>
      </c>
      <c r="D331" s="3049" t="s">
        <v>3119</v>
      </c>
      <c r="E331" s="3049">
        <v>137.83000000000001</v>
      </c>
    </row>
    <row r="332" spans="1:5">
      <c r="A332" s="3047" t="s">
        <v>3100</v>
      </c>
      <c r="B332" s="3048" t="s">
        <v>3101</v>
      </c>
      <c r="C332" s="3049">
        <v>24</v>
      </c>
      <c r="D332" s="3049" t="s">
        <v>3120</v>
      </c>
      <c r="E332" s="3049">
        <v>137.94</v>
      </c>
    </row>
    <row r="333" spans="1:5">
      <c r="A333" s="3047" t="s">
        <v>3100</v>
      </c>
      <c r="B333" s="3048" t="s">
        <v>3101</v>
      </c>
      <c r="C333" s="3049">
        <v>24</v>
      </c>
      <c r="D333" s="3049" t="s">
        <v>3121</v>
      </c>
      <c r="E333" s="3049">
        <v>137.94</v>
      </c>
    </row>
    <row r="334" spans="1:5">
      <c r="A334" s="3047" t="s">
        <v>3100</v>
      </c>
      <c r="B334" s="3048" t="s">
        <v>3101</v>
      </c>
      <c r="C334" s="3049">
        <v>24</v>
      </c>
      <c r="D334" s="3049" t="s">
        <v>3122</v>
      </c>
      <c r="E334" s="3049">
        <v>137.94</v>
      </c>
    </row>
    <row r="335" spans="1:5">
      <c r="A335" s="3047" t="s">
        <v>3100</v>
      </c>
      <c r="B335" s="3048" t="s">
        <v>3101</v>
      </c>
      <c r="C335" s="3049">
        <v>24</v>
      </c>
      <c r="D335" s="3049" t="s">
        <v>3123</v>
      </c>
      <c r="E335" s="3049">
        <v>137.94</v>
      </c>
    </row>
    <row r="336" spans="1:5">
      <c r="A336" s="3047" t="s">
        <v>3100</v>
      </c>
      <c r="B336" s="3048" t="s">
        <v>3101</v>
      </c>
      <c r="C336" s="3049">
        <v>24</v>
      </c>
      <c r="D336" s="3049" t="s">
        <v>3124</v>
      </c>
      <c r="E336" s="3049">
        <v>137.94</v>
      </c>
    </row>
    <row r="337" spans="1:5">
      <c r="A337" s="3047" t="s">
        <v>3100</v>
      </c>
      <c r="B337" s="3048" t="s">
        <v>3101</v>
      </c>
      <c r="C337" s="3049">
        <v>24</v>
      </c>
      <c r="D337" s="3049" t="s">
        <v>3125</v>
      </c>
      <c r="E337" s="3049">
        <v>137.94</v>
      </c>
    </row>
    <row r="338" spans="1:5">
      <c r="A338" s="3047" t="s">
        <v>3100</v>
      </c>
      <c r="B338" s="3048" t="s">
        <v>3101</v>
      </c>
      <c r="C338" s="3049">
        <v>24</v>
      </c>
      <c r="D338" s="3049" t="s">
        <v>3126</v>
      </c>
      <c r="E338" s="3049">
        <v>137.94</v>
      </c>
    </row>
    <row r="339" spans="1:5">
      <c r="A339" s="3047" t="s">
        <v>3100</v>
      </c>
      <c r="B339" s="3048" t="s">
        <v>3101</v>
      </c>
      <c r="C339" s="3049">
        <v>24</v>
      </c>
      <c r="D339" s="3049" t="s">
        <v>3127</v>
      </c>
      <c r="E339" s="3049">
        <v>137.94</v>
      </c>
    </row>
    <row r="340" spans="1:5">
      <c r="A340" s="3047" t="s">
        <v>3100</v>
      </c>
      <c r="B340" s="3048" t="s">
        <v>3101</v>
      </c>
      <c r="C340" s="3049">
        <v>24</v>
      </c>
      <c r="D340" s="3049" t="s">
        <v>3128</v>
      </c>
      <c r="E340" s="3049">
        <v>137.94</v>
      </c>
    </row>
    <row r="341" spans="1:5">
      <c r="A341" s="3047" t="s">
        <v>3100</v>
      </c>
      <c r="B341" s="3048" t="s">
        <v>3101</v>
      </c>
      <c r="C341" s="3049">
        <v>24</v>
      </c>
      <c r="D341" s="3049" t="s">
        <v>3129</v>
      </c>
      <c r="E341" s="3049">
        <v>137.94</v>
      </c>
    </row>
    <row r="342" spans="1:5">
      <c r="A342" s="3047" t="s">
        <v>3100</v>
      </c>
      <c r="B342" s="3048" t="s">
        <v>3101</v>
      </c>
      <c r="C342" s="3049">
        <v>24</v>
      </c>
      <c r="D342" s="3049" t="s">
        <v>3130</v>
      </c>
      <c r="E342" s="3049">
        <v>138.27000000000001</v>
      </c>
    </row>
    <row r="343" spans="1:5">
      <c r="A343" s="3047" t="s">
        <v>3100</v>
      </c>
      <c r="B343" s="3048" t="s">
        <v>3101</v>
      </c>
      <c r="C343" s="3049">
        <v>24</v>
      </c>
      <c r="D343" s="3049" t="s">
        <v>3131</v>
      </c>
      <c r="E343" s="3049">
        <v>138.27000000000001</v>
      </c>
    </row>
    <row r="344" spans="1:5">
      <c r="A344" s="3047" t="s">
        <v>3100</v>
      </c>
      <c r="B344" s="3048" t="s">
        <v>3101</v>
      </c>
      <c r="C344" s="3049">
        <v>24</v>
      </c>
      <c r="D344" s="3049" t="s">
        <v>3132</v>
      </c>
      <c r="E344" s="3049">
        <v>138.27000000000001</v>
      </c>
    </row>
    <row r="345" spans="1:5">
      <c r="A345" s="3047" t="s">
        <v>3100</v>
      </c>
      <c r="B345" s="3048" t="s">
        <v>3101</v>
      </c>
      <c r="C345" s="3049">
        <v>24</v>
      </c>
      <c r="D345" s="3049" t="s">
        <v>3133</v>
      </c>
      <c r="E345" s="3049">
        <v>138.27000000000001</v>
      </c>
    </row>
    <row r="346" spans="1:5">
      <c r="A346" s="3047" t="s">
        <v>3100</v>
      </c>
      <c r="B346" s="3048" t="s">
        <v>3101</v>
      </c>
      <c r="C346" s="3049">
        <v>24</v>
      </c>
      <c r="D346" s="3049" t="s">
        <v>3134</v>
      </c>
      <c r="E346" s="3049">
        <v>138.44</v>
      </c>
    </row>
    <row r="347" spans="1:5">
      <c r="A347" s="3047" t="s">
        <v>3100</v>
      </c>
      <c r="B347" s="3048" t="s">
        <v>3101</v>
      </c>
      <c r="C347" s="3049">
        <v>24</v>
      </c>
      <c r="D347" s="3049" t="s">
        <v>3135</v>
      </c>
      <c r="E347" s="3049">
        <v>138.44</v>
      </c>
    </row>
    <row r="348" spans="1:5">
      <c r="A348" s="3047" t="s">
        <v>3100</v>
      </c>
      <c r="B348" s="3048" t="s">
        <v>3101</v>
      </c>
      <c r="C348" s="3049">
        <v>24</v>
      </c>
      <c r="D348" s="3049" t="s">
        <v>3148</v>
      </c>
      <c r="E348" s="3049">
        <v>140.1</v>
      </c>
    </row>
    <row r="349" spans="1:5">
      <c r="A349" s="3047" t="s">
        <v>3100</v>
      </c>
      <c r="B349" s="3048" t="s">
        <v>3101</v>
      </c>
      <c r="C349" s="3049">
        <v>24</v>
      </c>
      <c r="D349" s="3049" t="s">
        <v>3149</v>
      </c>
      <c r="E349" s="3049">
        <v>140.01</v>
      </c>
    </row>
    <row r="350" spans="1:5">
      <c r="A350" s="3047" t="s">
        <v>3100</v>
      </c>
      <c r="B350" s="3048" t="s">
        <v>3101</v>
      </c>
      <c r="C350" s="3049">
        <v>24</v>
      </c>
      <c r="D350" s="3049" t="s">
        <v>3150</v>
      </c>
      <c r="E350" s="3049">
        <v>140.1</v>
      </c>
    </row>
    <row r="351" spans="1:5">
      <c r="A351" s="3047" t="s">
        <v>3100</v>
      </c>
      <c r="B351" s="3048" t="s">
        <v>3101</v>
      </c>
      <c r="C351" s="3049">
        <v>24</v>
      </c>
      <c r="D351" s="3049" t="s">
        <v>3151</v>
      </c>
      <c r="E351" s="3049">
        <v>140.01</v>
      </c>
    </row>
    <row r="352" spans="1:5">
      <c r="A352" s="3047" t="s">
        <v>3100</v>
      </c>
      <c r="B352" s="3048" t="s">
        <v>3101</v>
      </c>
      <c r="C352" s="3049">
        <v>24</v>
      </c>
      <c r="D352" s="3049" t="s">
        <v>3152</v>
      </c>
      <c r="E352" s="3049">
        <v>140.12</v>
      </c>
    </row>
    <row r="353" spans="1:5">
      <c r="A353" s="3047" t="s">
        <v>3100</v>
      </c>
      <c r="B353" s="3048" t="s">
        <v>3101</v>
      </c>
      <c r="C353" s="3049">
        <v>24</v>
      </c>
      <c r="D353" s="3049" t="s">
        <v>3153</v>
      </c>
      <c r="E353" s="3049">
        <v>140.02000000000001</v>
      </c>
    </row>
    <row r="354" spans="1:5">
      <c r="A354" s="3047" t="s">
        <v>3100</v>
      </c>
      <c r="B354" s="3048" t="s">
        <v>3101</v>
      </c>
      <c r="C354" s="3049">
        <v>24</v>
      </c>
      <c r="D354" s="3049" t="s">
        <v>3154</v>
      </c>
      <c r="E354" s="3049">
        <v>140.12</v>
      </c>
    </row>
    <row r="355" spans="1:5">
      <c r="A355" s="3047" t="s">
        <v>3100</v>
      </c>
      <c r="B355" s="3048" t="s">
        <v>3101</v>
      </c>
      <c r="C355" s="3049">
        <v>24</v>
      </c>
      <c r="D355" s="3049" t="s">
        <v>3155</v>
      </c>
      <c r="E355" s="3049">
        <v>140.02000000000001</v>
      </c>
    </row>
    <row r="356" spans="1:5">
      <c r="A356" s="3047" t="s">
        <v>3100</v>
      </c>
      <c r="B356" s="3048" t="s">
        <v>3101</v>
      </c>
      <c r="C356" s="3049">
        <v>24</v>
      </c>
      <c r="D356" s="3049" t="s">
        <v>3156</v>
      </c>
      <c r="E356" s="3049">
        <v>140.12</v>
      </c>
    </row>
    <row r="357" spans="1:5">
      <c r="A357" s="3047" t="s">
        <v>3100</v>
      </c>
      <c r="B357" s="3048" t="s">
        <v>3101</v>
      </c>
      <c r="C357" s="3049">
        <v>24</v>
      </c>
      <c r="D357" s="3049" t="s">
        <v>3157</v>
      </c>
      <c r="E357" s="3049">
        <v>140.02000000000001</v>
      </c>
    </row>
    <row r="358" spans="1:5">
      <c r="A358" s="3047" t="s">
        <v>3100</v>
      </c>
      <c r="B358" s="3048" t="s">
        <v>3101</v>
      </c>
      <c r="C358" s="3049">
        <v>24</v>
      </c>
      <c r="D358" s="3049" t="s">
        <v>3158</v>
      </c>
      <c r="E358" s="3049">
        <v>140.19</v>
      </c>
    </row>
    <row r="359" spans="1:5">
      <c r="A359" s="3047" t="s">
        <v>3100</v>
      </c>
      <c r="B359" s="3048" t="s">
        <v>3101</v>
      </c>
      <c r="C359" s="3049">
        <v>24</v>
      </c>
      <c r="D359" s="3049" t="s">
        <v>3159</v>
      </c>
      <c r="E359" s="3049">
        <v>140.09</v>
      </c>
    </row>
    <row r="360" spans="1:5">
      <c r="A360" s="3047" t="s">
        <v>3100</v>
      </c>
      <c r="B360" s="3048" t="s">
        <v>3101</v>
      </c>
      <c r="C360" s="3047">
        <v>25</v>
      </c>
      <c r="D360" s="3051" t="s">
        <v>3174</v>
      </c>
      <c r="E360" s="3052">
        <v>123.21</v>
      </c>
    </row>
    <row r="361" spans="1:5">
      <c r="A361" s="3047" t="s">
        <v>3100</v>
      </c>
      <c r="B361" s="3048" t="s">
        <v>3101</v>
      </c>
      <c r="C361" s="3047">
        <v>25</v>
      </c>
      <c r="D361" s="3051" t="s">
        <v>3175</v>
      </c>
      <c r="E361" s="3052">
        <v>123.21</v>
      </c>
    </row>
    <row r="362" spans="1:5">
      <c r="A362" s="3047" t="s">
        <v>3100</v>
      </c>
      <c r="B362" s="3048" t="s">
        <v>3101</v>
      </c>
      <c r="C362" s="3047">
        <v>25</v>
      </c>
      <c r="D362" s="3051" t="s">
        <v>3176</v>
      </c>
      <c r="E362" s="3052">
        <v>123.21</v>
      </c>
    </row>
    <row r="363" spans="1:5">
      <c r="A363" s="3047" t="s">
        <v>3100</v>
      </c>
      <c r="B363" s="3048" t="s">
        <v>3101</v>
      </c>
      <c r="C363" s="3047">
        <v>25</v>
      </c>
      <c r="D363" s="3051" t="s">
        <v>3177</v>
      </c>
      <c r="E363" s="3052">
        <v>123.21</v>
      </c>
    </row>
    <row r="364" spans="1:5">
      <c r="A364" s="3047" t="s">
        <v>3100</v>
      </c>
      <c r="B364" s="3048" t="s">
        <v>3101</v>
      </c>
      <c r="C364" s="3047">
        <v>25</v>
      </c>
      <c r="D364" s="3051" t="s">
        <v>3178</v>
      </c>
      <c r="E364" s="3052">
        <v>123.21</v>
      </c>
    </row>
    <row r="365" spans="1:5">
      <c r="A365" s="3047" t="s">
        <v>3100</v>
      </c>
      <c r="B365" s="3048" t="s">
        <v>3101</v>
      </c>
      <c r="C365" s="3047">
        <v>25</v>
      </c>
      <c r="D365" s="3051" t="s">
        <v>3179</v>
      </c>
      <c r="E365" s="3052">
        <v>123.21</v>
      </c>
    </row>
    <row r="366" spans="1:5">
      <c r="A366" s="3047" t="s">
        <v>3100</v>
      </c>
      <c r="B366" s="3048" t="s">
        <v>3101</v>
      </c>
      <c r="C366" s="3047">
        <v>25</v>
      </c>
      <c r="D366" s="3051" t="s">
        <v>3180</v>
      </c>
      <c r="E366" s="3052">
        <v>123.21</v>
      </c>
    </row>
    <row r="367" spans="1:5">
      <c r="A367" s="3047" t="s">
        <v>3100</v>
      </c>
      <c r="B367" s="3048" t="s">
        <v>3101</v>
      </c>
      <c r="C367" s="3047">
        <v>25</v>
      </c>
      <c r="D367" s="3051" t="s">
        <v>3181</v>
      </c>
      <c r="E367" s="3052">
        <v>123.21</v>
      </c>
    </row>
    <row r="368" spans="1:5">
      <c r="A368" s="3047" t="s">
        <v>3100</v>
      </c>
      <c r="B368" s="3048" t="s">
        <v>3101</v>
      </c>
      <c r="C368" s="3047">
        <v>25</v>
      </c>
      <c r="D368" s="3051" t="s">
        <v>3182</v>
      </c>
      <c r="E368" s="3052">
        <v>123.21</v>
      </c>
    </row>
    <row r="369" spans="1:5">
      <c r="A369" s="3047" t="s">
        <v>3100</v>
      </c>
      <c r="B369" s="3048" t="s">
        <v>3101</v>
      </c>
      <c r="C369" s="3047">
        <v>25</v>
      </c>
      <c r="D369" s="3051" t="s">
        <v>3183</v>
      </c>
      <c r="E369" s="3052">
        <v>123.21</v>
      </c>
    </row>
    <row r="370" spans="1:5">
      <c r="A370" s="3047" t="s">
        <v>3100</v>
      </c>
      <c r="B370" s="3048" t="s">
        <v>3101</v>
      </c>
      <c r="C370" s="3047">
        <v>25</v>
      </c>
      <c r="D370" s="3051" t="s">
        <v>3184</v>
      </c>
      <c r="E370" s="3052">
        <v>126.25</v>
      </c>
    </row>
    <row r="371" spans="1:5">
      <c r="A371" s="3047" t="s">
        <v>3100</v>
      </c>
      <c r="B371" s="3048" t="s">
        <v>3101</v>
      </c>
      <c r="C371" s="3047">
        <v>25</v>
      </c>
      <c r="D371" s="3051" t="s">
        <v>3185</v>
      </c>
      <c r="E371" s="3052">
        <v>126.24</v>
      </c>
    </row>
    <row r="372" spans="1:5">
      <c r="A372" s="3047" t="s">
        <v>3100</v>
      </c>
      <c r="B372" s="3048" t="s">
        <v>3101</v>
      </c>
      <c r="C372" s="3047">
        <v>25</v>
      </c>
      <c r="D372" s="3051" t="s">
        <v>3186</v>
      </c>
      <c r="E372" s="3052">
        <v>126.24</v>
      </c>
    </row>
    <row r="373" spans="1:5">
      <c r="A373" s="3047" t="s">
        <v>3100</v>
      </c>
      <c r="B373" s="3048" t="s">
        <v>3101</v>
      </c>
      <c r="C373" s="3047">
        <v>25</v>
      </c>
      <c r="D373" s="3051" t="s">
        <v>3187</v>
      </c>
      <c r="E373" s="3052">
        <v>126.24</v>
      </c>
    </row>
    <row r="374" spans="1:5">
      <c r="A374" s="3047" t="s">
        <v>3100</v>
      </c>
      <c r="B374" s="3048" t="s">
        <v>3101</v>
      </c>
      <c r="C374" s="3047">
        <v>25</v>
      </c>
      <c r="D374" s="3051" t="s">
        <v>3188</v>
      </c>
      <c r="E374" s="3052">
        <v>126.24</v>
      </c>
    </row>
    <row r="375" spans="1:5">
      <c r="A375" s="3047" t="s">
        <v>3100</v>
      </c>
      <c r="B375" s="3048" t="s">
        <v>3101</v>
      </c>
      <c r="C375" s="3047">
        <v>25</v>
      </c>
      <c r="D375" s="3051" t="s">
        <v>3189</v>
      </c>
      <c r="E375" s="3052">
        <v>126.24</v>
      </c>
    </row>
    <row r="376" spans="1:5">
      <c r="A376" s="3047" t="s">
        <v>3100</v>
      </c>
      <c r="B376" s="3048" t="s">
        <v>3101</v>
      </c>
      <c r="C376" s="3047">
        <v>25</v>
      </c>
      <c r="D376" s="3051" t="s">
        <v>3190</v>
      </c>
      <c r="E376" s="3052">
        <v>126.24</v>
      </c>
    </row>
    <row r="377" spans="1:5">
      <c r="A377" s="3047" t="s">
        <v>3100</v>
      </c>
      <c r="B377" s="3048" t="s">
        <v>3101</v>
      </c>
      <c r="C377" s="3047">
        <v>25</v>
      </c>
      <c r="D377" s="3051" t="s">
        <v>3191</v>
      </c>
      <c r="E377" s="3052">
        <v>126.24</v>
      </c>
    </row>
    <row r="378" spans="1:5">
      <c r="A378" s="3047" t="s">
        <v>3100</v>
      </c>
      <c r="B378" s="3048" t="s">
        <v>3101</v>
      </c>
      <c r="C378" s="3047">
        <v>25</v>
      </c>
      <c r="D378" s="3051" t="s">
        <v>3192</v>
      </c>
      <c r="E378" s="3052">
        <v>126.24</v>
      </c>
    </row>
    <row r="379" spans="1:5">
      <c r="A379" s="3047" t="s">
        <v>3100</v>
      </c>
      <c r="B379" s="3048" t="s">
        <v>3101</v>
      </c>
      <c r="C379" s="3047">
        <v>25</v>
      </c>
      <c r="D379" s="3051" t="s">
        <v>3193</v>
      </c>
      <c r="E379" s="3052">
        <v>126.24</v>
      </c>
    </row>
    <row r="380" spans="1:5">
      <c r="A380" s="3047" t="s">
        <v>3100</v>
      </c>
      <c r="B380" s="3048" t="s">
        <v>3101</v>
      </c>
      <c r="C380" s="3047">
        <v>25</v>
      </c>
      <c r="D380" s="3051" t="s">
        <v>3194</v>
      </c>
      <c r="E380" s="3052">
        <v>126.28</v>
      </c>
    </row>
    <row r="381" spans="1:5">
      <c r="A381" s="3047" t="s">
        <v>3100</v>
      </c>
      <c r="B381" s="3048" t="s">
        <v>3101</v>
      </c>
      <c r="C381" s="3047">
        <v>25</v>
      </c>
      <c r="D381" s="3051" t="s">
        <v>3195</v>
      </c>
      <c r="E381" s="3052">
        <v>126.28</v>
      </c>
    </row>
    <row r="382" spans="1:5">
      <c r="A382" s="3047" t="s">
        <v>3100</v>
      </c>
      <c r="B382" s="3048" t="s">
        <v>3101</v>
      </c>
      <c r="C382" s="3047">
        <v>25</v>
      </c>
      <c r="D382" s="3051" t="s">
        <v>3196</v>
      </c>
      <c r="E382" s="3052">
        <v>126.28</v>
      </c>
    </row>
    <row r="383" spans="1:5">
      <c r="A383" s="3047" t="s">
        <v>3100</v>
      </c>
      <c r="B383" s="3048" t="s">
        <v>3101</v>
      </c>
      <c r="C383" s="3047">
        <v>25</v>
      </c>
      <c r="D383" s="3051" t="s">
        <v>3197</v>
      </c>
      <c r="E383" s="3052">
        <v>126.28</v>
      </c>
    </row>
    <row r="384" spans="1:5">
      <c r="A384" s="3047" t="s">
        <v>3100</v>
      </c>
      <c r="B384" s="3048" t="s">
        <v>3101</v>
      </c>
      <c r="C384" s="3047">
        <v>25</v>
      </c>
      <c r="D384" s="3051" t="s">
        <v>3198</v>
      </c>
      <c r="E384" s="3052">
        <v>126.28</v>
      </c>
    </row>
    <row r="385" spans="1:5">
      <c r="A385" s="3047" t="s">
        <v>3100</v>
      </c>
      <c r="B385" s="3048" t="s">
        <v>3101</v>
      </c>
      <c r="C385" s="3047">
        <v>25</v>
      </c>
      <c r="D385" s="3051" t="s">
        <v>3199</v>
      </c>
      <c r="E385" s="3052">
        <v>126.28</v>
      </c>
    </row>
    <row r="386" spans="1:5">
      <c r="A386" s="3047" t="s">
        <v>3100</v>
      </c>
      <c r="B386" s="3048" t="s">
        <v>3101</v>
      </c>
      <c r="C386" s="3047">
        <v>25</v>
      </c>
      <c r="D386" s="3051" t="s">
        <v>3200</v>
      </c>
      <c r="E386" s="3052">
        <v>126.28</v>
      </c>
    </row>
    <row r="387" spans="1:5">
      <c r="A387" s="3047" t="s">
        <v>3100</v>
      </c>
      <c r="B387" s="3048" t="s">
        <v>3101</v>
      </c>
      <c r="C387" s="3047">
        <v>25</v>
      </c>
      <c r="D387" s="3051" t="s">
        <v>3201</v>
      </c>
      <c r="E387" s="3052">
        <v>126.28</v>
      </c>
    </row>
    <row r="388" spans="1:5">
      <c r="A388" s="3047" t="s">
        <v>3100</v>
      </c>
      <c r="B388" s="3048" t="s">
        <v>3101</v>
      </c>
      <c r="C388" s="3047">
        <v>25</v>
      </c>
      <c r="D388" s="3051" t="s">
        <v>3202</v>
      </c>
      <c r="E388" s="3052">
        <v>126.28</v>
      </c>
    </row>
    <row r="389" spans="1:5">
      <c r="A389" s="3047" t="s">
        <v>3100</v>
      </c>
      <c r="B389" s="3048" t="s">
        <v>3101</v>
      </c>
      <c r="C389" s="3047">
        <v>25</v>
      </c>
      <c r="D389" s="3051" t="s">
        <v>3203</v>
      </c>
      <c r="E389" s="3052">
        <v>126.28</v>
      </c>
    </row>
    <row r="390" spans="1:5">
      <c r="A390" s="3047" t="s">
        <v>3100</v>
      </c>
      <c r="B390" s="3048" t="s">
        <v>3101</v>
      </c>
      <c r="C390" s="3047">
        <v>25</v>
      </c>
      <c r="D390" s="3051" t="s">
        <v>3204</v>
      </c>
      <c r="E390" s="3052">
        <v>123.2</v>
      </c>
    </row>
    <row r="391" spans="1:5">
      <c r="A391" s="3047" t="s">
        <v>3100</v>
      </c>
      <c r="B391" s="3048" t="s">
        <v>3101</v>
      </c>
      <c r="C391" s="3047">
        <v>25</v>
      </c>
      <c r="D391" s="3051" t="s">
        <v>3205</v>
      </c>
      <c r="E391" s="3052">
        <v>123.19</v>
      </c>
    </row>
    <row r="392" spans="1:5">
      <c r="A392" s="3047" t="s">
        <v>3100</v>
      </c>
      <c r="B392" s="3048" t="s">
        <v>3101</v>
      </c>
      <c r="C392" s="3047">
        <v>25</v>
      </c>
      <c r="D392" s="3051" t="s">
        <v>3206</v>
      </c>
      <c r="E392" s="3052">
        <v>123.19</v>
      </c>
    </row>
    <row r="393" spans="1:5">
      <c r="A393" s="3047" t="s">
        <v>3100</v>
      </c>
      <c r="B393" s="3048" t="s">
        <v>3101</v>
      </c>
      <c r="C393" s="3047">
        <v>25</v>
      </c>
      <c r="D393" s="3051" t="s">
        <v>3207</v>
      </c>
      <c r="E393" s="3052">
        <v>123.19</v>
      </c>
    </row>
    <row r="394" spans="1:5">
      <c r="A394" s="3047" t="s">
        <v>3100</v>
      </c>
      <c r="B394" s="3048" t="s">
        <v>3101</v>
      </c>
      <c r="C394" s="3047">
        <v>25</v>
      </c>
      <c r="D394" s="3051" t="s">
        <v>3208</v>
      </c>
      <c r="E394" s="3052">
        <v>123.19</v>
      </c>
    </row>
    <row r="395" spans="1:5">
      <c r="A395" s="3047" t="s">
        <v>3100</v>
      </c>
      <c r="B395" s="3048" t="s">
        <v>3101</v>
      </c>
      <c r="C395" s="3047">
        <v>25</v>
      </c>
      <c r="D395" s="3051" t="s">
        <v>3209</v>
      </c>
      <c r="E395" s="3052">
        <v>123.19</v>
      </c>
    </row>
    <row r="396" spans="1:5">
      <c r="A396" s="3047" t="s">
        <v>3100</v>
      </c>
      <c r="B396" s="3048" t="s">
        <v>3101</v>
      </c>
      <c r="C396" s="3047">
        <v>25</v>
      </c>
      <c r="D396" s="3051" t="s">
        <v>3210</v>
      </c>
      <c r="E396" s="3052">
        <v>123.19</v>
      </c>
    </row>
    <row r="397" spans="1:5">
      <c r="A397" s="3047" t="s">
        <v>3100</v>
      </c>
      <c r="B397" s="3048" t="s">
        <v>3101</v>
      </c>
      <c r="C397" s="3047">
        <v>25</v>
      </c>
      <c r="D397" s="3051" t="s">
        <v>3211</v>
      </c>
      <c r="E397" s="3052">
        <v>123.19</v>
      </c>
    </row>
    <row r="398" spans="1:5">
      <c r="A398" s="3047" t="s">
        <v>3100</v>
      </c>
      <c r="B398" s="3048" t="s">
        <v>3101</v>
      </c>
      <c r="C398" s="3047">
        <v>25</v>
      </c>
      <c r="D398" s="3051" t="s">
        <v>3212</v>
      </c>
      <c r="E398" s="3052">
        <v>123.19</v>
      </c>
    </row>
    <row r="399" spans="1:5">
      <c r="A399" s="3047" t="s">
        <v>3100</v>
      </c>
      <c r="B399" s="3048" t="s">
        <v>3101</v>
      </c>
      <c r="C399" s="3047">
        <v>25</v>
      </c>
      <c r="D399" s="3051" t="s">
        <v>3213</v>
      </c>
      <c r="E399" s="3052">
        <v>123.19</v>
      </c>
    </row>
    <row r="400" spans="1:5">
      <c r="A400" s="3047" t="s">
        <v>3100</v>
      </c>
      <c r="B400" s="3048" t="s">
        <v>3101</v>
      </c>
      <c r="C400" s="3047">
        <v>26</v>
      </c>
      <c r="D400" s="3053" t="s">
        <v>3214</v>
      </c>
      <c r="E400" s="3052">
        <v>115.17</v>
      </c>
    </row>
    <row r="401" spans="1:5">
      <c r="A401" s="3047" t="s">
        <v>3100</v>
      </c>
      <c r="B401" s="3048" t="s">
        <v>3101</v>
      </c>
      <c r="C401" s="3047">
        <v>26</v>
      </c>
      <c r="D401" s="3051" t="s">
        <v>3215</v>
      </c>
      <c r="E401" s="3052">
        <v>95.18</v>
      </c>
    </row>
    <row r="402" spans="1:5">
      <c r="A402" s="3047" t="s">
        <v>3100</v>
      </c>
      <c r="B402" s="3048" t="s">
        <v>3101</v>
      </c>
      <c r="C402" s="3047">
        <v>26</v>
      </c>
      <c r="D402" s="3051" t="s">
        <v>3216</v>
      </c>
      <c r="E402" s="3052">
        <v>95.18</v>
      </c>
    </row>
    <row r="403" spans="1:5">
      <c r="A403" s="3047" t="s">
        <v>3100</v>
      </c>
      <c r="B403" s="3048" t="s">
        <v>3101</v>
      </c>
      <c r="C403" s="3047">
        <v>26</v>
      </c>
      <c r="D403" s="3051" t="s">
        <v>3217</v>
      </c>
      <c r="E403" s="3052">
        <v>130.96</v>
      </c>
    </row>
    <row r="404" spans="1:5">
      <c r="A404" s="3047" t="s">
        <v>3100</v>
      </c>
      <c r="B404" s="3048" t="s">
        <v>3101</v>
      </c>
      <c r="C404" s="3047">
        <v>26</v>
      </c>
      <c r="D404" s="3051" t="s">
        <v>3218</v>
      </c>
      <c r="E404" s="3052">
        <v>115.17</v>
      </c>
    </row>
    <row r="405" spans="1:5">
      <c r="A405" s="3047" t="s">
        <v>3100</v>
      </c>
      <c r="B405" s="3048" t="s">
        <v>3101</v>
      </c>
      <c r="C405" s="3047">
        <v>26</v>
      </c>
      <c r="D405" s="3051" t="s">
        <v>3219</v>
      </c>
      <c r="E405" s="3052">
        <v>95.18</v>
      </c>
    </row>
    <row r="406" spans="1:5">
      <c r="A406" s="3047" t="s">
        <v>3100</v>
      </c>
      <c r="B406" s="3048" t="s">
        <v>3101</v>
      </c>
      <c r="C406" s="3047">
        <v>26</v>
      </c>
      <c r="D406" s="3051" t="s">
        <v>3220</v>
      </c>
      <c r="E406" s="3052">
        <v>95.18</v>
      </c>
    </row>
    <row r="407" spans="1:5">
      <c r="A407" s="3047" t="s">
        <v>3100</v>
      </c>
      <c r="B407" s="3048" t="s">
        <v>3101</v>
      </c>
      <c r="C407" s="3047">
        <v>26</v>
      </c>
      <c r="D407" s="3051" t="s">
        <v>3221</v>
      </c>
      <c r="E407" s="3052">
        <v>130.96</v>
      </c>
    </row>
    <row r="408" spans="1:5">
      <c r="A408" s="3047" t="s">
        <v>3100</v>
      </c>
      <c r="B408" s="3048" t="s">
        <v>3101</v>
      </c>
      <c r="C408" s="3047">
        <v>26</v>
      </c>
      <c r="D408" s="3053" t="s">
        <v>3222</v>
      </c>
      <c r="E408" s="3052">
        <v>115.17</v>
      </c>
    </row>
    <row r="409" spans="1:5">
      <c r="A409" s="3047" t="s">
        <v>3100</v>
      </c>
      <c r="B409" s="3048" t="s">
        <v>3101</v>
      </c>
      <c r="C409" s="3047">
        <v>26</v>
      </c>
      <c r="D409" s="3051" t="s">
        <v>3223</v>
      </c>
      <c r="E409" s="3052">
        <v>95.18</v>
      </c>
    </row>
    <row r="410" spans="1:5">
      <c r="A410" s="3047" t="s">
        <v>3100</v>
      </c>
      <c r="B410" s="3048" t="s">
        <v>3101</v>
      </c>
      <c r="C410" s="3047">
        <v>26</v>
      </c>
      <c r="D410" s="3051" t="s">
        <v>3224</v>
      </c>
      <c r="E410" s="3052">
        <v>95.18</v>
      </c>
    </row>
    <row r="411" spans="1:5">
      <c r="A411" s="3047" t="s">
        <v>3100</v>
      </c>
      <c r="B411" s="3048" t="s">
        <v>3101</v>
      </c>
      <c r="C411" s="3047">
        <v>26</v>
      </c>
      <c r="D411" s="3051" t="s">
        <v>3225</v>
      </c>
      <c r="E411" s="3052">
        <v>130.96</v>
      </c>
    </row>
    <row r="412" spans="1:5">
      <c r="A412" s="3047" t="s">
        <v>3100</v>
      </c>
      <c r="B412" s="3048" t="s">
        <v>3101</v>
      </c>
      <c r="C412" s="3047">
        <v>26</v>
      </c>
      <c r="D412" s="3051" t="s">
        <v>3226</v>
      </c>
      <c r="E412" s="3052">
        <v>115.17</v>
      </c>
    </row>
    <row r="413" spans="1:5">
      <c r="A413" s="3047" t="s">
        <v>3100</v>
      </c>
      <c r="B413" s="3048" t="s">
        <v>3101</v>
      </c>
      <c r="C413" s="3047">
        <v>26</v>
      </c>
      <c r="D413" s="3051" t="s">
        <v>3227</v>
      </c>
      <c r="E413" s="3052">
        <v>95.18</v>
      </c>
    </row>
    <row r="414" spans="1:5">
      <c r="A414" s="3047" t="s">
        <v>3100</v>
      </c>
      <c r="B414" s="3048" t="s">
        <v>3101</v>
      </c>
      <c r="C414" s="3047">
        <v>26</v>
      </c>
      <c r="D414" s="3051" t="s">
        <v>3228</v>
      </c>
      <c r="E414" s="3052">
        <v>95.18</v>
      </c>
    </row>
    <row r="415" spans="1:5">
      <c r="A415" s="3047" t="s">
        <v>3100</v>
      </c>
      <c r="B415" s="3048" t="s">
        <v>3101</v>
      </c>
      <c r="C415" s="3047">
        <v>26</v>
      </c>
      <c r="D415" s="3051" t="s">
        <v>3229</v>
      </c>
      <c r="E415" s="3052">
        <v>130.96</v>
      </c>
    </row>
    <row r="416" spans="1:5">
      <c r="A416" s="3047" t="s">
        <v>3100</v>
      </c>
      <c r="B416" s="3048" t="s">
        <v>3101</v>
      </c>
      <c r="C416" s="3047">
        <v>26</v>
      </c>
      <c r="D416" s="3053" t="s">
        <v>3230</v>
      </c>
      <c r="E416" s="3052">
        <v>115.17</v>
      </c>
    </row>
    <row r="417" spans="1:5">
      <c r="A417" s="3047" t="s">
        <v>3100</v>
      </c>
      <c r="B417" s="3048" t="s">
        <v>3101</v>
      </c>
      <c r="C417" s="3047">
        <v>26</v>
      </c>
      <c r="D417" s="3051" t="s">
        <v>3231</v>
      </c>
      <c r="E417" s="3052">
        <v>95.18</v>
      </c>
    </row>
    <row r="418" spans="1:5">
      <c r="A418" s="3047" t="s">
        <v>3100</v>
      </c>
      <c r="B418" s="3048" t="s">
        <v>3101</v>
      </c>
      <c r="C418" s="3047">
        <v>26</v>
      </c>
      <c r="D418" s="3053" t="s">
        <v>3232</v>
      </c>
      <c r="E418" s="3052">
        <v>95.18</v>
      </c>
    </row>
    <row r="419" spans="1:5">
      <c r="A419" s="3047" t="s">
        <v>3100</v>
      </c>
      <c r="B419" s="3048" t="s">
        <v>3101</v>
      </c>
      <c r="C419" s="3047">
        <v>26</v>
      </c>
      <c r="D419" s="3053" t="s">
        <v>3233</v>
      </c>
      <c r="E419" s="3052">
        <v>130.96</v>
      </c>
    </row>
    <row r="420" spans="1:5">
      <c r="A420" s="3047" t="s">
        <v>3100</v>
      </c>
      <c r="B420" s="3048" t="s">
        <v>3101</v>
      </c>
      <c r="C420" s="3047">
        <v>26</v>
      </c>
      <c r="D420" s="3051" t="s">
        <v>3234</v>
      </c>
      <c r="E420" s="3052">
        <v>115.17</v>
      </c>
    </row>
    <row r="421" spans="1:5">
      <c r="A421" s="3047" t="s">
        <v>3100</v>
      </c>
      <c r="B421" s="3048" t="s">
        <v>3101</v>
      </c>
      <c r="C421" s="3047">
        <v>26</v>
      </c>
      <c r="D421" s="3051" t="s">
        <v>3235</v>
      </c>
      <c r="E421" s="3052">
        <v>95.18</v>
      </c>
    </row>
    <row r="422" spans="1:5">
      <c r="A422" s="3047" t="s">
        <v>3100</v>
      </c>
      <c r="B422" s="3048" t="s">
        <v>3101</v>
      </c>
      <c r="C422" s="3047">
        <v>26</v>
      </c>
      <c r="D422" s="3051" t="s">
        <v>3236</v>
      </c>
      <c r="E422" s="3052">
        <v>95.18</v>
      </c>
    </row>
    <row r="423" spans="1:5">
      <c r="A423" s="3047" t="s">
        <v>3100</v>
      </c>
      <c r="B423" s="3048" t="s">
        <v>3101</v>
      </c>
      <c r="C423" s="3047">
        <v>26</v>
      </c>
      <c r="D423" s="3051" t="s">
        <v>3237</v>
      </c>
      <c r="E423" s="3052">
        <v>130.96</v>
      </c>
    </row>
    <row r="424" spans="1:5">
      <c r="A424" s="3047" t="s">
        <v>3100</v>
      </c>
      <c r="B424" s="3048" t="s">
        <v>3101</v>
      </c>
      <c r="C424" s="3047">
        <v>26</v>
      </c>
      <c r="D424" s="3051" t="s">
        <v>3238</v>
      </c>
      <c r="E424" s="3052">
        <v>115.17</v>
      </c>
    </row>
    <row r="425" spans="1:5">
      <c r="A425" s="3047" t="s">
        <v>3100</v>
      </c>
      <c r="B425" s="3048" t="s">
        <v>3101</v>
      </c>
      <c r="C425" s="3047">
        <v>26</v>
      </c>
      <c r="D425" s="3053" t="s">
        <v>3239</v>
      </c>
      <c r="E425" s="3052">
        <v>95.18</v>
      </c>
    </row>
    <row r="426" spans="1:5">
      <c r="A426" s="3047" t="s">
        <v>3100</v>
      </c>
      <c r="B426" s="3048" t="s">
        <v>3101</v>
      </c>
      <c r="C426" s="3047">
        <v>26</v>
      </c>
      <c r="D426" s="3051" t="s">
        <v>3240</v>
      </c>
      <c r="E426" s="3052">
        <v>95.18</v>
      </c>
    </row>
    <row r="427" spans="1:5">
      <c r="A427" s="3047" t="s">
        <v>3100</v>
      </c>
      <c r="B427" s="3048" t="s">
        <v>3101</v>
      </c>
      <c r="C427" s="3047">
        <v>26</v>
      </c>
      <c r="D427" s="3053" t="s">
        <v>3241</v>
      </c>
      <c r="E427" s="3052">
        <v>130.96</v>
      </c>
    </row>
    <row r="428" spans="1:5">
      <c r="A428" s="3047" t="s">
        <v>3100</v>
      </c>
      <c r="B428" s="3048" t="s">
        <v>3101</v>
      </c>
      <c r="C428" s="3047">
        <v>26</v>
      </c>
      <c r="D428" s="3051" t="s">
        <v>3242</v>
      </c>
      <c r="E428" s="3052">
        <v>115.17</v>
      </c>
    </row>
    <row r="429" spans="1:5">
      <c r="A429" s="3047" t="s">
        <v>3100</v>
      </c>
      <c r="B429" s="3048" t="s">
        <v>3101</v>
      </c>
      <c r="C429" s="3047">
        <v>26</v>
      </c>
      <c r="D429" s="3051" t="s">
        <v>3243</v>
      </c>
      <c r="E429" s="3052">
        <v>95.18</v>
      </c>
    </row>
    <row r="430" spans="1:5">
      <c r="A430" s="3047" t="s">
        <v>3100</v>
      </c>
      <c r="B430" s="3048" t="s">
        <v>3101</v>
      </c>
      <c r="C430" s="3047">
        <v>26</v>
      </c>
      <c r="D430" s="3053" t="s">
        <v>3244</v>
      </c>
      <c r="E430" s="3052">
        <v>95.18</v>
      </c>
    </row>
    <row r="431" spans="1:5">
      <c r="A431" s="3047" t="s">
        <v>3100</v>
      </c>
      <c r="B431" s="3048" t="s">
        <v>3101</v>
      </c>
      <c r="C431" s="3047">
        <v>26</v>
      </c>
      <c r="D431" s="3051" t="s">
        <v>3245</v>
      </c>
      <c r="E431" s="3052">
        <v>130.96</v>
      </c>
    </row>
    <row r="432" spans="1:5">
      <c r="A432" s="3047" t="s">
        <v>3100</v>
      </c>
      <c r="B432" s="3048" t="s">
        <v>3101</v>
      </c>
      <c r="C432" s="3047">
        <v>26</v>
      </c>
      <c r="D432" s="3051" t="s">
        <v>3246</v>
      </c>
      <c r="E432" s="3052">
        <v>115.17</v>
      </c>
    </row>
    <row r="433" spans="1:5">
      <c r="A433" s="3047" t="s">
        <v>3100</v>
      </c>
      <c r="B433" s="3048" t="s">
        <v>3101</v>
      </c>
      <c r="C433" s="3047">
        <v>26</v>
      </c>
      <c r="D433" s="3051" t="s">
        <v>3247</v>
      </c>
      <c r="E433" s="3052">
        <v>95.18</v>
      </c>
    </row>
    <row r="434" spans="1:5">
      <c r="A434" s="3047" t="s">
        <v>3100</v>
      </c>
      <c r="B434" s="3048" t="s">
        <v>3101</v>
      </c>
      <c r="C434" s="3047">
        <v>26</v>
      </c>
      <c r="D434" s="3051" t="s">
        <v>3248</v>
      </c>
      <c r="E434" s="3052">
        <v>95.18</v>
      </c>
    </row>
    <row r="435" spans="1:5">
      <c r="A435" s="3047" t="s">
        <v>3100</v>
      </c>
      <c r="B435" s="3048" t="s">
        <v>3101</v>
      </c>
      <c r="C435" s="3047">
        <v>26</v>
      </c>
      <c r="D435" s="3051" t="s">
        <v>3249</v>
      </c>
      <c r="E435" s="3052">
        <v>130.96</v>
      </c>
    </row>
    <row r="436" spans="1:5">
      <c r="A436" s="3047" t="s">
        <v>3100</v>
      </c>
      <c r="B436" s="3048" t="s">
        <v>3101</v>
      </c>
      <c r="C436" s="3047">
        <v>26</v>
      </c>
      <c r="D436" s="3051" t="s">
        <v>3250</v>
      </c>
      <c r="E436" s="3052">
        <v>115.17</v>
      </c>
    </row>
    <row r="437" spans="1:5">
      <c r="A437" s="3047" t="s">
        <v>3100</v>
      </c>
      <c r="B437" s="3048" t="s">
        <v>3101</v>
      </c>
      <c r="C437" s="3047">
        <v>26</v>
      </c>
      <c r="D437" s="3051" t="s">
        <v>3251</v>
      </c>
      <c r="E437" s="3052">
        <v>95.18</v>
      </c>
    </row>
    <row r="438" spans="1:5">
      <c r="A438" s="3047" t="s">
        <v>3100</v>
      </c>
      <c r="B438" s="3048" t="s">
        <v>3101</v>
      </c>
      <c r="C438" s="3047">
        <v>26</v>
      </c>
      <c r="D438" s="3051" t="s">
        <v>3252</v>
      </c>
      <c r="E438" s="3052">
        <v>95.18</v>
      </c>
    </row>
    <row r="439" spans="1:5">
      <c r="A439" s="3047" t="s">
        <v>3100</v>
      </c>
      <c r="B439" s="3048" t="s">
        <v>3101</v>
      </c>
      <c r="C439" s="3047">
        <v>26</v>
      </c>
      <c r="D439" s="3051" t="s">
        <v>3253</v>
      </c>
      <c r="E439" s="3052">
        <v>130.96</v>
      </c>
    </row>
    <row r="440" spans="1:5">
      <c r="A440" s="3047" t="s">
        <v>3100</v>
      </c>
      <c r="B440" s="3048" t="s">
        <v>3101</v>
      </c>
      <c r="C440" s="3047">
        <v>26</v>
      </c>
      <c r="D440" s="3053" t="s">
        <v>3254</v>
      </c>
      <c r="E440" s="3052">
        <v>115.17</v>
      </c>
    </row>
    <row r="441" spans="1:5">
      <c r="A441" s="3047" t="s">
        <v>3100</v>
      </c>
      <c r="B441" s="3048" t="s">
        <v>3101</v>
      </c>
      <c r="C441" s="3047">
        <v>26</v>
      </c>
      <c r="D441" s="3053" t="s">
        <v>3255</v>
      </c>
      <c r="E441" s="3052">
        <v>95.18</v>
      </c>
    </row>
    <row r="442" spans="1:5">
      <c r="A442" s="3047" t="s">
        <v>3100</v>
      </c>
      <c r="B442" s="3048" t="s">
        <v>3101</v>
      </c>
      <c r="C442" s="3047">
        <v>26</v>
      </c>
      <c r="D442" s="3053" t="s">
        <v>3256</v>
      </c>
      <c r="E442" s="3052">
        <v>95.18</v>
      </c>
    </row>
    <row r="443" spans="1:5">
      <c r="A443" s="3047" t="s">
        <v>3100</v>
      </c>
      <c r="B443" s="3048" t="s">
        <v>3101</v>
      </c>
      <c r="C443" s="3047">
        <v>26</v>
      </c>
      <c r="D443" s="3051" t="s">
        <v>3257</v>
      </c>
      <c r="E443" s="3052">
        <v>130.96</v>
      </c>
    </row>
    <row r="444" spans="1:5">
      <c r="A444" s="3047" t="s">
        <v>3100</v>
      </c>
      <c r="B444" s="3048" t="s">
        <v>3101</v>
      </c>
      <c r="C444" s="3047">
        <v>26</v>
      </c>
      <c r="D444" s="3051" t="s">
        <v>3258</v>
      </c>
      <c r="E444" s="3052">
        <v>115.17</v>
      </c>
    </row>
    <row r="445" spans="1:5">
      <c r="A445" s="3047" t="s">
        <v>3100</v>
      </c>
      <c r="B445" s="3048" t="s">
        <v>3101</v>
      </c>
      <c r="C445" s="3047">
        <v>26</v>
      </c>
      <c r="D445" s="3051" t="s">
        <v>3259</v>
      </c>
      <c r="E445" s="3052">
        <v>95.18</v>
      </c>
    </row>
    <row r="446" spans="1:5">
      <c r="A446" s="3047" t="s">
        <v>3100</v>
      </c>
      <c r="B446" s="3048" t="s">
        <v>3101</v>
      </c>
      <c r="C446" s="3047">
        <v>26</v>
      </c>
      <c r="D446" s="3051" t="s">
        <v>3260</v>
      </c>
      <c r="E446" s="3052">
        <v>95.18</v>
      </c>
    </row>
    <row r="447" spans="1:5">
      <c r="A447" s="3047" t="s">
        <v>3100</v>
      </c>
      <c r="B447" s="3048" t="s">
        <v>3101</v>
      </c>
      <c r="C447" s="3047">
        <v>26</v>
      </c>
      <c r="D447" s="3051" t="s">
        <v>3261</v>
      </c>
      <c r="E447" s="3052">
        <v>130.96</v>
      </c>
    </row>
    <row r="448" spans="1:5">
      <c r="A448" s="3047" t="s">
        <v>3100</v>
      </c>
      <c r="B448" s="3048" t="s">
        <v>3101</v>
      </c>
      <c r="C448" s="3047">
        <v>26</v>
      </c>
      <c r="D448" s="3051" t="s">
        <v>3262</v>
      </c>
      <c r="E448" s="3052">
        <v>115.17</v>
      </c>
    </row>
    <row r="449" spans="1:5">
      <c r="A449" s="3047" t="s">
        <v>3100</v>
      </c>
      <c r="B449" s="3048" t="s">
        <v>3101</v>
      </c>
      <c r="C449" s="3047">
        <v>26</v>
      </c>
      <c r="D449" s="3051" t="s">
        <v>3263</v>
      </c>
      <c r="E449" s="3052">
        <v>95.57</v>
      </c>
    </row>
    <row r="450" spans="1:5">
      <c r="A450" s="3047" t="s">
        <v>3100</v>
      </c>
      <c r="B450" s="3048" t="s">
        <v>3101</v>
      </c>
      <c r="C450" s="3047">
        <v>26</v>
      </c>
      <c r="D450" s="3053" t="s">
        <v>3264</v>
      </c>
      <c r="E450" s="3052">
        <v>95.57</v>
      </c>
    </row>
    <row r="451" spans="1:5">
      <c r="A451" s="3047" t="s">
        <v>3100</v>
      </c>
      <c r="B451" s="3048" t="s">
        <v>3101</v>
      </c>
      <c r="C451" s="3047">
        <v>26</v>
      </c>
      <c r="D451" s="3051" t="s">
        <v>3265</v>
      </c>
      <c r="E451" s="3052">
        <v>130.96</v>
      </c>
    </row>
    <row r="452" spans="1:5">
      <c r="A452" s="3047" t="s">
        <v>3100</v>
      </c>
      <c r="B452" s="3048" t="s">
        <v>3101</v>
      </c>
      <c r="C452" s="3047">
        <v>26</v>
      </c>
      <c r="D452" s="3051" t="s">
        <v>3266</v>
      </c>
      <c r="E452" s="3052">
        <v>115.17</v>
      </c>
    </row>
    <row r="453" spans="1:5">
      <c r="A453" s="3047" t="s">
        <v>3100</v>
      </c>
      <c r="B453" s="3048" t="s">
        <v>3101</v>
      </c>
      <c r="C453" s="3047">
        <v>26</v>
      </c>
      <c r="D453" s="3053" t="s">
        <v>3267</v>
      </c>
      <c r="E453" s="3052">
        <v>95.57</v>
      </c>
    </row>
    <row r="454" spans="1:5">
      <c r="A454" s="3047" t="s">
        <v>3100</v>
      </c>
      <c r="B454" s="3048" t="s">
        <v>3101</v>
      </c>
      <c r="C454" s="3047">
        <v>26</v>
      </c>
      <c r="D454" s="3051" t="s">
        <v>3268</v>
      </c>
      <c r="E454" s="3052">
        <v>95.57</v>
      </c>
    </row>
    <row r="455" spans="1:5">
      <c r="A455" s="3047" t="s">
        <v>3100</v>
      </c>
      <c r="B455" s="3048" t="s">
        <v>3101</v>
      </c>
      <c r="C455" s="3047">
        <v>26</v>
      </c>
      <c r="D455" s="3051" t="s">
        <v>3269</v>
      </c>
      <c r="E455" s="3052">
        <v>130.96</v>
      </c>
    </row>
    <row r="456" spans="1:5">
      <c r="A456" s="3047" t="s">
        <v>3100</v>
      </c>
      <c r="B456" s="3048" t="s">
        <v>3101</v>
      </c>
      <c r="C456" s="3047">
        <v>26</v>
      </c>
      <c r="D456" s="3053" t="s">
        <v>3270</v>
      </c>
      <c r="E456" s="3052">
        <v>115.17</v>
      </c>
    </row>
    <row r="457" spans="1:5">
      <c r="A457" s="3047" t="s">
        <v>3100</v>
      </c>
      <c r="B457" s="3048" t="s">
        <v>3101</v>
      </c>
      <c r="C457" s="3047">
        <v>26</v>
      </c>
      <c r="D457" s="3051" t="s">
        <v>3271</v>
      </c>
      <c r="E457" s="3052">
        <v>95.57</v>
      </c>
    </row>
    <row r="458" spans="1:5">
      <c r="A458" s="3047" t="s">
        <v>3100</v>
      </c>
      <c r="B458" s="3048" t="s">
        <v>3101</v>
      </c>
      <c r="C458" s="3047">
        <v>26</v>
      </c>
      <c r="D458" s="3053" t="s">
        <v>3272</v>
      </c>
      <c r="E458" s="3052">
        <v>95.57</v>
      </c>
    </row>
    <row r="459" spans="1:5">
      <c r="A459" s="3047" t="s">
        <v>3100</v>
      </c>
      <c r="B459" s="3048" t="s">
        <v>3101</v>
      </c>
      <c r="C459" s="3047">
        <v>26</v>
      </c>
      <c r="D459" s="3053" t="s">
        <v>3273</v>
      </c>
      <c r="E459" s="3052">
        <v>130.96</v>
      </c>
    </row>
    <row r="460" spans="1:5">
      <c r="A460" s="3047" t="s">
        <v>3100</v>
      </c>
      <c r="B460" s="3048" t="s">
        <v>3101</v>
      </c>
      <c r="C460" s="3047">
        <v>26</v>
      </c>
      <c r="D460" s="3053" t="s">
        <v>3274</v>
      </c>
      <c r="E460" s="3052">
        <v>115.17</v>
      </c>
    </row>
    <row r="461" spans="1:5">
      <c r="A461" s="3047" t="s">
        <v>3100</v>
      </c>
      <c r="B461" s="3048" t="s">
        <v>3101</v>
      </c>
      <c r="C461" s="3047">
        <v>26</v>
      </c>
      <c r="D461" s="3051" t="s">
        <v>3275</v>
      </c>
      <c r="E461" s="3052">
        <v>95.57</v>
      </c>
    </row>
    <row r="462" spans="1:5">
      <c r="A462" s="3047" t="s">
        <v>3100</v>
      </c>
      <c r="B462" s="3048" t="s">
        <v>3101</v>
      </c>
      <c r="C462" s="3047">
        <v>26</v>
      </c>
      <c r="D462" s="3051" t="s">
        <v>3276</v>
      </c>
      <c r="E462" s="3052">
        <v>95.57</v>
      </c>
    </row>
    <row r="463" spans="1:5">
      <c r="A463" s="3047" t="s">
        <v>3100</v>
      </c>
      <c r="B463" s="3048" t="s">
        <v>3101</v>
      </c>
      <c r="C463" s="3047">
        <v>26</v>
      </c>
      <c r="D463" s="3051" t="s">
        <v>3277</v>
      </c>
      <c r="E463" s="3052">
        <v>130.96</v>
      </c>
    </row>
    <row r="464" spans="1:5">
      <c r="A464" s="3047" t="s">
        <v>3100</v>
      </c>
      <c r="B464" s="3048" t="s">
        <v>3101</v>
      </c>
      <c r="C464" s="3047">
        <v>26</v>
      </c>
      <c r="D464" s="3051" t="s">
        <v>3278</v>
      </c>
      <c r="E464" s="3052">
        <v>115.17</v>
      </c>
    </row>
    <row r="465" spans="1:5">
      <c r="A465" s="3047" t="s">
        <v>3100</v>
      </c>
      <c r="B465" s="3048" t="s">
        <v>3101</v>
      </c>
      <c r="C465" s="3047">
        <v>26</v>
      </c>
      <c r="D465" s="3051" t="s">
        <v>3279</v>
      </c>
      <c r="E465" s="3052">
        <v>95.57</v>
      </c>
    </row>
    <row r="466" spans="1:5">
      <c r="A466" s="3047" t="s">
        <v>3100</v>
      </c>
      <c r="B466" s="3048" t="s">
        <v>3101</v>
      </c>
      <c r="C466" s="3047">
        <v>26</v>
      </c>
      <c r="D466" s="3051" t="s">
        <v>3280</v>
      </c>
      <c r="E466" s="3052">
        <v>95.57</v>
      </c>
    </row>
    <row r="467" spans="1:5">
      <c r="A467" s="3047" t="s">
        <v>3100</v>
      </c>
      <c r="B467" s="3048" t="s">
        <v>3101</v>
      </c>
      <c r="C467" s="3047">
        <v>26</v>
      </c>
      <c r="D467" s="3051" t="s">
        <v>3281</v>
      </c>
      <c r="E467" s="3052">
        <v>130.96</v>
      </c>
    </row>
    <row r="468" spans="1:5">
      <c r="A468" s="3047" t="s">
        <v>3100</v>
      </c>
      <c r="B468" s="3048" t="s">
        <v>3101</v>
      </c>
      <c r="C468" s="3047">
        <v>26</v>
      </c>
      <c r="D468" s="3051" t="s">
        <v>3282</v>
      </c>
      <c r="E468" s="3052">
        <v>115.17</v>
      </c>
    </row>
    <row r="469" spans="1:5">
      <c r="A469" s="3047" t="s">
        <v>3100</v>
      </c>
      <c r="B469" s="3048" t="s">
        <v>3101</v>
      </c>
      <c r="C469" s="3047">
        <v>26</v>
      </c>
      <c r="D469" s="3051" t="s">
        <v>3283</v>
      </c>
      <c r="E469" s="3052">
        <v>95.57</v>
      </c>
    </row>
    <row r="470" spans="1:5">
      <c r="A470" s="3047" t="s">
        <v>3100</v>
      </c>
      <c r="B470" s="3048" t="s">
        <v>3101</v>
      </c>
      <c r="C470" s="3047">
        <v>26</v>
      </c>
      <c r="D470" s="3051" t="s">
        <v>3284</v>
      </c>
      <c r="E470" s="3052">
        <v>95.57</v>
      </c>
    </row>
    <row r="471" spans="1:5">
      <c r="A471" s="3047" t="s">
        <v>3100</v>
      </c>
      <c r="B471" s="3048" t="s">
        <v>3101</v>
      </c>
      <c r="C471" s="3047">
        <v>26</v>
      </c>
      <c r="D471" s="3053" t="s">
        <v>3285</v>
      </c>
      <c r="E471" s="3052">
        <v>130.96</v>
      </c>
    </row>
    <row r="472" spans="1:5">
      <c r="A472" s="3047" t="s">
        <v>3100</v>
      </c>
      <c r="B472" s="3048" t="s">
        <v>3101</v>
      </c>
      <c r="C472" s="3047">
        <v>26</v>
      </c>
      <c r="D472" s="3053" t="s">
        <v>3286</v>
      </c>
      <c r="E472" s="3052">
        <v>115.17</v>
      </c>
    </row>
    <row r="473" spans="1:5">
      <c r="A473" s="3047" t="s">
        <v>3100</v>
      </c>
      <c r="B473" s="3048" t="s">
        <v>3101</v>
      </c>
      <c r="C473" s="3047">
        <v>26</v>
      </c>
      <c r="D473" s="3051" t="s">
        <v>3287</v>
      </c>
      <c r="E473" s="3052">
        <v>95.57</v>
      </c>
    </row>
    <row r="474" spans="1:5">
      <c r="A474" s="3047" t="s">
        <v>3100</v>
      </c>
      <c r="B474" s="3048" t="s">
        <v>3101</v>
      </c>
      <c r="C474" s="3047">
        <v>26</v>
      </c>
      <c r="D474" s="3051" t="s">
        <v>3288</v>
      </c>
      <c r="E474" s="3052">
        <v>95.57</v>
      </c>
    </row>
    <row r="475" spans="1:5">
      <c r="A475" s="3047" t="s">
        <v>3100</v>
      </c>
      <c r="B475" s="3048" t="s">
        <v>3101</v>
      </c>
      <c r="C475" s="3047">
        <v>26</v>
      </c>
      <c r="D475" s="3051" t="s">
        <v>3289</v>
      </c>
      <c r="E475" s="3052">
        <v>130.96</v>
      </c>
    </row>
    <row r="476" spans="1:5">
      <c r="A476" s="3047" t="s">
        <v>3100</v>
      </c>
      <c r="B476" s="3048" t="s">
        <v>3101</v>
      </c>
      <c r="C476" s="3047">
        <v>26</v>
      </c>
      <c r="D476" s="3051" t="s">
        <v>3290</v>
      </c>
      <c r="E476" s="3052">
        <v>115.17</v>
      </c>
    </row>
    <row r="477" spans="1:5">
      <c r="A477" s="3047" t="s">
        <v>3100</v>
      </c>
      <c r="B477" s="3048" t="s">
        <v>3101</v>
      </c>
      <c r="C477" s="3047">
        <v>26</v>
      </c>
      <c r="D477" s="3053" t="s">
        <v>3291</v>
      </c>
      <c r="E477" s="3052">
        <v>95.57</v>
      </c>
    </row>
    <row r="478" spans="1:5">
      <c r="A478" s="3047" t="s">
        <v>3100</v>
      </c>
      <c r="B478" s="3048" t="s">
        <v>3101</v>
      </c>
      <c r="C478" s="3047">
        <v>26</v>
      </c>
      <c r="D478" s="3051" t="s">
        <v>3292</v>
      </c>
      <c r="E478" s="3052">
        <v>95.57</v>
      </c>
    </row>
    <row r="479" spans="1:5">
      <c r="A479" s="3047" t="s">
        <v>3100</v>
      </c>
      <c r="B479" s="3048" t="s">
        <v>3101</v>
      </c>
      <c r="C479" s="3047">
        <v>26</v>
      </c>
      <c r="D479" s="3053" t="s">
        <v>3293</v>
      </c>
      <c r="E479" s="3052">
        <v>130.96</v>
      </c>
    </row>
    <row r="480" spans="1:5">
      <c r="A480" s="3047" t="s">
        <v>3100</v>
      </c>
      <c r="B480" s="3048" t="s">
        <v>3101</v>
      </c>
      <c r="C480" s="3047">
        <v>26</v>
      </c>
      <c r="D480" s="3053" t="s">
        <v>3294</v>
      </c>
      <c r="E480" s="3052">
        <v>115.17</v>
      </c>
    </row>
    <row r="481" spans="1:5">
      <c r="A481" s="3047" t="s">
        <v>3100</v>
      </c>
      <c r="B481" s="3048" t="s">
        <v>3101</v>
      </c>
      <c r="C481" s="3047">
        <v>26</v>
      </c>
      <c r="D481" s="3051" t="s">
        <v>3295</v>
      </c>
      <c r="E481" s="3052">
        <v>95.57</v>
      </c>
    </row>
    <row r="482" spans="1:5">
      <c r="A482" s="3047" t="s">
        <v>3100</v>
      </c>
      <c r="B482" s="3048" t="s">
        <v>3101</v>
      </c>
      <c r="C482" s="3047">
        <v>26</v>
      </c>
      <c r="D482" s="3051" t="s">
        <v>3296</v>
      </c>
      <c r="E482" s="3052">
        <v>95.57</v>
      </c>
    </row>
    <row r="483" spans="1:5">
      <c r="A483" s="3047" t="s">
        <v>3100</v>
      </c>
      <c r="B483" s="3048" t="s">
        <v>3101</v>
      </c>
      <c r="C483" s="3047">
        <v>26</v>
      </c>
      <c r="D483" s="3051" t="s">
        <v>3297</v>
      </c>
      <c r="E483" s="3052">
        <v>130.96</v>
      </c>
    </row>
    <row r="484" spans="1:5">
      <c r="A484" s="3047" t="s">
        <v>3100</v>
      </c>
      <c r="B484" s="3048" t="s">
        <v>3101</v>
      </c>
      <c r="C484" s="3047">
        <v>26</v>
      </c>
      <c r="D484" s="3051" t="s">
        <v>3298</v>
      </c>
      <c r="E484" s="3052">
        <v>115.17</v>
      </c>
    </row>
    <row r="485" spans="1:5">
      <c r="A485" s="3047" t="s">
        <v>3100</v>
      </c>
      <c r="B485" s="3048" t="s">
        <v>3101</v>
      </c>
      <c r="C485" s="3047">
        <v>26</v>
      </c>
      <c r="D485" s="3051" t="s">
        <v>3299</v>
      </c>
      <c r="E485" s="3052">
        <v>95.57</v>
      </c>
    </row>
    <row r="486" spans="1:5">
      <c r="A486" s="3047" t="s">
        <v>3100</v>
      </c>
      <c r="B486" s="3048" t="s">
        <v>3101</v>
      </c>
      <c r="C486" s="3047">
        <v>26</v>
      </c>
      <c r="D486" s="3053" t="s">
        <v>3300</v>
      </c>
      <c r="E486" s="3052">
        <v>95.57</v>
      </c>
    </row>
    <row r="487" spans="1:5">
      <c r="A487" s="3047" t="s">
        <v>3100</v>
      </c>
      <c r="B487" s="3048" t="s">
        <v>3101</v>
      </c>
      <c r="C487" s="3047">
        <v>26</v>
      </c>
      <c r="D487" s="3051" t="s">
        <v>3301</v>
      </c>
      <c r="E487" s="3052">
        <v>130.96</v>
      </c>
    </row>
    <row r="488" spans="1:5">
      <c r="A488" s="3047" t="s">
        <v>3100</v>
      </c>
      <c r="B488" s="3048" t="s">
        <v>3101</v>
      </c>
      <c r="C488" s="3047">
        <v>26</v>
      </c>
      <c r="D488" s="3053" t="s">
        <v>3302</v>
      </c>
      <c r="E488" s="3052">
        <v>115.17</v>
      </c>
    </row>
    <row r="489" spans="1:5">
      <c r="A489" s="3047" t="s">
        <v>3100</v>
      </c>
      <c r="B489" s="3048" t="s">
        <v>3101</v>
      </c>
      <c r="C489" s="3047">
        <v>26</v>
      </c>
      <c r="D489" s="3053" t="s">
        <v>3303</v>
      </c>
      <c r="E489" s="3052">
        <v>95.57</v>
      </c>
    </row>
    <row r="490" spans="1:5">
      <c r="A490" s="3047" t="s">
        <v>3100</v>
      </c>
      <c r="B490" s="3048" t="s">
        <v>3101</v>
      </c>
      <c r="C490" s="3047">
        <v>26</v>
      </c>
      <c r="D490" s="3051" t="s">
        <v>3304</v>
      </c>
      <c r="E490" s="3052">
        <v>95.57</v>
      </c>
    </row>
    <row r="491" spans="1:5">
      <c r="A491" s="3047" t="s">
        <v>3100</v>
      </c>
      <c r="B491" s="3048" t="s">
        <v>3101</v>
      </c>
      <c r="C491" s="3047">
        <v>26</v>
      </c>
      <c r="D491" s="3051" t="s">
        <v>3305</v>
      </c>
      <c r="E491" s="3052">
        <v>130.96</v>
      </c>
    </row>
    <row r="492" spans="1:5">
      <c r="A492" s="3047" t="s">
        <v>3100</v>
      </c>
      <c r="B492" s="3048" t="s">
        <v>3101</v>
      </c>
      <c r="C492" s="3047">
        <v>26</v>
      </c>
      <c r="D492" s="3051" t="s">
        <v>3306</v>
      </c>
      <c r="E492" s="3052">
        <v>115.41</v>
      </c>
    </row>
    <row r="493" spans="1:5">
      <c r="A493" s="3047" t="s">
        <v>3100</v>
      </c>
      <c r="B493" s="3048" t="s">
        <v>3101</v>
      </c>
      <c r="C493" s="3047">
        <v>26</v>
      </c>
      <c r="D493" s="3051" t="s">
        <v>3307</v>
      </c>
      <c r="E493" s="3052">
        <v>95.95</v>
      </c>
    </row>
    <row r="494" spans="1:5">
      <c r="A494" s="3047" t="s">
        <v>3100</v>
      </c>
      <c r="B494" s="3048" t="s">
        <v>3101</v>
      </c>
      <c r="C494" s="3047">
        <v>26</v>
      </c>
      <c r="D494" s="3051" t="s">
        <v>3308</v>
      </c>
      <c r="E494" s="3052">
        <v>95.95</v>
      </c>
    </row>
    <row r="495" spans="1:5">
      <c r="A495" s="3047" t="s">
        <v>3100</v>
      </c>
      <c r="B495" s="3048" t="s">
        <v>3101</v>
      </c>
      <c r="C495" s="3047">
        <v>26</v>
      </c>
      <c r="D495" s="3053" t="s">
        <v>3309</v>
      </c>
      <c r="E495" s="3052">
        <v>131.15</v>
      </c>
    </row>
    <row r="496" spans="1:5">
      <c r="A496" s="3047" t="s">
        <v>3100</v>
      </c>
      <c r="B496" s="3048" t="s">
        <v>3101</v>
      </c>
      <c r="C496" s="3047">
        <v>26</v>
      </c>
      <c r="D496" s="3053" t="s">
        <v>3310</v>
      </c>
      <c r="E496" s="3052">
        <v>115.41</v>
      </c>
    </row>
    <row r="497" spans="1:5">
      <c r="A497" s="3047" t="s">
        <v>3100</v>
      </c>
      <c r="B497" s="3048" t="s">
        <v>3101</v>
      </c>
      <c r="C497" s="3047">
        <v>26</v>
      </c>
      <c r="D497" s="3053" t="s">
        <v>3311</v>
      </c>
      <c r="E497" s="3052">
        <v>95.95</v>
      </c>
    </row>
    <row r="498" spans="1:5">
      <c r="A498" s="3047" t="s">
        <v>3100</v>
      </c>
      <c r="B498" s="3048" t="s">
        <v>3101</v>
      </c>
      <c r="C498" s="3047">
        <v>26</v>
      </c>
      <c r="D498" s="3051" t="s">
        <v>3312</v>
      </c>
      <c r="E498" s="3052">
        <v>95.95</v>
      </c>
    </row>
    <row r="499" spans="1:5">
      <c r="A499" s="3047" t="s">
        <v>3100</v>
      </c>
      <c r="B499" s="3048" t="s">
        <v>3101</v>
      </c>
      <c r="C499" s="3047">
        <v>26</v>
      </c>
      <c r="D499" s="3051" t="s">
        <v>3313</v>
      </c>
      <c r="E499" s="3052">
        <v>131.15</v>
      </c>
    </row>
    <row r="500" spans="1:5">
      <c r="A500" s="3047" t="s">
        <v>3100</v>
      </c>
      <c r="B500" s="3048" t="s">
        <v>3101</v>
      </c>
      <c r="C500" s="3047">
        <v>26</v>
      </c>
      <c r="D500" s="3051" t="s">
        <v>3314</v>
      </c>
      <c r="E500" s="3052">
        <v>115.41</v>
      </c>
    </row>
    <row r="501" spans="1:5">
      <c r="A501" s="3047" t="s">
        <v>3100</v>
      </c>
      <c r="B501" s="3048" t="s">
        <v>3101</v>
      </c>
      <c r="C501" s="3047">
        <v>26</v>
      </c>
      <c r="D501" s="3051" t="s">
        <v>3315</v>
      </c>
      <c r="E501" s="3052">
        <v>95.95</v>
      </c>
    </row>
    <row r="502" spans="1:5">
      <c r="A502" s="3047" t="s">
        <v>3100</v>
      </c>
      <c r="B502" s="3048" t="s">
        <v>3101</v>
      </c>
      <c r="C502" s="3047">
        <v>26</v>
      </c>
      <c r="D502" s="3051" t="s">
        <v>3316</v>
      </c>
      <c r="E502" s="3052">
        <v>95.95</v>
      </c>
    </row>
    <row r="503" spans="1:5">
      <c r="A503" s="3047" t="s">
        <v>3100</v>
      </c>
      <c r="B503" s="3048" t="s">
        <v>3101</v>
      </c>
      <c r="C503" s="3047">
        <v>26</v>
      </c>
      <c r="D503" s="3051" t="s">
        <v>3317</v>
      </c>
      <c r="E503" s="3052">
        <v>131.15</v>
      </c>
    </row>
    <row r="504" spans="1:5">
      <c r="A504" s="3047" t="s">
        <v>3100</v>
      </c>
      <c r="B504" s="3048" t="s">
        <v>3101</v>
      </c>
      <c r="C504" s="3047">
        <v>26</v>
      </c>
      <c r="D504" s="3053" t="s">
        <v>3318</v>
      </c>
      <c r="E504" s="3052">
        <v>115.41</v>
      </c>
    </row>
    <row r="505" spans="1:5">
      <c r="A505" s="3047" t="s">
        <v>3100</v>
      </c>
      <c r="B505" s="3048" t="s">
        <v>3101</v>
      </c>
      <c r="C505" s="3047">
        <v>26</v>
      </c>
      <c r="D505" s="3051" t="s">
        <v>3319</v>
      </c>
      <c r="E505" s="3052">
        <v>95.95</v>
      </c>
    </row>
    <row r="506" spans="1:5">
      <c r="A506" s="3047" t="s">
        <v>3100</v>
      </c>
      <c r="B506" s="3048" t="s">
        <v>3101</v>
      </c>
      <c r="C506" s="3047">
        <v>26</v>
      </c>
      <c r="D506" s="3051" t="s">
        <v>3320</v>
      </c>
      <c r="E506" s="3052">
        <v>95.95</v>
      </c>
    </row>
    <row r="507" spans="1:5">
      <c r="A507" s="3047" t="s">
        <v>3100</v>
      </c>
      <c r="B507" s="3048" t="s">
        <v>3101</v>
      </c>
      <c r="C507" s="3047">
        <v>26</v>
      </c>
      <c r="D507" s="3051" t="s">
        <v>3321</v>
      </c>
      <c r="E507" s="3052">
        <v>131.15</v>
      </c>
    </row>
    <row r="508" spans="1:5">
      <c r="A508" s="3047" t="s">
        <v>3100</v>
      </c>
      <c r="B508" s="3048" t="s">
        <v>3101</v>
      </c>
      <c r="C508" s="3047">
        <v>26</v>
      </c>
      <c r="D508" s="3051" t="s">
        <v>3322</v>
      </c>
      <c r="E508" s="3052">
        <v>115.41</v>
      </c>
    </row>
    <row r="509" spans="1:5">
      <c r="A509" s="3047" t="s">
        <v>3100</v>
      </c>
      <c r="B509" s="3048" t="s">
        <v>3101</v>
      </c>
      <c r="C509" s="3047">
        <v>26</v>
      </c>
      <c r="D509" s="3051" t="s">
        <v>3323</v>
      </c>
      <c r="E509" s="3052">
        <v>95.95</v>
      </c>
    </row>
    <row r="510" spans="1:5">
      <c r="A510" s="3047" t="s">
        <v>3100</v>
      </c>
      <c r="B510" s="3048" t="s">
        <v>3101</v>
      </c>
      <c r="C510" s="3047">
        <v>26</v>
      </c>
      <c r="D510" s="3051" t="s">
        <v>3324</v>
      </c>
      <c r="E510" s="3052">
        <v>95.95</v>
      </c>
    </row>
    <row r="511" spans="1:5">
      <c r="A511" s="3047" t="s">
        <v>3100</v>
      </c>
      <c r="B511" s="3048" t="s">
        <v>3101</v>
      </c>
      <c r="C511" s="3047">
        <v>26</v>
      </c>
      <c r="D511" s="3051" t="s">
        <v>3325</v>
      </c>
      <c r="E511" s="3052">
        <v>131.15</v>
      </c>
    </row>
    <row r="512" spans="1:5">
      <c r="A512" s="3047" t="s">
        <v>3100</v>
      </c>
      <c r="B512" s="3048" t="s">
        <v>3101</v>
      </c>
      <c r="C512" s="3047">
        <v>26</v>
      </c>
      <c r="D512" s="3053" t="s">
        <v>3326</v>
      </c>
      <c r="E512" s="3052">
        <v>115.41</v>
      </c>
    </row>
    <row r="513" spans="1:5">
      <c r="A513" s="3047" t="s">
        <v>3100</v>
      </c>
      <c r="B513" s="3048" t="s">
        <v>3101</v>
      </c>
      <c r="C513" s="3047">
        <v>26</v>
      </c>
      <c r="D513" s="3051" t="s">
        <v>3327</v>
      </c>
      <c r="E513" s="3052">
        <v>95.95</v>
      </c>
    </row>
    <row r="514" spans="1:5">
      <c r="A514" s="3047" t="s">
        <v>3100</v>
      </c>
      <c r="B514" s="3048" t="s">
        <v>3101</v>
      </c>
      <c r="C514" s="3047">
        <v>26</v>
      </c>
      <c r="D514" s="3051" t="s">
        <v>3328</v>
      </c>
      <c r="E514" s="3052">
        <v>95.95</v>
      </c>
    </row>
    <row r="515" spans="1:5">
      <c r="A515" s="3047" t="s">
        <v>3100</v>
      </c>
      <c r="B515" s="3048" t="s">
        <v>3101</v>
      </c>
      <c r="C515" s="3047">
        <v>26</v>
      </c>
      <c r="D515" s="3051" t="s">
        <v>3329</v>
      </c>
      <c r="E515" s="3052">
        <v>131.15</v>
      </c>
    </row>
    <row r="516" spans="1:5">
      <c r="A516" s="3047" t="s">
        <v>3100</v>
      </c>
      <c r="B516" s="3048" t="s">
        <v>3101</v>
      </c>
      <c r="C516" s="3047">
        <v>27</v>
      </c>
      <c r="D516" s="3051" t="s">
        <v>3330</v>
      </c>
      <c r="E516" s="3052">
        <v>115.98</v>
      </c>
    </row>
    <row r="517" spans="1:5">
      <c r="A517" s="3047" t="s">
        <v>3100</v>
      </c>
      <c r="B517" s="3048" t="s">
        <v>3101</v>
      </c>
      <c r="C517" s="3047">
        <v>27</v>
      </c>
      <c r="D517" s="3051" t="s">
        <v>3331</v>
      </c>
      <c r="E517" s="3052">
        <v>95.85</v>
      </c>
    </row>
    <row r="518" spans="1:5">
      <c r="A518" s="3047" t="s">
        <v>3100</v>
      </c>
      <c r="B518" s="3048" t="s">
        <v>3101</v>
      </c>
      <c r="C518" s="3047">
        <v>27</v>
      </c>
      <c r="D518" s="3051" t="s">
        <v>3332</v>
      </c>
      <c r="E518" s="3052">
        <v>95.85</v>
      </c>
    </row>
    <row r="519" spans="1:5">
      <c r="A519" s="3047" t="s">
        <v>3100</v>
      </c>
      <c r="B519" s="3048" t="s">
        <v>3101</v>
      </c>
      <c r="C519" s="3047">
        <v>27</v>
      </c>
      <c r="D519" s="3051" t="s">
        <v>3333</v>
      </c>
      <c r="E519" s="3052">
        <v>152.29</v>
      </c>
    </row>
    <row r="520" spans="1:5">
      <c r="A520" s="3047" t="s">
        <v>3100</v>
      </c>
      <c r="B520" s="3048" t="s">
        <v>3101</v>
      </c>
      <c r="C520" s="3047">
        <v>27</v>
      </c>
      <c r="D520" s="3051" t="s">
        <v>3334</v>
      </c>
      <c r="E520" s="3052">
        <v>115.98</v>
      </c>
    </row>
    <row r="521" spans="1:5">
      <c r="A521" s="3047" t="s">
        <v>3100</v>
      </c>
      <c r="B521" s="3048" t="s">
        <v>3101</v>
      </c>
      <c r="C521" s="3047">
        <v>27</v>
      </c>
      <c r="D521" s="3051" t="s">
        <v>3335</v>
      </c>
      <c r="E521" s="3052">
        <v>95.85</v>
      </c>
    </row>
    <row r="522" spans="1:5">
      <c r="A522" s="3047" t="s">
        <v>3100</v>
      </c>
      <c r="B522" s="3048" t="s">
        <v>3101</v>
      </c>
      <c r="C522" s="3047">
        <v>27</v>
      </c>
      <c r="D522" s="3051" t="s">
        <v>3336</v>
      </c>
      <c r="E522" s="3052">
        <v>95.85</v>
      </c>
    </row>
    <row r="523" spans="1:5">
      <c r="A523" s="3047" t="s">
        <v>3100</v>
      </c>
      <c r="B523" s="3048" t="s">
        <v>3101</v>
      </c>
      <c r="C523" s="3047">
        <v>27</v>
      </c>
      <c r="D523" s="3051" t="s">
        <v>3337</v>
      </c>
      <c r="E523" s="3052">
        <v>152.29</v>
      </c>
    </row>
    <row r="524" spans="1:5">
      <c r="A524" s="3047" t="s">
        <v>3100</v>
      </c>
      <c r="B524" s="3048" t="s">
        <v>3101</v>
      </c>
      <c r="C524" s="3047">
        <v>27</v>
      </c>
      <c r="D524" s="3051" t="s">
        <v>3338</v>
      </c>
      <c r="E524" s="3052">
        <v>115.98</v>
      </c>
    </row>
    <row r="525" spans="1:5">
      <c r="A525" s="3047" t="s">
        <v>3100</v>
      </c>
      <c r="B525" s="3048" t="s">
        <v>3101</v>
      </c>
      <c r="C525" s="3047">
        <v>27</v>
      </c>
      <c r="D525" s="3051" t="s">
        <v>3339</v>
      </c>
      <c r="E525" s="3052">
        <v>95.85</v>
      </c>
    </row>
    <row r="526" spans="1:5">
      <c r="A526" s="3047" t="s">
        <v>3100</v>
      </c>
      <c r="B526" s="3048" t="s">
        <v>3101</v>
      </c>
      <c r="C526" s="3047">
        <v>27</v>
      </c>
      <c r="D526" s="3051" t="s">
        <v>3340</v>
      </c>
      <c r="E526" s="3052">
        <v>95.85</v>
      </c>
    </row>
    <row r="527" spans="1:5">
      <c r="A527" s="3047" t="s">
        <v>3100</v>
      </c>
      <c r="B527" s="3048" t="s">
        <v>3101</v>
      </c>
      <c r="C527" s="3047">
        <v>27</v>
      </c>
      <c r="D527" s="3051" t="s">
        <v>3341</v>
      </c>
      <c r="E527" s="3052">
        <v>152.29</v>
      </c>
    </row>
    <row r="528" spans="1:5">
      <c r="A528" s="3047" t="s">
        <v>3100</v>
      </c>
      <c r="B528" s="3048" t="s">
        <v>3101</v>
      </c>
      <c r="C528" s="3047">
        <v>27</v>
      </c>
      <c r="D528" s="3051" t="s">
        <v>3342</v>
      </c>
      <c r="E528" s="3052">
        <v>115.98</v>
      </c>
    </row>
    <row r="529" spans="1:5">
      <c r="A529" s="3047" t="s">
        <v>3100</v>
      </c>
      <c r="B529" s="3048" t="s">
        <v>3101</v>
      </c>
      <c r="C529" s="3047">
        <v>27</v>
      </c>
      <c r="D529" s="3051" t="s">
        <v>3343</v>
      </c>
      <c r="E529" s="3052">
        <v>95.85</v>
      </c>
    </row>
    <row r="530" spans="1:5">
      <c r="A530" s="3047" t="s">
        <v>3100</v>
      </c>
      <c r="B530" s="3048" t="s">
        <v>3101</v>
      </c>
      <c r="C530" s="3047">
        <v>27</v>
      </c>
      <c r="D530" s="3051" t="s">
        <v>3344</v>
      </c>
      <c r="E530" s="3052">
        <v>95.85</v>
      </c>
    </row>
    <row r="531" spans="1:5">
      <c r="A531" s="3047" t="s">
        <v>3100</v>
      </c>
      <c r="B531" s="3048" t="s">
        <v>3101</v>
      </c>
      <c r="C531" s="3047">
        <v>27</v>
      </c>
      <c r="D531" s="3051" t="s">
        <v>3345</v>
      </c>
      <c r="E531" s="3052">
        <v>152.29</v>
      </c>
    </row>
    <row r="532" spans="1:5">
      <c r="A532" s="3047" t="s">
        <v>3100</v>
      </c>
      <c r="B532" s="3048" t="s">
        <v>3101</v>
      </c>
      <c r="C532" s="3047">
        <v>27</v>
      </c>
      <c r="D532" s="3051" t="s">
        <v>3346</v>
      </c>
      <c r="E532" s="3052">
        <v>115.98</v>
      </c>
    </row>
    <row r="533" spans="1:5">
      <c r="A533" s="3047" t="s">
        <v>3100</v>
      </c>
      <c r="B533" s="3048" t="s">
        <v>3101</v>
      </c>
      <c r="C533" s="3047">
        <v>27</v>
      </c>
      <c r="D533" s="3051" t="s">
        <v>3347</v>
      </c>
      <c r="E533" s="3052">
        <v>95.85</v>
      </c>
    </row>
    <row r="534" spans="1:5">
      <c r="A534" s="3047" t="s">
        <v>3100</v>
      </c>
      <c r="B534" s="3048" t="s">
        <v>3101</v>
      </c>
      <c r="C534" s="3047">
        <v>27</v>
      </c>
      <c r="D534" s="3051" t="s">
        <v>3348</v>
      </c>
      <c r="E534" s="3052">
        <v>95.85</v>
      </c>
    </row>
    <row r="535" spans="1:5">
      <c r="A535" s="3047" t="s">
        <v>3100</v>
      </c>
      <c r="B535" s="3048" t="s">
        <v>3101</v>
      </c>
      <c r="C535" s="3047">
        <v>27</v>
      </c>
      <c r="D535" s="3051" t="s">
        <v>3349</v>
      </c>
      <c r="E535" s="3052">
        <v>152.29</v>
      </c>
    </row>
    <row r="536" spans="1:5">
      <c r="A536" s="3047" t="s">
        <v>3100</v>
      </c>
      <c r="B536" s="3048" t="s">
        <v>3101</v>
      </c>
      <c r="C536" s="3047">
        <v>27</v>
      </c>
      <c r="D536" s="3051" t="s">
        <v>3350</v>
      </c>
      <c r="E536" s="3052">
        <v>115.98</v>
      </c>
    </row>
    <row r="537" spans="1:5">
      <c r="A537" s="3047" t="s">
        <v>3100</v>
      </c>
      <c r="B537" s="3048" t="s">
        <v>3101</v>
      </c>
      <c r="C537" s="3047">
        <v>27</v>
      </c>
      <c r="D537" s="3051" t="s">
        <v>3351</v>
      </c>
      <c r="E537" s="3052">
        <v>95.85</v>
      </c>
    </row>
    <row r="538" spans="1:5">
      <c r="A538" s="3047" t="s">
        <v>3100</v>
      </c>
      <c r="B538" s="3048" t="s">
        <v>3101</v>
      </c>
      <c r="C538" s="3047">
        <v>27</v>
      </c>
      <c r="D538" s="3051" t="s">
        <v>3352</v>
      </c>
      <c r="E538" s="3052">
        <v>95.85</v>
      </c>
    </row>
    <row r="539" spans="1:5">
      <c r="A539" s="3047" t="s">
        <v>3100</v>
      </c>
      <c r="B539" s="3048" t="s">
        <v>3101</v>
      </c>
      <c r="C539" s="3047">
        <v>27</v>
      </c>
      <c r="D539" s="3051" t="s">
        <v>3353</v>
      </c>
      <c r="E539" s="3052">
        <v>152.29</v>
      </c>
    </row>
    <row r="540" spans="1:5">
      <c r="A540" s="3047" t="s">
        <v>3100</v>
      </c>
      <c r="B540" s="3048" t="s">
        <v>3101</v>
      </c>
      <c r="C540" s="3047">
        <v>27</v>
      </c>
      <c r="D540" s="3051" t="s">
        <v>3354</v>
      </c>
      <c r="E540" s="3052">
        <v>115.98</v>
      </c>
    </row>
    <row r="541" spans="1:5">
      <c r="A541" s="3047" t="s">
        <v>3100</v>
      </c>
      <c r="B541" s="3048" t="s">
        <v>3101</v>
      </c>
      <c r="C541" s="3047">
        <v>27</v>
      </c>
      <c r="D541" s="3051" t="s">
        <v>3355</v>
      </c>
      <c r="E541" s="3052">
        <v>95.85</v>
      </c>
    </row>
    <row r="542" spans="1:5">
      <c r="A542" s="3047" t="s">
        <v>3100</v>
      </c>
      <c r="B542" s="3048" t="s">
        <v>3101</v>
      </c>
      <c r="C542" s="3047">
        <v>27</v>
      </c>
      <c r="D542" s="3051" t="s">
        <v>3356</v>
      </c>
      <c r="E542" s="3052">
        <v>95.85</v>
      </c>
    </row>
    <row r="543" spans="1:5">
      <c r="A543" s="3047" t="s">
        <v>3100</v>
      </c>
      <c r="B543" s="3048" t="s">
        <v>3101</v>
      </c>
      <c r="C543" s="3047">
        <v>27</v>
      </c>
      <c r="D543" s="3051" t="s">
        <v>3357</v>
      </c>
      <c r="E543" s="3052">
        <v>152.29</v>
      </c>
    </row>
    <row r="544" spans="1:5">
      <c r="A544" s="3047" t="s">
        <v>3100</v>
      </c>
      <c r="B544" s="3048" t="s">
        <v>3101</v>
      </c>
      <c r="C544" s="3047">
        <v>27</v>
      </c>
      <c r="D544" s="3051" t="s">
        <v>3358</v>
      </c>
      <c r="E544" s="3052">
        <v>115.98</v>
      </c>
    </row>
    <row r="545" spans="1:5">
      <c r="A545" s="3047" t="s">
        <v>3100</v>
      </c>
      <c r="B545" s="3048" t="s">
        <v>3101</v>
      </c>
      <c r="C545" s="3047">
        <v>27</v>
      </c>
      <c r="D545" s="3051" t="s">
        <v>3359</v>
      </c>
      <c r="E545" s="3052">
        <v>95.85</v>
      </c>
    </row>
    <row r="546" spans="1:5">
      <c r="A546" s="3047" t="s">
        <v>3100</v>
      </c>
      <c r="B546" s="3048" t="s">
        <v>3101</v>
      </c>
      <c r="C546" s="3047">
        <v>27</v>
      </c>
      <c r="D546" s="3051" t="s">
        <v>3360</v>
      </c>
      <c r="E546" s="3052">
        <v>95.85</v>
      </c>
    </row>
    <row r="547" spans="1:5">
      <c r="A547" s="3047" t="s">
        <v>3100</v>
      </c>
      <c r="B547" s="3048" t="s">
        <v>3101</v>
      </c>
      <c r="C547" s="3047">
        <v>27</v>
      </c>
      <c r="D547" s="3051" t="s">
        <v>3361</v>
      </c>
      <c r="E547" s="3052">
        <v>152.29</v>
      </c>
    </row>
    <row r="548" spans="1:5">
      <c r="A548" s="3047" t="s">
        <v>3100</v>
      </c>
      <c r="B548" s="3048" t="s">
        <v>3101</v>
      </c>
      <c r="C548" s="3047">
        <v>27</v>
      </c>
      <c r="D548" s="3051" t="s">
        <v>3362</v>
      </c>
      <c r="E548" s="3052">
        <v>115.98</v>
      </c>
    </row>
    <row r="549" spans="1:5">
      <c r="A549" s="3047" t="s">
        <v>3100</v>
      </c>
      <c r="B549" s="3048" t="s">
        <v>3101</v>
      </c>
      <c r="C549" s="3047">
        <v>27</v>
      </c>
      <c r="D549" s="3051" t="s">
        <v>3363</v>
      </c>
      <c r="E549" s="3052">
        <v>95.85</v>
      </c>
    </row>
    <row r="550" spans="1:5">
      <c r="A550" s="3047" t="s">
        <v>3100</v>
      </c>
      <c r="B550" s="3048" t="s">
        <v>3101</v>
      </c>
      <c r="C550" s="3047">
        <v>27</v>
      </c>
      <c r="D550" s="3051" t="s">
        <v>3364</v>
      </c>
      <c r="E550" s="3052">
        <v>95.85</v>
      </c>
    </row>
    <row r="551" spans="1:5">
      <c r="A551" s="3047" t="s">
        <v>3100</v>
      </c>
      <c r="B551" s="3048" t="s">
        <v>3101</v>
      </c>
      <c r="C551" s="3047">
        <v>27</v>
      </c>
      <c r="D551" s="3051" t="s">
        <v>3365</v>
      </c>
      <c r="E551" s="3052">
        <v>152.29</v>
      </c>
    </row>
    <row r="552" spans="1:5">
      <c r="A552" s="3047" t="s">
        <v>3100</v>
      </c>
      <c r="B552" s="3048" t="s">
        <v>3101</v>
      </c>
      <c r="C552" s="3047">
        <v>27</v>
      </c>
      <c r="D552" s="3051" t="s">
        <v>3366</v>
      </c>
      <c r="E552" s="3052">
        <v>115.98</v>
      </c>
    </row>
    <row r="553" spans="1:5">
      <c r="A553" s="3047" t="s">
        <v>3100</v>
      </c>
      <c r="B553" s="3048" t="s">
        <v>3101</v>
      </c>
      <c r="C553" s="3047">
        <v>27</v>
      </c>
      <c r="D553" s="3051" t="s">
        <v>3367</v>
      </c>
      <c r="E553" s="3052">
        <v>95.85</v>
      </c>
    </row>
    <row r="554" spans="1:5">
      <c r="A554" s="3047" t="s">
        <v>3100</v>
      </c>
      <c r="B554" s="3048" t="s">
        <v>3101</v>
      </c>
      <c r="C554" s="3047">
        <v>27</v>
      </c>
      <c r="D554" s="3051" t="s">
        <v>3368</v>
      </c>
      <c r="E554" s="3052">
        <v>95.85</v>
      </c>
    </row>
    <row r="555" spans="1:5">
      <c r="A555" s="3047" t="s">
        <v>3100</v>
      </c>
      <c r="B555" s="3048" t="s">
        <v>3101</v>
      </c>
      <c r="C555" s="3047">
        <v>27</v>
      </c>
      <c r="D555" s="3051" t="s">
        <v>3369</v>
      </c>
      <c r="E555" s="3052">
        <v>152.29</v>
      </c>
    </row>
    <row r="556" spans="1:5">
      <c r="A556" s="3047" t="s">
        <v>3100</v>
      </c>
      <c r="B556" s="3048" t="s">
        <v>3101</v>
      </c>
      <c r="C556" s="3047">
        <v>27</v>
      </c>
      <c r="D556" s="3051" t="s">
        <v>3370</v>
      </c>
      <c r="E556" s="3052">
        <v>115.98</v>
      </c>
    </row>
    <row r="557" spans="1:5">
      <c r="A557" s="3047" t="s">
        <v>3100</v>
      </c>
      <c r="B557" s="3048" t="s">
        <v>3101</v>
      </c>
      <c r="C557" s="3047">
        <v>27</v>
      </c>
      <c r="D557" s="3051" t="s">
        <v>3371</v>
      </c>
      <c r="E557" s="3052">
        <v>95.85</v>
      </c>
    </row>
    <row r="558" spans="1:5">
      <c r="A558" s="3047" t="s">
        <v>3100</v>
      </c>
      <c r="B558" s="3048" t="s">
        <v>3101</v>
      </c>
      <c r="C558" s="3047">
        <v>27</v>
      </c>
      <c r="D558" s="3051" t="s">
        <v>3372</v>
      </c>
      <c r="E558" s="3052">
        <v>95.85</v>
      </c>
    </row>
    <row r="559" spans="1:5">
      <c r="A559" s="3047" t="s">
        <v>3100</v>
      </c>
      <c r="B559" s="3048" t="s">
        <v>3101</v>
      </c>
      <c r="C559" s="3047">
        <v>27</v>
      </c>
      <c r="D559" s="3051" t="s">
        <v>3373</v>
      </c>
      <c r="E559" s="3052">
        <v>152.29</v>
      </c>
    </row>
    <row r="560" spans="1:5">
      <c r="A560" s="3047" t="s">
        <v>3100</v>
      </c>
      <c r="B560" s="3048" t="s">
        <v>3101</v>
      </c>
      <c r="C560" s="3047">
        <v>27</v>
      </c>
      <c r="D560" s="3051" t="s">
        <v>3374</v>
      </c>
      <c r="E560" s="3052">
        <v>115.98</v>
      </c>
    </row>
    <row r="561" spans="1:5">
      <c r="A561" s="3047" t="s">
        <v>3100</v>
      </c>
      <c r="B561" s="3048" t="s">
        <v>3101</v>
      </c>
      <c r="C561" s="3047">
        <v>27</v>
      </c>
      <c r="D561" s="3051" t="s">
        <v>3375</v>
      </c>
      <c r="E561" s="3052">
        <v>95.85</v>
      </c>
    </row>
    <row r="562" spans="1:5">
      <c r="A562" s="3047" t="s">
        <v>3100</v>
      </c>
      <c r="B562" s="3048" t="s">
        <v>3101</v>
      </c>
      <c r="C562" s="3047">
        <v>27</v>
      </c>
      <c r="D562" s="3051" t="s">
        <v>3376</v>
      </c>
      <c r="E562" s="3052">
        <v>95.85</v>
      </c>
    </row>
    <row r="563" spans="1:5">
      <c r="A563" s="3047" t="s">
        <v>3100</v>
      </c>
      <c r="B563" s="3048" t="s">
        <v>3101</v>
      </c>
      <c r="C563" s="3047">
        <v>27</v>
      </c>
      <c r="D563" s="3051" t="s">
        <v>3377</v>
      </c>
      <c r="E563" s="3052">
        <v>152.29</v>
      </c>
    </row>
    <row r="564" spans="1:5">
      <c r="A564" s="3047" t="s">
        <v>3100</v>
      </c>
      <c r="B564" s="3048" t="s">
        <v>3101</v>
      </c>
      <c r="C564" s="3047">
        <v>27</v>
      </c>
      <c r="D564" s="3051" t="s">
        <v>3378</v>
      </c>
      <c r="E564" s="3052">
        <v>115.98</v>
      </c>
    </row>
    <row r="565" spans="1:5">
      <c r="A565" s="3047" t="s">
        <v>3100</v>
      </c>
      <c r="B565" s="3048" t="s">
        <v>3101</v>
      </c>
      <c r="C565" s="3047">
        <v>27</v>
      </c>
      <c r="D565" s="3051" t="s">
        <v>3379</v>
      </c>
      <c r="E565" s="3052">
        <v>95.85</v>
      </c>
    </row>
    <row r="566" spans="1:5">
      <c r="A566" s="3047" t="s">
        <v>3100</v>
      </c>
      <c r="B566" s="3048" t="s">
        <v>3101</v>
      </c>
      <c r="C566" s="3047">
        <v>27</v>
      </c>
      <c r="D566" s="3051" t="s">
        <v>3380</v>
      </c>
      <c r="E566" s="3052">
        <v>95.85</v>
      </c>
    </row>
    <row r="567" spans="1:5">
      <c r="A567" s="3047" t="s">
        <v>3100</v>
      </c>
      <c r="B567" s="3048" t="s">
        <v>3101</v>
      </c>
      <c r="C567" s="3047">
        <v>27</v>
      </c>
      <c r="D567" s="3051" t="s">
        <v>3381</v>
      </c>
      <c r="E567" s="3052">
        <v>152.29</v>
      </c>
    </row>
    <row r="568" spans="1:5">
      <c r="A568" s="3047" t="s">
        <v>3100</v>
      </c>
      <c r="B568" s="3048" t="s">
        <v>3101</v>
      </c>
      <c r="C568" s="3047">
        <v>27</v>
      </c>
      <c r="D568" s="3051" t="s">
        <v>3382</v>
      </c>
      <c r="E568" s="3052">
        <v>115.98</v>
      </c>
    </row>
    <row r="569" spans="1:5">
      <c r="A569" s="3047" t="s">
        <v>3100</v>
      </c>
      <c r="B569" s="3048" t="s">
        <v>3101</v>
      </c>
      <c r="C569" s="3047">
        <v>27</v>
      </c>
      <c r="D569" s="3051" t="s">
        <v>3383</v>
      </c>
      <c r="E569" s="3052">
        <v>95.85</v>
      </c>
    </row>
    <row r="570" spans="1:5">
      <c r="A570" s="3047" t="s">
        <v>3100</v>
      </c>
      <c r="B570" s="3048" t="s">
        <v>3101</v>
      </c>
      <c r="C570" s="3047">
        <v>27</v>
      </c>
      <c r="D570" s="3051" t="s">
        <v>3384</v>
      </c>
      <c r="E570" s="3052">
        <v>95.85</v>
      </c>
    </row>
    <row r="571" spans="1:5">
      <c r="A571" s="3047" t="s">
        <v>3100</v>
      </c>
      <c r="B571" s="3048" t="s">
        <v>3101</v>
      </c>
      <c r="C571" s="3047">
        <v>27</v>
      </c>
      <c r="D571" s="3051" t="s">
        <v>3385</v>
      </c>
      <c r="E571" s="3052">
        <v>152.29</v>
      </c>
    </row>
    <row r="572" spans="1:5">
      <c r="A572" s="3047" t="s">
        <v>3100</v>
      </c>
      <c r="B572" s="3048" t="s">
        <v>3101</v>
      </c>
      <c r="C572" s="3047">
        <v>27</v>
      </c>
      <c r="D572" s="3051" t="s">
        <v>3386</v>
      </c>
      <c r="E572" s="3052">
        <v>115.98</v>
      </c>
    </row>
    <row r="573" spans="1:5">
      <c r="A573" s="3047" t="s">
        <v>3100</v>
      </c>
      <c r="B573" s="3048" t="s">
        <v>3101</v>
      </c>
      <c r="C573" s="3047">
        <v>27</v>
      </c>
      <c r="D573" s="3051" t="s">
        <v>3387</v>
      </c>
      <c r="E573" s="3052">
        <v>96.24</v>
      </c>
    </row>
    <row r="574" spans="1:5">
      <c r="A574" s="3047" t="s">
        <v>3100</v>
      </c>
      <c r="B574" s="3048" t="s">
        <v>3101</v>
      </c>
      <c r="C574" s="3047">
        <v>27</v>
      </c>
      <c r="D574" s="3051" t="s">
        <v>3388</v>
      </c>
      <c r="E574" s="3052">
        <v>96.24</v>
      </c>
    </row>
    <row r="575" spans="1:5">
      <c r="A575" s="3047" t="s">
        <v>3100</v>
      </c>
      <c r="B575" s="3048" t="s">
        <v>3101</v>
      </c>
      <c r="C575" s="3047">
        <v>27</v>
      </c>
      <c r="D575" s="3051" t="s">
        <v>3389</v>
      </c>
      <c r="E575" s="3052">
        <v>152.56</v>
      </c>
    </row>
    <row r="576" spans="1:5">
      <c r="A576" s="3047" t="s">
        <v>3100</v>
      </c>
      <c r="B576" s="3048" t="s">
        <v>3101</v>
      </c>
      <c r="C576" s="3047">
        <v>27</v>
      </c>
      <c r="D576" s="3051" t="s">
        <v>3390</v>
      </c>
      <c r="E576" s="3052">
        <v>115.98</v>
      </c>
    </row>
    <row r="577" spans="1:5">
      <c r="A577" s="3047" t="s">
        <v>3100</v>
      </c>
      <c r="B577" s="3048" t="s">
        <v>3101</v>
      </c>
      <c r="C577" s="3047">
        <v>27</v>
      </c>
      <c r="D577" s="3051" t="s">
        <v>3391</v>
      </c>
      <c r="E577" s="3052">
        <v>96.24</v>
      </c>
    </row>
    <row r="578" spans="1:5">
      <c r="A578" s="3047" t="s">
        <v>3100</v>
      </c>
      <c r="B578" s="3048" t="s">
        <v>3101</v>
      </c>
      <c r="C578" s="3047">
        <v>27</v>
      </c>
      <c r="D578" s="3051" t="s">
        <v>3392</v>
      </c>
      <c r="E578" s="3052">
        <v>96.24</v>
      </c>
    </row>
    <row r="579" spans="1:5">
      <c r="A579" s="3047" t="s">
        <v>3100</v>
      </c>
      <c r="B579" s="3048" t="s">
        <v>3101</v>
      </c>
      <c r="C579" s="3047">
        <v>27</v>
      </c>
      <c r="D579" s="3051" t="s">
        <v>3393</v>
      </c>
      <c r="E579" s="3052">
        <v>152.56</v>
      </c>
    </row>
    <row r="580" spans="1:5">
      <c r="A580" s="3047" t="s">
        <v>3100</v>
      </c>
      <c r="B580" s="3048" t="s">
        <v>3101</v>
      </c>
      <c r="C580" s="3047">
        <v>27</v>
      </c>
      <c r="D580" s="3051" t="s">
        <v>3394</v>
      </c>
      <c r="E580" s="3052">
        <v>115.98</v>
      </c>
    </row>
    <row r="581" spans="1:5">
      <c r="A581" s="3047" t="s">
        <v>3100</v>
      </c>
      <c r="B581" s="3048" t="s">
        <v>3101</v>
      </c>
      <c r="C581" s="3047">
        <v>27</v>
      </c>
      <c r="D581" s="3051" t="s">
        <v>3395</v>
      </c>
      <c r="E581" s="3052">
        <v>96.24</v>
      </c>
    </row>
    <row r="582" spans="1:5">
      <c r="A582" s="3047" t="s">
        <v>3100</v>
      </c>
      <c r="B582" s="3048" t="s">
        <v>3101</v>
      </c>
      <c r="C582" s="3047">
        <v>27</v>
      </c>
      <c r="D582" s="3051" t="s">
        <v>3396</v>
      </c>
      <c r="E582" s="3052">
        <v>96.24</v>
      </c>
    </row>
    <row r="583" spans="1:5">
      <c r="A583" s="3047" t="s">
        <v>3100</v>
      </c>
      <c r="B583" s="3048" t="s">
        <v>3101</v>
      </c>
      <c r="C583" s="3047">
        <v>27</v>
      </c>
      <c r="D583" s="3051" t="s">
        <v>3397</v>
      </c>
      <c r="E583" s="3052">
        <v>152.56</v>
      </c>
    </row>
    <row r="584" spans="1:5">
      <c r="A584" s="3047" t="s">
        <v>3100</v>
      </c>
      <c r="B584" s="3048" t="s">
        <v>3101</v>
      </c>
      <c r="C584" s="3047">
        <v>27</v>
      </c>
      <c r="D584" s="3051" t="s">
        <v>3398</v>
      </c>
      <c r="E584" s="3052">
        <v>115.98</v>
      </c>
    </row>
    <row r="585" spans="1:5">
      <c r="A585" s="3047" t="s">
        <v>3100</v>
      </c>
      <c r="B585" s="3048" t="s">
        <v>3101</v>
      </c>
      <c r="C585" s="3047">
        <v>27</v>
      </c>
      <c r="D585" s="3051" t="s">
        <v>3399</v>
      </c>
      <c r="E585" s="3052">
        <v>96.24</v>
      </c>
    </row>
    <row r="586" spans="1:5">
      <c r="A586" s="3047" t="s">
        <v>3100</v>
      </c>
      <c r="B586" s="3048" t="s">
        <v>3101</v>
      </c>
      <c r="C586" s="3047">
        <v>27</v>
      </c>
      <c r="D586" s="3051" t="s">
        <v>3400</v>
      </c>
      <c r="E586" s="3052">
        <v>96.24</v>
      </c>
    </row>
    <row r="587" spans="1:5">
      <c r="A587" s="3047" t="s">
        <v>3100</v>
      </c>
      <c r="B587" s="3048" t="s">
        <v>3101</v>
      </c>
      <c r="C587" s="3047">
        <v>27</v>
      </c>
      <c r="D587" s="3051" t="s">
        <v>3401</v>
      </c>
      <c r="E587" s="3052">
        <v>152.56</v>
      </c>
    </row>
    <row r="588" spans="1:5">
      <c r="A588" s="3047" t="s">
        <v>3100</v>
      </c>
      <c r="B588" s="3048" t="s">
        <v>3101</v>
      </c>
      <c r="C588" s="3047">
        <v>27</v>
      </c>
      <c r="D588" s="3051" t="s">
        <v>3402</v>
      </c>
      <c r="E588" s="3052">
        <v>115.98</v>
      </c>
    </row>
    <row r="589" spans="1:5">
      <c r="A589" s="3047" t="s">
        <v>3100</v>
      </c>
      <c r="B589" s="3048" t="s">
        <v>3101</v>
      </c>
      <c r="C589" s="3047">
        <v>27</v>
      </c>
      <c r="D589" s="3051" t="s">
        <v>3403</v>
      </c>
      <c r="E589" s="3052">
        <v>96.24</v>
      </c>
    </row>
    <row r="590" spans="1:5">
      <c r="A590" s="3047" t="s">
        <v>3100</v>
      </c>
      <c r="B590" s="3048" t="s">
        <v>3101</v>
      </c>
      <c r="C590" s="3047">
        <v>27</v>
      </c>
      <c r="D590" s="3051" t="s">
        <v>3404</v>
      </c>
      <c r="E590" s="3052">
        <v>96.24</v>
      </c>
    </row>
    <row r="591" spans="1:5">
      <c r="A591" s="3047" t="s">
        <v>3100</v>
      </c>
      <c r="B591" s="3048" t="s">
        <v>3101</v>
      </c>
      <c r="C591" s="3047">
        <v>27</v>
      </c>
      <c r="D591" s="3051" t="s">
        <v>3405</v>
      </c>
      <c r="E591" s="3052">
        <v>152.56</v>
      </c>
    </row>
    <row r="592" spans="1:5">
      <c r="A592" s="3047" t="s">
        <v>3100</v>
      </c>
      <c r="B592" s="3048" t="s">
        <v>3101</v>
      </c>
      <c r="C592" s="3047">
        <v>27</v>
      </c>
      <c r="D592" s="3051" t="s">
        <v>3406</v>
      </c>
      <c r="E592" s="3052">
        <v>115.98</v>
      </c>
    </row>
    <row r="593" spans="1:5">
      <c r="A593" s="3047" t="s">
        <v>3100</v>
      </c>
      <c r="B593" s="3048" t="s">
        <v>3101</v>
      </c>
      <c r="C593" s="3047">
        <v>27</v>
      </c>
      <c r="D593" s="3051" t="s">
        <v>3407</v>
      </c>
      <c r="E593" s="3052">
        <v>96.24</v>
      </c>
    </row>
    <row r="594" spans="1:5">
      <c r="A594" s="3047" t="s">
        <v>3100</v>
      </c>
      <c r="B594" s="3048" t="s">
        <v>3101</v>
      </c>
      <c r="C594" s="3047">
        <v>27</v>
      </c>
      <c r="D594" s="3051" t="s">
        <v>3408</v>
      </c>
      <c r="E594" s="3052">
        <v>96.24</v>
      </c>
    </row>
    <row r="595" spans="1:5">
      <c r="A595" s="3047" t="s">
        <v>3100</v>
      </c>
      <c r="B595" s="3048" t="s">
        <v>3101</v>
      </c>
      <c r="C595" s="3047">
        <v>27</v>
      </c>
      <c r="D595" s="3051" t="s">
        <v>3409</v>
      </c>
      <c r="E595" s="3052">
        <v>152.56</v>
      </c>
    </row>
    <row r="596" spans="1:5">
      <c r="A596" s="3047" t="s">
        <v>3100</v>
      </c>
      <c r="B596" s="3048" t="s">
        <v>3101</v>
      </c>
      <c r="C596" s="3047">
        <v>27</v>
      </c>
      <c r="D596" s="3051" t="s">
        <v>3410</v>
      </c>
      <c r="E596" s="3052">
        <v>115.98</v>
      </c>
    </row>
    <row r="597" spans="1:5">
      <c r="A597" s="3047" t="s">
        <v>3100</v>
      </c>
      <c r="B597" s="3048" t="s">
        <v>3101</v>
      </c>
      <c r="C597" s="3047">
        <v>27</v>
      </c>
      <c r="D597" s="3051" t="s">
        <v>3411</v>
      </c>
      <c r="E597" s="3052">
        <v>96.24</v>
      </c>
    </row>
    <row r="598" spans="1:5">
      <c r="A598" s="3047" t="s">
        <v>3100</v>
      </c>
      <c r="B598" s="3048" t="s">
        <v>3101</v>
      </c>
      <c r="C598" s="3047">
        <v>27</v>
      </c>
      <c r="D598" s="3051" t="s">
        <v>3412</v>
      </c>
      <c r="E598" s="3052">
        <v>96.24</v>
      </c>
    </row>
    <row r="599" spans="1:5">
      <c r="A599" s="3047" t="s">
        <v>3100</v>
      </c>
      <c r="B599" s="3048" t="s">
        <v>3101</v>
      </c>
      <c r="C599" s="3047">
        <v>27</v>
      </c>
      <c r="D599" s="3051" t="s">
        <v>3413</v>
      </c>
      <c r="E599" s="3052">
        <v>152.56</v>
      </c>
    </row>
    <row r="600" spans="1:5">
      <c r="A600" s="3047" t="s">
        <v>3100</v>
      </c>
      <c r="B600" s="3048" t="s">
        <v>3101</v>
      </c>
      <c r="C600" s="3047">
        <v>27</v>
      </c>
      <c r="D600" s="3051" t="s">
        <v>3414</v>
      </c>
      <c r="E600" s="3052">
        <v>115.98</v>
      </c>
    </row>
    <row r="601" spans="1:5">
      <c r="A601" s="3047" t="s">
        <v>3100</v>
      </c>
      <c r="B601" s="3048" t="s">
        <v>3101</v>
      </c>
      <c r="C601" s="3047">
        <v>27</v>
      </c>
      <c r="D601" s="3051" t="s">
        <v>3415</v>
      </c>
      <c r="E601" s="3052">
        <v>96.24</v>
      </c>
    </row>
    <row r="602" spans="1:5">
      <c r="A602" s="3047" t="s">
        <v>3100</v>
      </c>
      <c r="B602" s="3048" t="s">
        <v>3101</v>
      </c>
      <c r="C602" s="3047">
        <v>27</v>
      </c>
      <c r="D602" s="3051" t="s">
        <v>3416</v>
      </c>
      <c r="E602" s="3052">
        <v>96.24</v>
      </c>
    </row>
    <row r="603" spans="1:5">
      <c r="A603" s="3047" t="s">
        <v>3100</v>
      </c>
      <c r="B603" s="3048" t="s">
        <v>3101</v>
      </c>
      <c r="C603" s="3047">
        <v>27</v>
      </c>
      <c r="D603" s="3051" t="s">
        <v>3417</v>
      </c>
      <c r="E603" s="3052">
        <v>152.56</v>
      </c>
    </row>
    <row r="604" spans="1:5">
      <c r="A604" s="3047" t="s">
        <v>3100</v>
      </c>
      <c r="B604" s="3048" t="s">
        <v>3101</v>
      </c>
      <c r="C604" s="3047">
        <v>27</v>
      </c>
      <c r="D604" s="3051" t="s">
        <v>3418</v>
      </c>
      <c r="E604" s="3052">
        <v>115.98</v>
      </c>
    </row>
    <row r="605" spans="1:5">
      <c r="A605" s="3047" t="s">
        <v>3100</v>
      </c>
      <c r="B605" s="3048" t="s">
        <v>3101</v>
      </c>
      <c r="C605" s="3047">
        <v>27</v>
      </c>
      <c r="D605" s="3051" t="s">
        <v>3419</v>
      </c>
      <c r="E605" s="3052">
        <v>96.24</v>
      </c>
    </row>
    <row r="606" spans="1:5">
      <c r="A606" s="3047" t="s">
        <v>3100</v>
      </c>
      <c r="B606" s="3048" t="s">
        <v>3101</v>
      </c>
      <c r="C606" s="3047">
        <v>27</v>
      </c>
      <c r="D606" s="3051" t="s">
        <v>3420</v>
      </c>
      <c r="E606" s="3052">
        <v>96.24</v>
      </c>
    </row>
    <row r="607" spans="1:5">
      <c r="A607" s="3047" t="s">
        <v>3100</v>
      </c>
      <c r="B607" s="3048" t="s">
        <v>3101</v>
      </c>
      <c r="C607" s="3047">
        <v>27</v>
      </c>
      <c r="D607" s="3051" t="s">
        <v>3421</v>
      </c>
      <c r="E607" s="3052">
        <v>152.56</v>
      </c>
    </row>
    <row r="608" spans="1:5">
      <c r="A608" s="3047" t="s">
        <v>3100</v>
      </c>
      <c r="B608" s="3048" t="s">
        <v>3101</v>
      </c>
      <c r="C608" s="3047">
        <v>27</v>
      </c>
      <c r="D608" s="3051" t="s">
        <v>3422</v>
      </c>
      <c r="E608" s="3052">
        <v>115.98</v>
      </c>
    </row>
    <row r="609" spans="1:5">
      <c r="A609" s="3047" t="s">
        <v>3100</v>
      </c>
      <c r="B609" s="3048" t="s">
        <v>3101</v>
      </c>
      <c r="C609" s="3047">
        <v>27</v>
      </c>
      <c r="D609" s="3051" t="s">
        <v>3423</v>
      </c>
      <c r="E609" s="3052">
        <v>96.24</v>
      </c>
    </row>
    <row r="610" spans="1:5">
      <c r="A610" s="3047" t="s">
        <v>3100</v>
      </c>
      <c r="B610" s="3048" t="s">
        <v>3101</v>
      </c>
      <c r="C610" s="3047">
        <v>27</v>
      </c>
      <c r="D610" s="3051" t="s">
        <v>3424</v>
      </c>
      <c r="E610" s="3052">
        <v>96.24</v>
      </c>
    </row>
    <row r="611" spans="1:5">
      <c r="A611" s="3047" t="s">
        <v>3100</v>
      </c>
      <c r="B611" s="3048" t="s">
        <v>3101</v>
      </c>
      <c r="C611" s="3047">
        <v>27</v>
      </c>
      <c r="D611" s="3051" t="s">
        <v>3425</v>
      </c>
      <c r="E611" s="3052">
        <v>152.56</v>
      </c>
    </row>
    <row r="612" spans="1:5">
      <c r="A612" s="3047" t="s">
        <v>3100</v>
      </c>
      <c r="B612" s="3048" t="s">
        <v>3101</v>
      </c>
      <c r="C612" s="3047">
        <v>27</v>
      </c>
      <c r="D612" s="3051" t="s">
        <v>3426</v>
      </c>
      <c r="E612" s="3052">
        <v>115.98</v>
      </c>
    </row>
    <row r="613" spans="1:5">
      <c r="A613" s="3047" t="s">
        <v>3100</v>
      </c>
      <c r="B613" s="3048" t="s">
        <v>3101</v>
      </c>
      <c r="C613" s="3047">
        <v>27</v>
      </c>
      <c r="D613" s="3051" t="s">
        <v>3427</v>
      </c>
      <c r="E613" s="3052">
        <v>96.24</v>
      </c>
    </row>
    <row r="614" spans="1:5">
      <c r="A614" s="3047" t="s">
        <v>3100</v>
      </c>
      <c r="B614" s="3048" t="s">
        <v>3101</v>
      </c>
      <c r="C614" s="3047">
        <v>27</v>
      </c>
      <c r="D614" s="3051" t="s">
        <v>3428</v>
      </c>
      <c r="E614" s="3052">
        <v>96.24</v>
      </c>
    </row>
    <row r="615" spans="1:5">
      <c r="A615" s="3047" t="s">
        <v>3100</v>
      </c>
      <c r="B615" s="3048" t="s">
        <v>3101</v>
      </c>
      <c r="C615" s="3047">
        <v>27</v>
      </c>
      <c r="D615" s="3051" t="s">
        <v>3429</v>
      </c>
      <c r="E615" s="3052">
        <v>152.56</v>
      </c>
    </row>
    <row r="616" spans="1:5">
      <c r="A616" s="3047" t="s">
        <v>3100</v>
      </c>
      <c r="B616" s="3048" t="s">
        <v>3101</v>
      </c>
      <c r="C616" s="3047">
        <v>27</v>
      </c>
      <c r="D616" s="3051" t="s">
        <v>3430</v>
      </c>
      <c r="E616" s="3052">
        <v>116.23</v>
      </c>
    </row>
    <row r="617" spans="1:5">
      <c r="A617" s="3047" t="s">
        <v>3100</v>
      </c>
      <c r="B617" s="3048" t="s">
        <v>3101</v>
      </c>
      <c r="C617" s="3047">
        <v>27</v>
      </c>
      <c r="D617" s="3051" t="s">
        <v>3431</v>
      </c>
      <c r="E617" s="3052">
        <v>96.63</v>
      </c>
    </row>
    <row r="618" spans="1:5">
      <c r="A618" s="3047" t="s">
        <v>3100</v>
      </c>
      <c r="B618" s="3048" t="s">
        <v>3101</v>
      </c>
      <c r="C618" s="3047">
        <v>27</v>
      </c>
      <c r="D618" s="3051" t="s">
        <v>3432</v>
      </c>
      <c r="E618" s="3052">
        <v>96.63</v>
      </c>
    </row>
    <row r="619" spans="1:5">
      <c r="A619" s="3047" t="s">
        <v>3100</v>
      </c>
      <c r="B619" s="3048" t="s">
        <v>3101</v>
      </c>
      <c r="C619" s="3047">
        <v>27</v>
      </c>
      <c r="D619" s="3051" t="s">
        <v>3433</v>
      </c>
      <c r="E619" s="3052">
        <v>153.22</v>
      </c>
    </row>
    <row r="620" spans="1:5">
      <c r="A620" s="3047" t="s">
        <v>3100</v>
      </c>
      <c r="B620" s="3048" t="s">
        <v>3101</v>
      </c>
      <c r="C620" s="3047">
        <v>27</v>
      </c>
      <c r="D620" s="3051" t="s">
        <v>3434</v>
      </c>
      <c r="E620" s="3052">
        <v>116.23</v>
      </c>
    </row>
    <row r="621" spans="1:5">
      <c r="A621" s="3047" t="s">
        <v>3100</v>
      </c>
      <c r="B621" s="3048" t="s">
        <v>3101</v>
      </c>
      <c r="C621" s="3047">
        <v>27</v>
      </c>
      <c r="D621" s="3051" t="s">
        <v>3435</v>
      </c>
      <c r="E621" s="3052">
        <v>96.63</v>
      </c>
    </row>
    <row r="622" spans="1:5">
      <c r="A622" s="3047" t="s">
        <v>3100</v>
      </c>
      <c r="B622" s="3048" t="s">
        <v>3101</v>
      </c>
      <c r="C622" s="3047">
        <v>27</v>
      </c>
      <c r="D622" s="3051" t="s">
        <v>3436</v>
      </c>
      <c r="E622" s="3052">
        <v>96.63</v>
      </c>
    </row>
    <row r="623" spans="1:5">
      <c r="A623" s="3047" t="s">
        <v>3100</v>
      </c>
      <c r="B623" s="3048" t="s">
        <v>3101</v>
      </c>
      <c r="C623" s="3047">
        <v>27</v>
      </c>
      <c r="D623" s="3051" t="s">
        <v>3437</v>
      </c>
      <c r="E623" s="3052">
        <v>153.22</v>
      </c>
    </row>
    <row r="624" spans="1:5">
      <c r="A624" s="3047" t="s">
        <v>3100</v>
      </c>
      <c r="B624" s="3048" t="s">
        <v>3101</v>
      </c>
      <c r="C624" s="3047">
        <v>27</v>
      </c>
      <c r="D624" s="3051" t="s">
        <v>3438</v>
      </c>
      <c r="E624" s="3052">
        <v>116.23</v>
      </c>
    </row>
    <row r="625" spans="1:5">
      <c r="A625" s="3047" t="s">
        <v>3100</v>
      </c>
      <c r="B625" s="3048" t="s">
        <v>3101</v>
      </c>
      <c r="C625" s="3047">
        <v>27</v>
      </c>
      <c r="D625" s="3051" t="s">
        <v>3439</v>
      </c>
      <c r="E625" s="3052">
        <v>96.63</v>
      </c>
    </row>
    <row r="626" spans="1:5">
      <c r="A626" s="3047" t="s">
        <v>3100</v>
      </c>
      <c r="B626" s="3048" t="s">
        <v>3101</v>
      </c>
      <c r="C626" s="3047">
        <v>27</v>
      </c>
      <c r="D626" s="3051" t="s">
        <v>3440</v>
      </c>
      <c r="E626" s="3052">
        <v>96.63</v>
      </c>
    </row>
    <row r="627" spans="1:5">
      <c r="A627" s="3047" t="s">
        <v>3100</v>
      </c>
      <c r="B627" s="3048" t="s">
        <v>3101</v>
      </c>
      <c r="C627" s="3047">
        <v>27</v>
      </c>
      <c r="D627" s="3051" t="s">
        <v>3441</v>
      </c>
      <c r="E627" s="3052">
        <v>153.22</v>
      </c>
    </row>
    <row r="628" spans="1:5">
      <c r="A628" s="3047" t="s">
        <v>3100</v>
      </c>
      <c r="B628" s="3048" t="s">
        <v>3101</v>
      </c>
      <c r="C628" s="3047">
        <v>27</v>
      </c>
      <c r="D628" s="3051" t="s">
        <v>3442</v>
      </c>
      <c r="E628" s="3052">
        <v>116.23</v>
      </c>
    </row>
    <row r="629" spans="1:5">
      <c r="A629" s="3047" t="s">
        <v>3100</v>
      </c>
      <c r="B629" s="3048" t="s">
        <v>3101</v>
      </c>
      <c r="C629" s="3047">
        <v>27</v>
      </c>
      <c r="D629" s="3051" t="s">
        <v>3443</v>
      </c>
      <c r="E629" s="3052">
        <v>96.63</v>
      </c>
    </row>
    <row r="630" spans="1:5">
      <c r="A630" s="3047" t="s">
        <v>3100</v>
      </c>
      <c r="B630" s="3048" t="s">
        <v>3101</v>
      </c>
      <c r="C630" s="3047">
        <v>27</v>
      </c>
      <c r="D630" s="3051" t="s">
        <v>3444</v>
      </c>
      <c r="E630" s="3052">
        <v>96.63</v>
      </c>
    </row>
    <row r="631" spans="1:5">
      <c r="A631" s="3047" t="s">
        <v>3100</v>
      </c>
      <c r="B631" s="3048" t="s">
        <v>3101</v>
      </c>
      <c r="C631" s="3047">
        <v>27</v>
      </c>
      <c r="D631" s="3051" t="s">
        <v>3445</v>
      </c>
      <c r="E631" s="3052">
        <v>153.22</v>
      </c>
    </row>
    <row r="632" spans="1:5">
      <c r="A632" s="3047" t="s">
        <v>3100</v>
      </c>
      <c r="B632" s="3048" t="s">
        <v>3101</v>
      </c>
      <c r="C632" s="3047">
        <v>27</v>
      </c>
      <c r="D632" s="3051" t="s">
        <v>3446</v>
      </c>
      <c r="E632" s="3052">
        <v>116.23</v>
      </c>
    </row>
    <row r="633" spans="1:5">
      <c r="A633" s="3047" t="s">
        <v>3100</v>
      </c>
      <c r="B633" s="3048" t="s">
        <v>3101</v>
      </c>
      <c r="C633" s="3047">
        <v>27</v>
      </c>
      <c r="D633" s="3051" t="s">
        <v>3447</v>
      </c>
      <c r="E633" s="3052">
        <v>96.63</v>
      </c>
    </row>
    <row r="634" spans="1:5">
      <c r="A634" s="3047" t="s">
        <v>3100</v>
      </c>
      <c r="B634" s="3048" t="s">
        <v>3101</v>
      </c>
      <c r="C634" s="3047">
        <v>27</v>
      </c>
      <c r="D634" s="3051" t="s">
        <v>3448</v>
      </c>
      <c r="E634" s="3052">
        <v>96.63</v>
      </c>
    </row>
    <row r="635" spans="1:5">
      <c r="A635" s="3047" t="s">
        <v>3100</v>
      </c>
      <c r="B635" s="3048" t="s">
        <v>3101</v>
      </c>
      <c r="C635" s="3047">
        <v>27</v>
      </c>
      <c r="D635" s="3051" t="s">
        <v>3449</v>
      </c>
      <c r="E635" s="3052">
        <v>153.22</v>
      </c>
    </row>
    <row r="636" spans="1:5">
      <c r="A636" s="3047" t="s">
        <v>3100</v>
      </c>
      <c r="B636" s="3048" t="s">
        <v>3101</v>
      </c>
      <c r="C636" s="3047">
        <v>27</v>
      </c>
      <c r="D636" s="3051" t="s">
        <v>3450</v>
      </c>
      <c r="E636" s="3052">
        <v>116.23</v>
      </c>
    </row>
    <row r="637" spans="1:5">
      <c r="A637" s="3047" t="s">
        <v>3100</v>
      </c>
      <c r="B637" s="3048" t="s">
        <v>3101</v>
      </c>
      <c r="C637" s="3047">
        <v>27</v>
      </c>
      <c r="D637" s="3051" t="s">
        <v>3451</v>
      </c>
      <c r="E637" s="3052">
        <v>96.63</v>
      </c>
    </row>
    <row r="638" spans="1:5">
      <c r="A638" s="3047" t="s">
        <v>3100</v>
      </c>
      <c r="B638" s="3048" t="s">
        <v>3101</v>
      </c>
      <c r="C638" s="3047">
        <v>27</v>
      </c>
      <c r="D638" s="3051" t="s">
        <v>3452</v>
      </c>
      <c r="E638" s="3052">
        <v>96.63</v>
      </c>
    </row>
    <row r="639" spans="1:5">
      <c r="A639" s="3047" t="s">
        <v>3100</v>
      </c>
      <c r="B639" s="3048" t="s">
        <v>3101</v>
      </c>
      <c r="C639" s="3047">
        <v>27</v>
      </c>
      <c r="D639" s="3051" t="s">
        <v>3453</v>
      </c>
      <c r="E639" s="3052">
        <v>153.22</v>
      </c>
    </row>
    <row r="640" spans="1:5">
      <c r="A640" s="3047" t="s">
        <v>3100</v>
      </c>
      <c r="B640" s="3048" t="s">
        <v>3101</v>
      </c>
      <c r="C640" s="3047">
        <v>28</v>
      </c>
      <c r="D640" s="3051" t="s">
        <v>3454</v>
      </c>
      <c r="E640" s="3052">
        <v>116.08</v>
      </c>
    </row>
    <row r="641" spans="1:5">
      <c r="A641" s="3047" t="s">
        <v>3100</v>
      </c>
      <c r="B641" s="3048" t="s">
        <v>3101</v>
      </c>
      <c r="C641" s="3047">
        <v>28</v>
      </c>
      <c r="D641" s="3051" t="s">
        <v>3455</v>
      </c>
      <c r="E641" s="3052">
        <v>95.93</v>
      </c>
    </row>
    <row r="642" spans="1:5">
      <c r="A642" s="3047" t="s">
        <v>3100</v>
      </c>
      <c r="B642" s="3048" t="s">
        <v>3101</v>
      </c>
      <c r="C642" s="3047">
        <v>28</v>
      </c>
      <c r="D642" s="3051" t="s">
        <v>3456</v>
      </c>
      <c r="E642" s="3052">
        <v>95.93</v>
      </c>
    </row>
    <row r="643" spans="1:5">
      <c r="A643" s="3047" t="s">
        <v>3100</v>
      </c>
      <c r="B643" s="3048" t="s">
        <v>3101</v>
      </c>
      <c r="C643" s="3047">
        <v>28</v>
      </c>
      <c r="D643" s="3051" t="s">
        <v>3457</v>
      </c>
      <c r="E643" s="3052">
        <v>132</v>
      </c>
    </row>
    <row r="644" spans="1:5">
      <c r="A644" s="3047" t="s">
        <v>3100</v>
      </c>
      <c r="B644" s="3048" t="s">
        <v>3101</v>
      </c>
      <c r="C644" s="3047">
        <v>28</v>
      </c>
      <c r="D644" s="3051" t="s">
        <v>3458</v>
      </c>
      <c r="E644" s="3052">
        <v>116.08</v>
      </c>
    </row>
    <row r="645" spans="1:5">
      <c r="A645" s="3047" t="s">
        <v>3100</v>
      </c>
      <c r="B645" s="3048" t="s">
        <v>3101</v>
      </c>
      <c r="C645" s="3047">
        <v>28</v>
      </c>
      <c r="D645" s="3051" t="s">
        <v>3459</v>
      </c>
      <c r="E645" s="3052">
        <v>95.93</v>
      </c>
    </row>
    <row r="646" spans="1:5">
      <c r="A646" s="3047" t="s">
        <v>3100</v>
      </c>
      <c r="B646" s="3048" t="s">
        <v>3101</v>
      </c>
      <c r="C646" s="3047">
        <v>28</v>
      </c>
      <c r="D646" s="3051" t="s">
        <v>3460</v>
      </c>
      <c r="E646" s="3052">
        <v>95.93</v>
      </c>
    </row>
    <row r="647" spans="1:5">
      <c r="A647" s="3047" t="s">
        <v>3100</v>
      </c>
      <c r="B647" s="3048" t="s">
        <v>3101</v>
      </c>
      <c r="C647" s="3047">
        <v>28</v>
      </c>
      <c r="D647" s="3051" t="s">
        <v>3461</v>
      </c>
      <c r="E647" s="3052">
        <v>132</v>
      </c>
    </row>
    <row r="648" spans="1:5">
      <c r="A648" s="3047" t="s">
        <v>3100</v>
      </c>
      <c r="B648" s="3048" t="s">
        <v>3101</v>
      </c>
      <c r="C648" s="3047">
        <v>28</v>
      </c>
      <c r="D648" s="3051" t="s">
        <v>3462</v>
      </c>
      <c r="E648" s="3052">
        <v>116.08</v>
      </c>
    </row>
    <row r="649" spans="1:5">
      <c r="A649" s="3047" t="s">
        <v>3100</v>
      </c>
      <c r="B649" s="3048" t="s">
        <v>3101</v>
      </c>
      <c r="C649" s="3047">
        <v>28</v>
      </c>
      <c r="D649" s="3051" t="s">
        <v>3463</v>
      </c>
      <c r="E649" s="3052">
        <v>95.93</v>
      </c>
    </row>
    <row r="650" spans="1:5">
      <c r="A650" s="3047" t="s">
        <v>3100</v>
      </c>
      <c r="B650" s="3048" t="s">
        <v>3101</v>
      </c>
      <c r="C650" s="3047">
        <v>28</v>
      </c>
      <c r="D650" s="3051" t="s">
        <v>3464</v>
      </c>
      <c r="E650" s="3052">
        <v>95.93</v>
      </c>
    </row>
    <row r="651" spans="1:5">
      <c r="A651" s="3047" t="s">
        <v>3100</v>
      </c>
      <c r="B651" s="3048" t="s">
        <v>3101</v>
      </c>
      <c r="C651" s="3047">
        <v>28</v>
      </c>
      <c r="D651" s="3051" t="s">
        <v>3465</v>
      </c>
      <c r="E651" s="3052">
        <v>132</v>
      </c>
    </row>
    <row r="652" spans="1:5">
      <c r="A652" s="3047" t="s">
        <v>3100</v>
      </c>
      <c r="B652" s="3048" t="s">
        <v>3101</v>
      </c>
      <c r="C652" s="3047">
        <v>28</v>
      </c>
      <c r="D652" s="3051" t="s">
        <v>3466</v>
      </c>
      <c r="E652" s="3052">
        <v>116.08</v>
      </c>
    </row>
    <row r="653" spans="1:5">
      <c r="A653" s="3047" t="s">
        <v>3100</v>
      </c>
      <c r="B653" s="3048" t="s">
        <v>3101</v>
      </c>
      <c r="C653" s="3047">
        <v>28</v>
      </c>
      <c r="D653" s="3051" t="s">
        <v>3467</v>
      </c>
      <c r="E653" s="3052">
        <v>95.93</v>
      </c>
    </row>
    <row r="654" spans="1:5">
      <c r="A654" s="3047" t="s">
        <v>3100</v>
      </c>
      <c r="B654" s="3048" t="s">
        <v>3101</v>
      </c>
      <c r="C654" s="3047">
        <v>28</v>
      </c>
      <c r="D654" s="3051" t="s">
        <v>3468</v>
      </c>
      <c r="E654" s="3052">
        <v>95.93</v>
      </c>
    </row>
    <row r="655" spans="1:5">
      <c r="A655" s="3047" t="s">
        <v>3100</v>
      </c>
      <c r="B655" s="3048" t="s">
        <v>3101</v>
      </c>
      <c r="C655" s="3047">
        <v>28</v>
      </c>
      <c r="D655" s="3051" t="s">
        <v>3469</v>
      </c>
      <c r="E655" s="3052">
        <v>132</v>
      </c>
    </row>
    <row r="656" spans="1:5">
      <c r="A656" s="3047" t="s">
        <v>3100</v>
      </c>
      <c r="B656" s="3048" t="s">
        <v>3101</v>
      </c>
      <c r="C656" s="3047">
        <v>28</v>
      </c>
      <c r="D656" s="3051" t="s">
        <v>3470</v>
      </c>
      <c r="E656" s="3052">
        <v>116.08</v>
      </c>
    </row>
    <row r="657" spans="1:5">
      <c r="A657" s="3047" t="s">
        <v>3100</v>
      </c>
      <c r="B657" s="3048" t="s">
        <v>3101</v>
      </c>
      <c r="C657" s="3047">
        <v>28</v>
      </c>
      <c r="D657" s="3051" t="s">
        <v>3471</v>
      </c>
      <c r="E657" s="3052">
        <v>95.93</v>
      </c>
    </row>
    <row r="658" spans="1:5">
      <c r="A658" s="3047" t="s">
        <v>3100</v>
      </c>
      <c r="B658" s="3048" t="s">
        <v>3101</v>
      </c>
      <c r="C658" s="3047">
        <v>28</v>
      </c>
      <c r="D658" s="3051" t="s">
        <v>3472</v>
      </c>
      <c r="E658" s="3052">
        <v>95.93</v>
      </c>
    </row>
    <row r="659" spans="1:5">
      <c r="A659" s="3047" t="s">
        <v>3100</v>
      </c>
      <c r="B659" s="3048" t="s">
        <v>3101</v>
      </c>
      <c r="C659" s="3047">
        <v>28</v>
      </c>
      <c r="D659" s="3051" t="s">
        <v>3473</v>
      </c>
      <c r="E659" s="3052">
        <v>132</v>
      </c>
    </row>
    <row r="660" spans="1:5">
      <c r="A660" s="3047" t="s">
        <v>3100</v>
      </c>
      <c r="B660" s="3048" t="s">
        <v>3101</v>
      </c>
      <c r="C660" s="3047">
        <v>28</v>
      </c>
      <c r="D660" s="3051" t="s">
        <v>3474</v>
      </c>
      <c r="E660" s="3052">
        <v>116.08</v>
      </c>
    </row>
    <row r="661" spans="1:5">
      <c r="A661" s="3047" t="s">
        <v>3100</v>
      </c>
      <c r="B661" s="3048" t="s">
        <v>3101</v>
      </c>
      <c r="C661" s="3047">
        <v>28</v>
      </c>
      <c r="D661" s="3051" t="s">
        <v>3475</v>
      </c>
      <c r="E661" s="3052">
        <v>95.93</v>
      </c>
    </row>
    <row r="662" spans="1:5">
      <c r="A662" s="3047" t="s">
        <v>3100</v>
      </c>
      <c r="B662" s="3048" t="s">
        <v>3101</v>
      </c>
      <c r="C662" s="3047">
        <v>28</v>
      </c>
      <c r="D662" s="3051" t="s">
        <v>3476</v>
      </c>
      <c r="E662" s="3052">
        <v>95.93</v>
      </c>
    </row>
    <row r="663" spans="1:5">
      <c r="A663" s="3047" t="s">
        <v>3100</v>
      </c>
      <c r="B663" s="3048" t="s">
        <v>3101</v>
      </c>
      <c r="C663" s="3047">
        <v>28</v>
      </c>
      <c r="D663" s="3051" t="s">
        <v>3477</v>
      </c>
      <c r="E663" s="3052">
        <v>132</v>
      </c>
    </row>
    <row r="664" spans="1:5">
      <c r="A664" s="3047" t="s">
        <v>3100</v>
      </c>
      <c r="B664" s="3048" t="s">
        <v>3101</v>
      </c>
      <c r="C664" s="3047">
        <v>28</v>
      </c>
      <c r="D664" s="3051" t="s">
        <v>3478</v>
      </c>
      <c r="E664" s="3052">
        <v>116.08</v>
      </c>
    </row>
    <row r="665" spans="1:5">
      <c r="A665" s="3047" t="s">
        <v>3100</v>
      </c>
      <c r="B665" s="3048" t="s">
        <v>3101</v>
      </c>
      <c r="C665" s="3047">
        <v>28</v>
      </c>
      <c r="D665" s="3051" t="s">
        <v>3479</v>
      </c>
      <c r="E665" s="3052">
        <v>95.93</v>
      </c>
    </row>
    <row r="666" spans="1:5">
      <c r="A666" s="3047" t="s">
        <v>3100</v>
      </c>
      <c r="B666" s="3048" t="s">
        <v>3101</v>
      </c>
      <c r="C666" s="3047">
        <v>28</v>
      </c>
      <c r="D666" s="3051" t="s">
        <v>3480</v>
      </c>
      <c r="E666" s="3052">
        <v>95.93</v>
      </c>
    </row>
    <row r="667" spans="1:5">
      <c r="A667" s="3047" t="s">
        <v>3100</v>
      </c>
      <c r="B667" s="3048" t="s">
        <v>3101</v>
      </c>
      <c r="C667" s="3047">
        <v>28</v>
      </c>
      <c r="D667" s="3051" t="s">
        <v>3481</v>
      </c>
      <c r="E667" s="3052">
        <v>132</v>
      </c>
    </row>
    <row r="668" spans="1:5">
      <c r="A668" s="3047" t="s">
        <v>3100</v>
      </c>
      <c r="B668" s="3048" t="s">
        <v>3101</v>
      </c>
      <c r="C668" s="3047">
        <v>28</v>
      </c>
      <c r="D668" s="3051" t="s">
        <v>3482</v>
      </c>
      <c r="E668" s="3052">
        <v>116.08</v>
      </c>
    </row>
    <row r="669" spans="1:5">
      <c r="A669" s="3047" t="s">
        <v>3100</v>
      </c>
      <c r="B669" s="3048" t="s">
        <v>3101</v>
      </c>
      <c r="C669" s="3047">
        <v>28</v>
      </c>
      <c r="D669" s="3051" t="s">
        <v>3483</v>
      </c>
      <c r="E669" s="3052">
        <v>95.93</v>
      </c>
    </row>
    <row r="670" spans="1:5">
      <c r="A670" s="3047" t="s">
        <v>3100</v>
      </c>
      <c r="B670" s="3048" t="s">
        <v>3101</v>
      </c>
      <c r="C670" s="3047">
        <v>28</v>
      </c>
      <c r="D670" s="3051" t="s">
        <v>3484</v>
      </c>
      <c r="E670" s="3052">
        <v>95.93</v>
      </c>
    </row>
    <row r="671" spans="1:5">
      <c r="A671" s="3047" t="s">
        <v>3100</v>
      </c>
      <c r="B671" s="3048" t="s">
        <v>3101</v>
      </c>
      <c r="C671" s="3047">
        <v>28</v>
      </c>
      <c r="D671" s="3051" t="s">
        <v>3485</v>
      </c>
      <c r="E671" s="3052">
        <v>132</v>
      </c>
    </row>
    <row r="672" spans="1:5">
      <c r="A672" s="3047" t="s">
        <v>3100</v>
      </c>
      <c r="B672" s="3048" t="s">
        <v>3101</v>
      </c>
      <c r="C672" s="3047">
        <v>28</v>
      </c>
      <c r="D672" s="3051" t="s">
        <v>3486</v>
      </c>
      <c r="E672" s="3052">
        <v>116.08</v>
      </c>
    </row>
    <row r="673" spans="1:5">
      <c r="A673" s="3047" t="s">
        <v>3100</v>
      </c>
      <c r="B673" s="3048" t="s">
        <v>3101</v>
      </c>
      <c r="C673" s="3047">
        <v>28</v>
      </c>
      <c r="D673" s="3051" t="s">
        <v>3487</v>
      </c>
      <c r="E673" s="3052">
        <v>95.93</v>
      </c>
    </row>
    <row r="674" spans="1:5">
      <c r="A674" s="3047" t="s">
        <v>3100</v>
      </c>
      <c r="B674" s="3048" t="s">
        <v>3101</v>
      </c>
      <c r="C674" s="3047">
        <v>28</v>
      </c>
      <c r="D674" s="3051" t="s">
        <v>3488</v>
      </c>
      <c r="E674" s="3052">
        <v>95.93</v>
      </c>
    </row>
    <row r="675" spans="1:5">
      <c r="A675" s="3047" t="s">
        <v>3100</v>
      </c>
      <c r="B675" s="3048" t="s">
        <v>3101</v>
      </c>
      <c r="C675" s="3047">
        <v>28</v>
      </c>
      <c r="D675" s="3051" t="s">
        <v>3489</v>
      </c>
      <c r="E675" s="3052">
        <v>132</v>
      </c>
    </row>
    <row r="676" spans="1:5">
      <c r="A676" s="3047" t="s">
        <v>3100</v>
      </c>
      <c r="B676" s="3048" t="s">
        <v>3101</v>
      </c>
      <c r="C676" s="3047">
        <v>28</v>
      </c>
      <c r="D676" s="3051" t="s">
        <v>3490</v>
      </c>
      <c r="E676" s="3052">
        <v>116.08</v>
      </c>
    </row>
    <row r="677" spans="1:5">
      <c r="A677" s="3047" t="s">
        <v>3100</v>
      </c>
      <c r="B677" s="3048" t="s">
        <v>3101</v>
      </c>
      <c r="C677" s="3047">
        <v>28</v>
      </c>
      <c r="D677" s="3051" t="s">
        <v>3491</v>
      </c>
      <c r="E677" s="3052">
        <v>95.93</v>
      </c>
    </row>
    <row r="678" spans="1:5">
      <c r="A678" s="3047" t="s">
        <v>3100</v>
      </c>
      <c r="B678" s="3048" t="s">
        <v>3101</v>
      </c>
      <c r="C678" s="3047">
        <v>28</v>
      </c>
      <c r="D678" s="3051" t="s">
        <v>3492</v>
      </c>
      <c r="E678" s="3052">
        <v>95.93</v>
      </c>
    </row>
    <row r="679" spans="1:5">
      <c r="A679" s="3047" t="s">
        <v>3100</v>
      </c>
      <c r="B679" s="3048" t="s">
        <v>3101</v>
      </c>
      <c r="C679" s="3047">
        <v>28</v>
      </c>
      <c r="D679" s="3051" t="s">
        <v>3493</v>
      </c>
      <c r="E679" s="3052">
        <v>132</v>
      </c>
    </row>
    <row r="680" spans="1:5">
      <c r="A680" s="3047" t="s">
        <v>3100</v>
      </c>
      <c r="B680" s="3048" t="s">
        <v>3101</v>
      </c>
      <c r="C680" s="3047">
        <v>28</v>
      </c>
      <c r="D680" s="3051" t="s">
        <v>3494</v>
      </c>
      <c r="E680" s="3052">
        <v>116.08</v>
      </c>
    </row>
    <row r="681" spans="1:5">
      <c r="A681" s="3047" t="s">
        <v>3100</v>
      </c>
      <c r="B681" s="3048" t="s">
        <v>3101</v>
      </c>
      <c r="C681" s="3047">
        <v>28</v>
      </c>
      <c r="D681" s="3051" t="s">
        <v>3495</v>
      </c>
      <c r="E681" s="3052">
        <v>95.93</v>
      </c>
    </row>
    <row r="682" spans="1:5">
      <c r="A682" s="3047" t="s">
        <v>3100</v>
      </c>
      <c r="B682" s="3048" t="s">
        <v>3101</v>
      </c>
      <c r="C682" s="3047">
        <v>28</v>
      </c>
      <c r="D682" s="3051" t="s">
        <v>3496</v>
      </c>
      <c r="E682" s="3052">
        <v>95.93</v>
      </c>
    </row>
    <row r="683" spans="1:5">
      <c r="A683" s="3047" t="s">
        <v>3100</v>
      </c>
      <c r="B683" s="3048" t="s">
        <v>3101</v>
      </c>
      <c r="C683" s="3047">
        <v>28</v>
      </c>
      <c r="D683" s="3051" t="s">
        <v>3497</v>
      </c>
      <c r="E683" s="3052">
        <v>132</v>
      </c>
    </row>
    <row r="684" spans="1:5">
      <c r="A684" s="3047" t="s">
        <v>3100</v>
      </c>
      <c r="B684" s="3048" t="s">
        <v>3101</v>
      </c>
      <c r="C684" s="3047">
        <v>28</v>
      </c>
      <c r="D684" s="3051" t="s">
        <v>3498</v>
      </c>
      <c r="E684" s="3052">
        <v>116.08</v>
      </c>
    </row>
    <row r="685" spans="1:5">
      <c r="A685" s="3047" t="s">
        <v>3100</v>
      </c>
      <c r="B685" s="3048" t="s">
        <v>3101</v>
      </c>
      <c r="C685" s="3047">
        <v>28</v>
      </c>
      <c r="D685" s="3051" t="s">
        <v>3499</v>
      </c>
      <c r="E685" s="3052">
        <v>95.93</v>
      </c>
    </row>
    <row r="686" spans="1:5">
      <c r="A686" s="3047" t="s">
        <v>3100</v>
      </c>
      <c r="B686" s="3048" t="s">
        <v>3101</v>
      </c>
      <c r="C686" s="3047">
        <v>28</v>
      </c>
      <c r="D686" s="3051" t="s">
        <v>3500</v>
      </c>
      <c r="E686" s="3052">
        <v>95.93</v>
      </c>
    </row>
    <row r="687" spans="1:5">
      <c r="A687" s="3047" t="s">
        <v>3100</v>
      </c>
      <c r="B687" s="3048" t="s">
        <v>3101</v>
      </c>
      <c r="C687" s="3047">
        <v>28</v>
      </c>
      <c r="D687" s="3051" t="s">
        <v>3501</v>
      </c>
      <c r="E687" s="3052">
        <v>132</v>
      </c>
    </row>
    <row r="688" spans="1:5">
      <c r="A688" s="3047" t="s">
        <v>3100</v>
      </c>
      <c r="B688" s="3048" t="s">
        <v>3101</v>
      </c>
      <c r="C688" s="3047">
        <v>28</v>
      </c>
      <c r="D688" s="3051" t="s">
        <v>3502</v>
      </c>
      <c r="E688" s="3052">
        <v>116.08</v>
      </c>
    </row>
    <row r="689" spans="1:5">
      <c r="A689" s="3047" t="s">
        <v>3100</v>
      </c>
      <c r="B689" s="3048" t="s">
        <v>3101</v>
      </c>
      <c r="C689" s="3047">
        <v>28</v>
      </c>
      <c r="D689" s="3051" t="s">
        <v>3503</v>
      </c>
      <c r="E689" s="3052">
        <v>95.93</v>
      </c>
    </row>
    <row r="690" spans="1:5">
      <c r="A690" s="3047" t="s">
        <v>3100</v>
      </c>
      <c r="B690" s="3048" t="s">
        <v>3101</v>
      </c>
      <c r="C690" s="3047">
        <v>28</v>
      </c>
      <c r="D690" s="3051" t="s">
        <v>3504</v>
      </c>
      <c r="E690" s="3052">
        <v>95.93</v>
      </c>
    </row>
    <row r="691" spans="1:5">
      <c r="A691" s="3047" t="s">
        <v>3100</v>
      </c>
      <c r="B691" s="3048" t="s">
        <v>3101</v>
      </c>
      <c r="C691" s="3047">
        <v>28</v>
      </c>
      <c r="D691" s="3051" t="s">
        <v>3505</v>
      </c>
      <c r="E691" s="3052">
        <v>132</v>
      </c>
    </row>
    <row r="692" spans="1:5">
      <c r="A692" s="3047" t="s">
        <v>3100</v>
      </c>
      <c r="B692" s="3048" t="s">
        <v>3101</v>
      </c>
      <c r="C692" s="3047">
        <v>28</v>
      </c>
      <c r="D692" s="3051" t="s">
        <v>3506</v>
      </c>
      <c r="E692" s="3052">
        <v>116.08</v>
      </c>
    </row>
    <row r="693" spans="1:5">
      <c r="A693" s="3047" t="s">
        <v>3100</v>
      </c>
      <c r="B693" s="3048" t="s">
        <v>3101</v>
      </c>
      <c r="C693" s="3047">
        <v>28</v>
      </c>
      <c r="D693" s="3051" t="s">
        <v>3507</v>
      </c>
      <c r="E693" s="3052">
        <v>96.32</v>
      </c>
    </row>
    <row r="694" spans="1:5">
      <c r="A694" s="3047" t="s">
        <v>3100</v>
      </c>
      <c r="B694" s="3048" t="s">
        <v>3101</v>
      </c>
      <c r="C694" s="3047">
        <v>28</v>
      </c>
      <c r="D694" s="3051" t="s">
        <v>3508</v>
      </c>
      <c r="E694" s="3052">
        <v>96.32</v>
      </c>
    </row>
    <row r="695" spans="1:5">
      <c r="A695" s="3047" t="s">
        <v>3100</v>
      </c>
      <c r="B695" s="3048" t="s">
        <v>3101</v>
      </c>
      <c r="C695" s="3047">
        <v>28</v>
      </c>
      <c r="D695" s="3051" t="s">
        <v>3509</v>
      </c>
      <c r="E695" s="3052">
        <v>132</v>
      </c>
    </row>
    <row r="696" spans="1:5">
      <c r="A696" s="3047" t="s">
        <v>3100</v>
      </c>
      <c r="B696" s="3048" t="s">
        <v>3101</v>
      </c>
      <c r="C696" s="3047">
        <v>28</v>
      </c>
      <c r="D696" s="3051" t="s">
        <v>3510</v>
      </c>
      <c r="E696" s="3052">
        <v>116.08</v>
      </c>
    </row>
    <row r="697" spans="1:5">
      <c r="A697" s="3047" t="s">
        <v>3100</v>
      </c>
      <c r="B697" s="3048" t="s">
        <v>3101</v>
      </c>
      <c r="C697" s="3047">
        <v>28</v>
      </c>
      <c r="D697" s="3051" t="s">
        <v>3511</v>
      </c>
      <c r="E697" s="3052">
        <v>96.32</v>
      </c>
    </row>
    <row r="698" spans="1:5">
      <c r="A698" s="3047" t="s">
        <v>3100</v>
      </c>
      <c r="B698" s="3048" t="s">
        <v>3101</v>
      </c>
      <c r="C698" s="3047">
        <v>28</v>
      </c>
      <c r="D698" s="3051" t="s">
        <v>3512</v>
      </c>
      <c r="E698" s="3052">
        <v>96.32</v>
      </c>
    </row>
    <row r="699" spans="1:5">
      <c r="A699" s="3047" t="s">
        <v>3100</v>
      </c>
      <c r="B699" s="3048" t="s">
        <v>3101</v>
      </c>
      <c r="C699" s="3047">
        <v>28</v>
      </c>
      <c r="D699" s="3051" t="s">
        <v>3513</v>
      </c>
      <c r="E699" s="3052">
        <v>132</v>
      </c>
    </row>
    <row r="700" spans="1:5">
      <c r="A700" s="3047" t="s">
        <v>3100</v>
      </c>
      <c r="B700" s="3048" t="s">
        <v>3101</v>
      </c>
      <c r="C700" s="3047">
        <v>28</v>
      </c>
      <c r="D700" s="3051" t="s">
        <v>3514</v>
      </c>
      <c r="E700" s="3052">
        <v>116.08</v>
      </c>
    </row>
    <row r="701" spans="1:5">
      <c r="A701" s="3047" t="s">
        <v>3100</v>
      </c>
      <c r="B701" s="3048" t="s">
        <v>3101</v>
      </c>
      <c r="C701" s="3047">
        <v>28</v>
      </c>
      <c r="D701" s="3051" t="s">
        <v>3515</v>
      </c>
      <c r="E701" s="3052">
        <v>96.32</v>
      </c>
    </row>
    <row r="702" spans="1:5">
      <c r="A702" s="3047" t="s">
        <v>3100</v>
      </c>
      <c r="B702" s="3048" t="s">
        <v>3101</v>
      </c>
      <c r="C702" s="3047">
        <v>28</v>
      </c>
      <c r="D702" s="3051" t="s">
        <v>3516</v>
      </c>
      <c r="E702" s="3052">
        <v>96.32</v>
      </c>
    </row>
    <row r="703" spans="1:5">
      <c r="A703" s="3047" t="s">
        <v>3100</v>
      </c>
      <c r="B703" s="3048" t="s">
        <v>3101</v>
      </c>
      <c r="C703" s="3047">
        <v>28</v>
      </c>
      <c r="D703" s="3051" t="s">
        <v>3517</v>
      </c>
      <c r="E703" s="3052">
        <v>132</v>
      </c>
    </row>
    <row r="704" spans="1:5">
      <c r="A704" s="3047" t="s">
        <v>3100</v>
      </c>
      <c r="B704" s="3048" t="s">
        <v>3101</v>
      </c>
      <c r="C704" s="3047">
        <v>28</v>
      </c>
      <c r="D704" s="3051" t="s">
        <v>3518</v>
      </c>
      <c r="E704" s="3052">
        <v>116.08</v>
      </c>
    </row>
    <row r="705" spans="1:5">
      <c r="A705" s="3047" t="s">
        <v>3100</v>
      </c>
      <c r="B705" s="3048" t="s">
        <v>3101</v>
      </c>
      <c r="C705" s="3047">
        <v>28</v>
      </c>
      <c r="D705" s="3051" t="s">
        <v>3519</v>
      </c>
      <c r="E705" s="3052">
        <v>96.32</v>
      </c>
    </row>
    <row r="706" spans="1:5">
      <c r="A706" s="3047" t="s">
        <v>3100</v>
      </c>
      <c r="B706" s="3048" t="s">
        <v>3101</v>
      </c>
      <c r="C706" s="3047">
        <v>28</v>
      </c>
      <c r="D706" s="3051" t="s">
        <v>3520</v>
      </c>
      <c r="E706" s="3052">
        <v>96.32</v>
      </c>
    </row>
    <row r="707" spans="1:5">
      <c r="A707" s="3047" t="s">
        <v>3100</v>
      </c>
      <c r="B707" s="3048" t="s">
        <v>3101</v>
      </c>
      <c r="C707" s="3047">
        <v>28</v>
      </c>
      <c r="D707" s="3051" t="s">
        <v>3521</v>
      </c>
      <c r="E707" s="3052">
        <v>132</v>
      </c>
    </row>
    <row r="708" spans="1:5">
      <c r="A708" s="3047" t="s">
        <v>3100</v>
      </c>
      <c r="B708" s="3048" t="s">
        <v>3101</v>
      </c>
      <c r="C708" s="3047">
        <v>28</v>
      </c>
      <c r="D708" s="3051" t="s">
        <v>3522</v>
      </c>
      <c r="E708" s="3052">
        <v>116.08</v>
      </c>
    </row>
    <row r="709" spans="1:5">
      <c r="A709" s="3047" t="s">
        <v>3100</v>
      </c>
      <c r="B709" s="3048" t="s">
        <v>3101</v>
      </c>
      <c r="C709" s="3047">
        <v>28</v>
      </c>
      <c r="D709" s="3051" t="s">
        <v>3523</v>
      </c>
      <c r="E709" s="3052">
        <v>96.32</v>
      </c>
    </row>
    <row r="710" spans="1:5">
      <c r="A710" s="3047" t="s">
        <v>3100</v>
      </c>
      <c r="B710" s="3048" t="s">
        <v>3101</v>
      </c>
      <c r="C710" s="3047">
        <v>28</v>
      </c>
      <c r="D710" s="3051" t="s">
        <v>3524</v>
      </c>
      <c r="E710" s="3052">
        <v>96.32</v>
      </c>
    </row>
    <row r="711" spans="1:5">
      <c r="A711" s="3047" t="s">
        <v>3100</v>
      </c>
      <c r="B711" s="3048" t="s">
        <v>3101</v>
      </c>
      <c r="C711" s="3047">
        <v>28</v>
      </c>
      <c r="D711" s="3051" t="s">
        <v>3525</v>
      </c>
      <c r="E711" s="3052">
        <v>132</v>
      </c>
    </row>
    <row r="712" spans="1:5">
      <c r="A712" s="3047" t="s">
        <v>3100</v>
      </c>
      <c r="B712" s="3048" t="s">
        <v>3101</v>
      </c>
      <c r="C712" s="3047">
        <v>28</v>
      </c>
      <c r="D712" s="3051" t="s">
        <v>3526</v>
      </c>
      <c r="E712" s="3052">
        <v>116.08</v>
      </c>
    </row>
    <row r="713" spans="1:5">
      <c r="A713" s="3047" t="s">
        <v>3100</v>
      </c>
      <c r="B713" s="3048" t="s">
        <v>3101</v>
      </c>
      <c r="C713" s="3047">
        <v>28</v>
      </c>
      <c r="D713" s="3051" t="s">
        <v>3527</v>
      </c>
      <c r="E713" s="3052">
        <v>96.32</v>
      </c>
    </row>
    <row r="714" spans="1:5">
      <c r="A714" s="3047" t="s">
        <v>3100</v>
      </c>
      <c r="B714" s="3048" t="s">
        <v>3101</v>
      </c>
      <c r="C714" s="3047">
        <v>28</v>
      </c>
      <c r="D714" s="3051" t="s">
        <v>3528</v>
      </c>
      <c r="E714" s="3052">
        <v>96.32</v>
      </c>
    </row>
    <row r="715" spans="1:5">
      <c r="A715" s="3047" t="s">
        <v>3100</v>
      </c>
      <c r="B715" s="3048" t="s">
        <v>3101</v>
      </c>
      <c r="C715" s="3047">
        <v>28</v>
      </c>
      <c r="D715" s="3051" t="s">
        <v>3529</v>
      </c>
      <c r="E715" s="3052">
        <v>132</v>
      </c>
    </row>
    <row r="716" spans="1:5">
      <c r="A716" s="3047" t="s">
        <v>3100</v>
      </c>
      <c r="B716" s="3048" t="s">
        <v>3101</v>
      </c>
      <c r="C716" s="3047">
        <v>28</v>
      </c>
      <c r="D716" s="3051" t="s">
        <v>3530</v>
      </c>
      <c r="E716" s="3052">
        <v>116.08</v>
      </c>
    </row>
    <row r="717" spans="1:5">
      <c r="A717" s="3047" t="s">
        <v>3100</v>
      </c>
      <c r="B717" s="3048" t="s">
        <v>3101</v>
      </c>
      <c r="C717" s="3047">
        <v>28</v>
      </c>
      <c r="D717" s="3051" t="s">
        <v>3531</v>
      </c>
      <c r="E717" s="3052">
        <v>96.32</v>
      </c>
    </row>
    <row r="718" spans="1:5">
      <c r="A718" s="3047" t="s">
        <v>3100</v>
      </c>
      <c r="B718" s="3048" t="s">
        <v>3101</v>
      </c>
      <c r="C718" s="3047">
        <v>28</v>
      </c>
      <c r="D718" s="3051" t="s">
        <v>3532</v>
      </c>
      <c r="E718" s="3052">
        <v>96.32</v>
      </c>
    </row>
    <row r="719" spans="1:5">
      <c r="A719" s="3047" t="s">
        <v>3100</v>
      </c>
      <c r="B719" s="3048" t="s">
        <v>3101</v>
      </c>
      <c r="C719" s="3047">
        <v>28</v>
      </c>
      <c r="D719" s="3051" t="s">
        <v>3533</v>
      </c>
      <c r="E719" s="3052">
        <v>132</v>
      </c>
    </row>
    <row r="720" spans="1:5">
      <c r="A720" s="3047" t="s">
        <v>3100</v>
      </c>
      <c r="B720" s="3048" t="s">
        <v>3101</v>
      </c>
      <c r="C720" s="3047">
        <v>28</v>
      </c>
      <c r="D720" s="3051" t="s">
        <v>3534</v>
      </c>
      <c r="E720" s="3052">
        <v>116.08</v>
      </c>
    </row>
    <row r="721" spans="1:5">
      <c r="A721" s="3047" t="s">
        <v>3100</v>
      </c>
      <c r="B721" s="3048" t="s">
        <v>3101</v>
      </c>
      <c r="C721" s="3047">
        <v>28</v>
      </c>
      <c r="D721" s="3051" t="s">
        <v>3535</v>
      </c>
      <c r="E721" s="3052">
        <v>96.32</v>
      </c>
    </row>
    <row r="722" spans="1:5">
      <c r="A722" s="3047" t="s">
        <v>3100</v>
      </c>
      <c r="B722" s="3048" t="s">
        <v>3101</v>
      </c>
      <c r="C722" s="3047">
        <v>28</v>
      </c>
      <c r="D722" s="3051" t="s">
        <v>3536</v>
      </c>
      <c r="E722" s="3052">
        <v>96.32</v>
      </c>
    </row>
    <row r="723" spans="1:5">
      <c r="A723" s="3047" t="s">
        <v>3100</v>
      </c>
      <c r="B723" s="3048" t="s">
        <v>3101</v>
      </c>
      <c r="C723" s="3047">
        <v>28</v>
      </c>
      <c r="D723" s="3051" t="s">
        <v>3537</v>
      </c>
      <c r="E723" s="3052">
        <v>132</v>
      </c>
    </row>
    <row r="724" spans="1:5">
      <c r="A724" s="3047" t="s">
        <v>3100</v>
      </c>
      <c r="B724" s="3048" t="s">
        <v>3101</v>
      </c>
      <c r="C724" s="3047">
        <v>28</v>
      </c>
      <c r="D724" s="3051" t="s">
        <v>3538</v>
      </c>
      <c r="E724" s="3052">
        <v>116.08</v>
      </c>
    </row>
    <row r="725" spans="1:5">
      <c r="A725" s="3047" t="s">
        <v>3100</v>
      </c>
      <c r="B725" s="3048" t="s">
        <v>3101</v>
      </c>
      <c r="C725" s="3047">
        <v>28</v>
      </c>
      <c r="D725" s="3051" t="s">
        <v>3539</v>
      </c>
      <c r="E725" s="3052">
        <v>96.32</v>
      </c>
    </row>
    <row r="726" spans="1:5">
      <c r="A726" s="3047" t="s">
        <v>3100</v>
      </c>
      <c r="B726" s="3048" t="s">
        <v>3101</v>
      </c>
      <c r="C726" s="3047">
        <v>28</v>
      </c>
      <c r="D726" s="3051" t="s">
        <v>3540</v>
      </c>
      <c r="E726" s="3052">
        <v>96.32</v>
      </c>
    </row>
    <row r="727" spans="1:5">
      <c r="A727" s="3047" t="s">
        <v>3100</v>
      </c>
      <c r="B727" s="3048" t="s">
        <v>3101</v>
      </c>
      <c r="C727" s="3047">
        <v>28</v>
      </c>
      <c r="D727" s="3051" t="s">
        <v>3541</v>
      </c>
      <c r="E727" s="3052">
        <v>132</v>
      </c>
    </row>
    <row r="728" spans="1:5">
      <c r="A728" s="3047" t="s">
        <v>3100</v>
      </c>
      <c r="B728" s="3048" t="s">
        <v>3101</v>
      </c>
      <c r="C728" s="3047">
        <v>28</v>
      </c>
      <c r="D728" s="3051" t="s">
        <v>3542</v>
      </c>
      <c r="E728" s="3052">
        <v>116.08</v>
      </c>
    </row>
    <row r="729" spans="1:5">
      <c r="A729" s="3047" t="s">
        <v>3100</v>
      </c>
      <c r="B729" s="3048" t="s">
        <v>3101</v>
      </c>
      <c r="C729" s="3047">
        <v>28</v>
      </c>
      <c r="D729" s="3051" t="s">
        <v>3543</v>
      </c>
      <c r="E729" s="3052">
        <v>96.32</v>
      </c>
    </row>
    <row r="730" spans="1:5">
      <c r="A730" s="3047" t="s">
        <v>3100</v>
      </c>
      <c r="B730" s="3048" t="s">
        <v>3101</v>
      </c>
      <c r="C730" s="3047">
        <v>28</v>
      </c>
      <c r="D730" s="3051" t="s">
        <v>3544</v>
      </c>
      <c r="E730" s="3052">
        <v>96.32</v>
      </c>
    </row>
    <row r="731" spans="1:5">
      <c r="A731" s="3047" t="s">
        <v>3100</v>
      </c>
      <c r="B731" s="3048" t="s">
        <v>3101</v>
      </c>
      <c r="C731" s="3047">
        <v>28</v>
      </c>
      <c r="D731" s="3051" t="s">
        <v>3545</v>
      </c>
      <c r="E731" s="3052">
        <v>132</v>
      </c>
    </row>
    <row r="732" spans="1:5">
      <c r="A732" s="3047" t="s">
        <v>3100</v>
      </c>
      <c r="B732" s="3048" t="s">
        <v>3101</v>
      </c>
      <c r="C732" s="3047">
        <v>28</v>
      </c>
      <c r="D732" s="3051" t="s">
        <v>3546</v>
      </c>
      <c r="E732" s="3052">
        <v>116.08</v>
      </c>
    </row>
    <row r="733" spans="1:5">
      <c r="A733" s="3047" t="s">
        <v>3100</v>
      </c>
      <c r="B733" s="3048" t="s">
        <v>3101</v>
      </c>
      <c r="C733" s="3047">
        <v>28</v>
      </c>
      <c r="D733" s="3051" t="s">
        <v>3547</v>
      </c>
      <c r="E733" s="3052">
        <v>96.32</v>
      </c>
    </row>
    <row r="734" spans="1:5">
      <c r="A734" s="3047" t="s">
        <v>3100</v>
      </c>
      <c r="B734" s="3048" t="s">
        <v>3101</v>
      </c>
      <c r="C734" s="3047">
        <v>28</v>
      </c>
      <c r="D734" s="3051" t="s">
        <v>3548</v>
      </c>
      <c r="E734" s="3052">
        <v>96.32</v>
      </c>
    </row>
    <row r="735" spans="1:5">
      <c r="A735" s="3047" t="s">
        <v>3100</v>
      </c>
      <c r="B735" s="3048" t="s">
        <v>3101</v>
      </c>
      <c r="C735" s="3047">
        <v>28</v>
      </c>
      <c r="D735" s="3051" t="s">
        <v>3549</v>
      </c>
      <c r="E735" s="3052">
        <v>132</v>
      </c>
    </row>
    <row r="736" spans="1:5">
      <c r="A736" s="3047" t="s">
        <v>3100</v>
      </c>
      <c r="B736" s="3048" t="s">
        <v>3101</v>
      </c>
      <c r="C736" s="3047">
        <v>28</v>
      </c>
      <c r="D736" s="3051" t="s">
        <v>3550</v>
      </c>
      <c r="E736" s="3052">
        <v>116.33</v>
      </c>
    </row>
    <row r="737" spans="1:5">
      <c r="A737" s="3047" t="s">
        <v>3100</v>
      </c>
      <c r="B737" s="3048" t="s">
        <v>3101</v>
      </c>
      <c r="C737" s="3047">
        <v>28</v>
      </c>
      <c r="D737" s="3051" t="s">
        <v>3551</v>
      </c>
      <c r="E737" s="3052">
        <v>96.71</v>
      </c>
    </row>
    <row r="738" spans="1:5">
      <c r="A738" s="3047" t="s">
        <v>3100</v>
      </c>
      <c r="B738" s="3048" t="s">
        <v>3101</v>
      </c>
      <c r="C738" s="3047">
        <v>28</v>
      </c>
      <c r="D738" s="3051" t="s">
        <v>3552</v>
      </c>
      <c r="E738" s="3052">
        <v>96.71</v>
      </c>
    </row>
    <row r="739" spans="1:5">
      <c r="A739" s="3047" t="s">
        <v>3100</v>
      </c>
      <c r="B739" s="3048" t="s">
        <v>3101</v>
      </c>
      <c r="C739" s="3047">
        <v>28</v>
      </c>
      <c r="D739" s="3051" t="s">
        <v>3553</v>
      </c>
      <c r="E739" s="3052">
        <v>132.19</v>
      </c>
    </row>
    <row r="740" spans="1:5">
      <c r="A740" s="3047" t="s">
        <v>3100</v>
      </c>
      <c r="B740" s="3048" t="s">
        <v>3101</v>
      </c>
      <c r="C740" s="3047">
        <v>28</v>
      </c>
      <c r="D740" s="3051" t="s">
        <v>3554</v>
      </c>
      <c r="E740" s="3052">
        <v>116.33</v>
      </c>
    </row>
    <row r="741" spans="1:5">
      <c r="A741" s="3047" t="s">
        <v>3100</v>
      </c>
      <c r="B741" s="3048" t="s">
        <v>3101</v>
      </c>
      <c r="C741" s="3047">
        <v>28</v>
      </c>
      <c r="D741" s="3051" t="s">
        <v>3555</v>
      </c>
      <c r="E741" s="3052">
        <v>96.71</v>
      </c>
    </row>
    <row r="742" spans="1:5">
      <c r="A742" s="3047" t="s">
        <v>3100</v>
      </c>
      <c r="B742" s="3048" t="s">
        <v>3101</v>
      </c>
      <c r="C742" s="3047">
        <v>28</v>
      </c>
      <c r="D742" s="3051" t="s">
        <v>3556</v>
      </c>
      <c r="E742" s="3052">
        <v>96.71</v>
      </c>
    </row>
    <row r="743" spans="1:5">
      <c r="A743" s="3047" t="s">
        <v>3100</v>
      </c>
      <c r="B743" s="3048" t="s">
        <v>3101</v>
      </c>
      <c r="C743" s="3047">
        <v>28</v>
      </c>
      <c r="D743" s="3051" t="s">
        <v>3557</v>
      </c>
      <c r="E743" s="3052">
        <v>132.19</v>
      </c>
    </row>
    <row r="744" spans="1:5">
      <c r="A744" s="3047" t="s">
        <v>3100</v>
      </c>
      <c r="B744" s="3048" t="s">
        <v>3101</v>
      </c>
      <c r="C744" s="3047">
        <v>28</v>
      </c>
      <c r="D744" s="3051" t="s">
        <v>3558</v>
      </c>
      <c r="E744" s="3052">
        <v>116.33</v>
      </c>
    </row>
    <row r="745" spans="1:5">
      <c r="A745" s="3047" t="s">
        <v>3100</v>
      </c>
      <c r="B745" s="3048" t="s">
        <v>3101</v>
      </c>
      <c r="C745" s="3047">
        <v>28</v>
      </c>
      <c r="D745" s="3051" t="s">
        <v>3559</v>
      </c>
      <c r="E745" s="3052">
        <v>96.71</v>
      </c>
    </row>
    <row r="746" spans="1:5">
      <c r="A746" s="3047" t="s">
        <v>3100</v>
      </c>
      <c r="B746" s="3048" t="s">
        <v>3101</v>
      </c>
      <c r="C746" s="3047">
        <v>28</v>
      </c>
      <c r="D746" s="3051" t="s">
        <v>3560</v>
      </c>
      <c r="E746" s="3052">
        <v>96.71</v>
      </c>
    </row>
    <row r="747" spans="1:5">
      <c r="A747" s="3047" t="s">
        <v>3100</v>
      </c>
      <c r="B747" s="3048" t="s">
        <v>3101</v>
      </c>
      <c r="C747" s="3047">
        <v>28</v>
      </c>
      <c r="D747" s="3051" t="s">
        <v>3561</v>
      </c>
      <c r="E747" s="3052">
        <v>132.19</v>
      </c>
    </row>
    <row r="748" spans="1:5">
      <c r="A748" s="3047" t="s">
        <v>3100</v>
      </c>
      <c r="B748" s="3048" t="s">
        <v>3101</v>
      </c>
      <c r="C748" s="3047">
        <v>28</v>
      </c>
      <c r="D748" s="3051" t="s">
        <v>3562</v>
      </c>
      <c r="E748" s="3052">
        <v>116.33</v>
      </c>
    </row>
    <row r="749" spans="1:5">
      <c r="A749" s="3047" t="s">
        <v>3100</v>
      </c>
      <c r="B749" s="3048" t="s">
        <v>3101</v>
      </c>
      <c r="C749" s="3047">
        <v>28</v>
      </c>
      <c r="D749" s="3051" t="s">
        <v>3563</v>
      </c>
      <c r="E749" s="3052">
        <v>96.71</v>
      </c>
    </row>
    <row r="750" spans="1:5">
      <c r="A750" s="3047" t="s">
        <v>3100</v>
      </c>
      <c r="B750" s="3048" t="s">
        <v>3101</v>
      </c>
      <c r="C750" s="3047">
        <v>28</v>
      </c>
      <c r="D750" s="3051" t="s">
        <v>3564</v>
      </c>
      <c r="E750" s="3052">
        <v>96.71</v>
      </c>
    </row>
    <row r="751" spans="1:5">
      <c r="A751" s="3047" t="s">
        <v>3100</v>
      </c>
      <c r="B751" s="3048" t="s">
        <v>3101</v>
      </c>
      <c r="C751" s="3047">
        <v>28</v>
      </c>
      <c r="D751" s="3051" t="s">
        <v>3565</v>
      </c>
      <c r="E751" s="3052">
        <v>132.19</v>
      </c>
    </row>
    <row r="752" spans="1:5">
      <c r="A752" s="3047" t="s">
        <v>3100</v>
      </c>
      <c r="B752" s="3048" t="s">
        <v>3101</v>
      </c>
      <c r="C752" s="3047">
        <v>28</v>
      </c>
      <c r="D752" s="3051" t="s">
        <v>3566</v>
      </c>
      <c r="E752" s="3052">
        <v>116.33</v>
      </c>
    </row>
    <row r="753" spans="1:5">
      <c r="A753" s="3047" t="s">
        <v>3100</v>
      </c>
      <c r="B753" s="3048" t="s">
        <v>3101</v>
      </c>
      <c r="C753" s="3047">
        <v>28</v>
      </c>
      <c r="D753" s="3051" t="s">
        <v>3567</v>
      </c>
      <c r="E753" s="3052">
        <v>96.71</v>
      </c>
    </row>
    <row r="754" spans="1:5">
      <c r="A754" s="3047" t="s">
        <v>3100</v>
      </c>
      <c r="B754" s="3048" t="s">
        <v>3101</v>
      </c>
      <c r="C754" s="3047">
        <v>28</v>
      </c>
      <c r="D754" s="3051" t="s">
        <v>3568</v>
      </c>
      <c r="E754" s="3052">
        <v>96.71</v>
      </c>
    </row>
    <row r="755" spans="1:5">
      <c r="A755" s="3047" t="s">
        <v>3100</v>
      </c>
      <c r="B755" s="3048" t="s">
        <v>3101</v>
      </c>
      <c r="C755" s="3047">
        <v>28</v>
      </c>
      <c r="D755" s="3051" t="s">
        <v>3569</v>
      </c>
      <c r="E755" s="3052">
        <v>132.19</v>
      </c>
    </row>
    <row r="756" spans="1:5">
      <c r="A756" s="3047" t="s">
        <v>3100</v>
      </c>
      <c r="B756" s="3048" t="s">
        <v>3101</v>
      </c>
      <c r="C756" s="3047">
        <v>28</v>
      </c>
      <c r="D756" s="3051" t="s">
        <v>3570</v>
      </c>
      <c r="E756" s="3052">
        <v>116.33</v>
      </c>
    </row>
    <row r="757" spans="1:5">
      <c r="A757" s="3047" t="s">
        <v>3100</v>
      </c>
      <c r="B757" s="3048" t="s">
        <v>3101</v>
      </c>
      <c r="C757" s="3047">
        <v>28</v>
      </c>
      <c r="D757" s="3051" t="s">
        <v>3571</v>
      </c>
      <c r="E757" s="3052">
        <v>96.71</v>
      </c>
    </row>
    <row r="758" spans="1:5">
      <c r="A758" s="3047" t="s">
        <v>3100</v>
      </c>
      <c r="B758" s="3048" t="s">
        <v>3101</v>
      </c>
      <c r="C758" s="3047">
        <v>28</v>
      </c>
      <c r="D758" s="3051" t="s">
        <v>3572</v>
      </c>
      <c r="E758" s="3052">
        <v>96.71</v>
      </c>
    </row>
    <row r="759" spans="1:5">
      <c r="A759" s="3047" t="s">
        <v>3100</v>
      </c>
      <c r="B759" s="3048" t="s">
        <v>3101</v>
      </c>
      <c r="C759" s="3047">
        <v>28</v>
      </c>
      <c r="D759" s="3051" t="s">
        <v>3573</v>
      </c>
      <c r="E759" s="3052">
        <v>132.19</v>
      </c>
    </row>
    <row r="760" spans="1:5">
      <c r="E760">
        <f>SUM(E34:E759)</f>
        <v>90639.92000000026</v>
      </c>
    </row>
  </sheetData>
  <mergeCells count="22">
    <mergeCell ref="I44:L44"/>
    <mergeCell ref="I45:L45"/>
    <mergeCell ref="I46:L46"/>
    <mergeCell ref="I39:L39"/>
    <mergeCell ref="I40:L40"/>
    <mergeCell ref="I41:L41"/>
    <mergeCell ref="I42:L42"/>
    <mergeCell ref="I43:L43"/>
    <mergeCell ref="I34:L34"/>
    <mergeCell ref="I35:L35"/>
    <mergeCell ref="I36:L36"/>
    <mergeCell ref="I37:L37"/>
    <mergeCell ref="I38:L38"/>
    <mergeCell ref="H1:L1"/>
    <mergeCell ref="A31:A33"/>
    <mergeCell ref="I3:I8"/>
    <mergeCell ref="I18:I24"/>
    <mergeCell ref="B31:B33"/>
    <mergeCell ref="C31:C33"/>
    <mergeCell ref="D31:D33"/>
    <mergeCell ref="E31:E33"/>
    <mergeCell ref="H16:L16"/>
  </mergeCells>
  <phoneticPr fontId="140" type="noConversion"/>
  <conditionalFormatting sqref="D400">
    <cfRule type="duplicateValues" dxfId="414" priority="118"/>
    <cfRule type="duplicateValues" dxfId="413" priority="235"/>
  </conditionalFormatting>
  <conditionalFormatting sqref="D401">
    <cfRule type="duplicateValues" dxfId="412" priority="117"/>
    <cfRule type="duplicateValues" dxfId="411" priority="234"/>
  </conditionalFormatting>
  <conditionalFormatting sqref="D402">
    <cfRule type="duplicateValues" dxfId="410" priority="116"/>
    <cfRule type="duplicateValues" dxfId="409" priority="233"/>
  </conditionalFormatting>
  <conditionalFormatting sqref="D403">
    <cfRule type="duplicateValues" dxfId="408" priority="115"/>
    <cfRule type="duplicateValues" dxfId="407" priority="232"/>
  </conditionalFormatting>
  <conditionalFormatting sqref="D404">
    <cfRule type="duplicateValues" dxfId="406" priority="114"/>
    <cfRule type="duplicateValues" dxfId="405" priority="231"/>
  </conditionalFormatting>
  <conditionalFormatting sqref="D405">
    <cfRule type="duplicateValues" dxfId="404" priority="113"/>
    <cfRule type="duplicateValues" dxfId="403" priority="230"/>
  </conditionalFormatting>
  <conditionalFormatting sqref="D406">
    <cfRule type="duplicateValues" dxfId="402" priority="112"/>
    <cfRule type="duplicateValues" dxfId="401" priority="229"/>
  </conditionalFormatting>
  <conditionalFormatting sqref="D407">
    <cfRule type="duplicateValues" dxfId="400" priority="111"/>
    <cfRule type="duplicateValues" dxfId="399" priority="228"/>
  </conditionalFormatting>
  <conditionalFormatting sqref="D408">
    <cfRule type="duplicateValues" dxfId="398" priority="110"/>
    <cfRule type="duplicateValues" dxfId="397" priority="227"/>
  </conditionalFormatting>
  <conditionalFormatting sqref="D409">
    <cfRule type="duplicateValues" dxfId="396" priority="109"/>
    <cfRule type="duplicateValues" dxfId="395" priority="226"/>
  </conditionalFormatting>
  <conditionalFormatting sqref="D410">
    <cfRule type="duplicateValues" dxfId="394" priority="108"/>
    <cfRule type="duplicateValues" dxfId="393" priority="225"/>
  </conditionalFormatting>
  <conditionalFormatting sqref="D411">
    <cfRule type="duplicateValues" dxfId="392" priority="107"/>
    <cfRule type="duplicateValues" dxfId="391" priority="224"/>
  </conditionalFormatting>
  <conditionalFormatting sqref="D412">
    <cfRule type="duplicateValues" dxfId="390" priority="106"/>
    <cfRule type="duplicateValues" dxfId="389" priority="223"/>
  </conditionalFormatting>
  <conditionalFormatting sqref="D413">
    <cfRule type="duplicateValues" dxfId="388" priority="105"/>
    <cfRule type="duplicateValues" dxfId="387" priority="222"/>
  </conditionalFormatting>
  <conditionalFormatting sqref="D414">
    <cfRule type="duplicateValues" dxfId="386" priority="104"/>
    <cfRule type="duplicateValues" dxfId="385" priority="221"/>
  </conditionalFormatting>
  <conditionalFormatting sqref="D415">
    <cfRule type="duplicateValues" dxfId="384" priority="103"/>
    <cfRule type="duplicateValues" dxfId="383" priority="220"/>
  </conditionalFormatting>
  <conditionalFormatting sqref="D416">
    <cfRule type="duplicateValues" dxfId="382" priority="102"/>
    <cfRule type="duplicateValues" dxfId="381" priority="219"/>
  </conditionalFormatting>
  <conditionalFormatting sqref="D417">
    <cfRule type="duplicateValues" dxfId="380" priority="101"/>
    <cfRule type="duplicateValues" dxfId="379" priority="218"/>
  </conditionalFormatting>
  <conditionalFormatting sqref="D418">
    <cfRule type="duplicateValues" dxfId="378" priority="100"/>
    <cfRule type="duplicateValues" dxfId="377" priority="217"/>
  </conditionalFormatting>
  <conditionalFormatting sqref="D419">
    <cfRule type="duplicateValues" dxfId="376" priority="99"/>
    <cfRule type="duplicateValues" dxfId="375" priority="216"/>
  </conditionalFormatting>
  <conditionalFormatting sqref="D420">
    <cfRule type="duplicateValues" dxfId="374" priority="98"/>
    <cfRule type="duplicateValues" dxfId="373" priority="215"/>
  </conditionalFormatting>
  <conditionalFormatting sqref="D421">
    <cfRule type="duplicateValues" dxfId="372" priority="97"/>
    <cfRule type="duplicateValues" dxfId="371" priority="214"/>
  </conditionalFormatting>
  <conditionalFormatting sqref="D422">
    <cfRule type="duplicateValues" dxfId="370" priority="96"/>
    <cfRule type="duplicateValues" dxfId="369" priority="213"/>
  </conditionalFormatting>
  <conditionalFormatting sqref="D423">
    <cfRule type="duplicateValues" dxfId="368" priority="95"/>
    <cfRule type="duplicateValues" dxfId="367" priority="212"/>
  </conditionalFormatting>
  <conditionalFormatting sqref="D424">
    <cfRule type="duplicateValues" dxfId="366" priority="94"/>
    <cfRule type="duplicateValues" dxfId="365" priority="211"/>
  </conditionalFormatting>
  <conditionalFormatting sqref="D425">
    <cfRule type="duplicateValues" dxfId="364" priority="93"/>
    <cfRule type="duplicateValues" dxfId="363" priority="210"/>
  </conditionalFormatting>
  <conditionalFormatting sqref="D426">
    <cfRule type="duplicateValues" dxfId="362" priority="92"/>
    <cfRule type="duplicateValues" dxfId="361" priority="209"/>
  </conditionalFormatting>
  <conditionalFormatting sqref="D427">
    <cfRule type="duplicateValues" dxfId="360" priority="91"/>
    <cfRule type="duplicateValues" dxfId="359" priority="208"/>
  </conditionalFormatting>
  <conditionalFormatting sqref="D428">
    <cfRule type="duplicateValues" dxfId="358" priority="90"/>
    <cfRule type="duplicateValues" dxfId="357" priority="207"/>
  </conditionalFormatting>
  <conditionalFormatting sqref="D429">
    <cfRule type="duplicateValues" dxfId="356" priority="89"/>
    <cfRule type="duplicateValues" dxfId="355" priority="206"/>
  </conditionalFormatting>
  <conditionalFormatting sqref="D430">
    <cfRule type="duplicateValues" dxfId="354" priority="88"/>
    <cfRule type="duplicateValues" dxfId="353" priority="205"/>
  </conditionalFormatting>
  <conditionalFormatting sqref="D431">
    <cfRule type="duplicateValues" dxfId="352" priority="87"/>
    <cfRule type="duplicateValues" dxfId="351" priority="204"/>
  </conditionalFormatting>
  <conditionalFormatting sqref="D432">
    <cfRule type="duplicateValues" dxfId="350" priority="86"/>
    <cfRule type="duplicateValues" dxfId="349" priority="203"/>
  </conditionalFormatting>
  <conditionalFormatting sqref="D433">
    <cfRule type="duplicateValues" dxfId="348" priority="85"/>
    <cfRule type="duplicateValues" dxfId="347" priority="202"/>
  </conditionalFormatting>
  <conditionalFormatting sqref="D434">
    <cfRule type="duplicateValues" dxfId="346" priority="84"/>
    <cfRule type="duplicateValues" dxfId="345" priority="201"/>
  </conditionalFormatting>
  <conditionalFormatting sqref="D435">
    <cfRule type="duplicateValues" dxfId="344" priority="83"/>
    <cfRule type="duplicateValues" dxfId="343" priority="200"/>
  </conditionalFormatting>
  <conditionalFormatting sqref="D436">
    <cfRule type="duplicateValues" dxfId="342" priority="82"/>
    <cfRule type="duplicateValues" dxfId="341" priority="199"/>
  </conditionalFormatting>
  <conditionalFormatting sqref="D437">
    <cfRule type="duplicateValues" dxfId="340" priority="81"/>
    <cfRule type="duplicateValues" dxfId="339" priority="198"/>
  </conditionalFormatting>
  <conditionalFormatting sqref="D438">
    <cfRule type="duplicateValues" dxfId="338" priority="80"/>
    <cfRule type="duplicateValues" dxfId="337" priority="197"/>
  </conditionalFormatting>
  <conditionalFormatting sqref="D439">
    <cfRule type="duplicateValues" dxfId="336" priority="79"/>
    <cfRule type="duplicateValues" dxfId="335" priority="196"/>
  </conditionalFormatting>
  <conditionalFormatting sqref="D440">
    <cfRule type="duplicateValues" dxfId="334" priority="78"/>
    <cfRule type="duplicateValues" dxfId="333" priority="195"/>
  </conditionalFormatting>
  <conditionalFormatting sqref="D441">
    <cfRule type="duplicateValues" dxfId="332" priority="77"/>
    <cfRule type="duplicateValues" dxfId="331" priority="194"/>
  </conditionalFormatting>
  <conditionalFormatting sqref="D442">
    <cfRule type="duplicateValues" dxfId="330" priority="76"/>
    <cfRule type="duplicateValues" dxfId="329" priority="193"/>
  </conditionalFormatting>
  <conditionalFormatting sqref="D443">
    <cfRule type="duplicateValues" dxfId="328" priority="75"/>
    <cfRule type="duplicateValues" dxfId="327" priority="192"/>
  </conditionalFormatting>
  <conditionalFormatting sqref="D444">
    <cfRule type="duplicateValues" dxfId="326" priority="74"/>
    <cfRule type="duplicateValues" dxfId="325" priority="191"/>
  </conditionalFormatting>
  <conditionalFormatting sqref="D445">
    <cfRule type="duplicateValues" dxfId="324" priority="73"/>
    <cfRule type="duplicateValues" dxfId="323" priority="190"/>
  </conditionalFormatting>
  <conditionalFormatting sqref="D446">
    <cfRule type="duplicateValues" dxfId="322" priority="72"/>
    <cfRule type="duplicateValues" dxfId="321" priority="189"/>
  </conditionalFormatting>
  <conditionalFormatting sqref="D447">
    <cfRule type="duplicateValues" dxfId="320" priority="71"/>
    <cfRule type="duplicateValues" dxfId="319" priority="188"/>
  </conditionalFormatting>
  <conditionalFormatting sqref="D448">
    <cfRule type="duplicateValues" dxfId="318" priority="70"/>
    <cfRule type="duplicateValues" dxfId="317" priority="187"/>
  </conditionalFormatting>
  <conditionalFormatting sqref="D449">
    <cfRule type="duplicateValues" dxfId="316" priority="69"/>
    <cfRule type="duplicateValues" dxfId="315" priority="186"/>
  </conditionalFormatting>
  <conditionalFormatting sqref="D450">
    <cfRule type="duplicateValues" dxfId="314" priority="68"/>
    <cfRule type="duplicateValues" dxfId="313" priority="185"/>
  </conditionalFormatting>
  <conditionalFormatting sqref="D451">
    <cfRule type="duplicateValues" dxfId="312" priority="67"/>
    <cfRule type="duplicateValues" dxfId="311" priority="184"/>
  </conditionalFormatting>
  <conditionalFormatting sqref="D452">
    <cfRule type="duplicateValues" dxfId="310" priority="66"/>
    <cfRule type="duplicateValues" dxfId="309" priority="183"/>
  </conditionalFormatting>
  <conditionalFormatting sqref="D453">
    <cfRule type="duplicateValues" dxfId="308" priority="65"/>
    <cfRule type="duplicateValues" dxfId="307" priority="182"/>
  </conditionalFormatting>
  <conditionalFormatting sqref="D454">
    <cfRule type="duplicateValues" dxfId="306" priority="64"/>
    <cfRule type="duplicateValues" dxfId="305" priority="181"/>
  </conditionalFormatting>
  <conditionalFormatting sqref="D455">
    <cfRule type="duplicateValues" dxfId="304" priority="63"/>
    <cfRule type="duplicateValues" dxfId="303" priority="180"/>
  </conditionalFormatting>
  <conditionalFormatting sqref="D456">
    <cfRule type="duplicateValues" dxfId="302" priority="62"/>
    <cfRule type="duplicateValues" dxfId="301" priority="179"/>
  </conditionalFormatting>
  <conditionalFormatting sqref="D457">
    <cfRule type="duplicateValues" dxfId="300" priority="61"/>
    <cfRule type="duplicateValues" dxfId="299" priority="178"/>
  </conditionalFormatting>
  <conditionalFormatting sqref="D458">
    <cfRule type="duplicateValues" dxfId="298" priority="60"/>
    <cfRule type="duplicateValues" dxfId="297" priority="177"/>
  </conditionalFormatting>
  <conditionalFormatting sqref="D459">
    <cfRule type="duplicateValues" dxfId="296" priority="59"/>
    <cfRule type="duplicateValues" dxfId="295" priority="176"/>
  </conditionalFormatting>
  <conditionalFormatting sqref="D460">
    <cfRule type="duplicateValues" dxfId="294" priority="58"/>
    <cfRule type="duplicateValues" dxfId="293" priority="175"/>
  </conditionalFormatting>
  <conditionalFormatting sqref="D461">
    <cfRule type="duplicateValues" dxfId="292" priority="57"/>
    <cfRule type="duplicateValues" dxfId="291" priority="174"/>
  </conditionalFormatting>
  <conditionalFormatting sqref="D462">
    <cfRule type="duplicateValues" dxfId="290" priority="56"/>
    <cfRule type="duplicateValues" dxfId="289" priority="173"/>
  </conditionalFormatting>
  <conditionalFormatting sqref="D463">
    <cfRule type="duplicateValues" dxfId="288" priority="55"/>
    <cfRule type="duplicateValues" dxfId="287" priority="172"/>
  </conditionalFormatting>
  <conditionalFormatting sqref="D464">
    <cfRule type="duplicateValues" dxfId="286" priority="54"/>
    <cfRule type="duplicateValues" dxfId="285" priority="171"/>
  </conditionalFormatting>
  <conditionalFormatting sqref="D465">
    <cfRule type="duplicateValues" dxfId="284" priority="53"/>
    <cfRule type="duplicateValues" dxfId="283" priority="170"/>
  </conditionalFormatting>
  <conditionalFormatting sqref="D466">
    <cfRule type="duplicateValues" dxfId="282" priority="52"/>
    <cfRule type="duplicateValues" dxfId="281" priority="169"/>
  </conditionalFormatting>
  <conditionalFormatting sqref="D467">
    <cfRule type="duplicateValues" dxfId="280" priority="51"/>
    <cfRule type="duplicateValues" dxfId="279" priority="168"/>
  </conditionalFormatting>
  <conditionalFormatting sqref="D468">
    <cfRule type="duplicateValues" dxfId="278" priority="50"/>
    <cfRule type="duplicateValues" dxfId="277" priority="167"/>
  </conditionalFormatting>
  <conditionalFormatting sqref="D469">
    <cfRule type="duplicateValues" dxfId="276" priority="49"/>
    <cfRule type="duplicateValues" dxfId="275" priority="166"/>
  </conditionalFormatting>
  <conditionalFormatting sqref="D470">
    <cfRule type="duplicateValues" dxfId="274" priority="48"/>
    <cfRule type="duplicateValues" dxfId="273" priority="165"/>
  </conditionalFormatting>
  <conditionalFormatting sqref="D471">
    <cfRule type="duplicateValues" dxfId="272" priority="47"/>
    <cfRule type="duplicateValues" dxfId="271" priority="164"/>
  </conditionalFormatting>
  <conditionalFormatting sqref="D472">
    <cfRule type="duplicateValues" dxfId="270" priority="46"/>
    <cfRule type="duplicateValues" dxfId="269" priority="163"/>
  </conditionalFormatting>
  <conditionalFormatting sqref="D473">
    <cfRule type="duplicateValues" dxfId="268" priority="45"/>
    <cfRule type="duplicateValues" dxfId="267" priority="162"/>
  </conditionalFormatting>
  <conditionalFormatting sqref="D474">
    <cfRule type="duplicateValues" dxfId="266" priority="44"/>
    <cfRule type="duplicateValues" dxfId="265" priority="161"/>
  </conditionalFormatting>
  <conditionalFormatting sqref="D475">
    <cfRule type="duplicateValues" dxfId="264" priority="43"/>
    <cfRule type="duplicateValues" dxfId="263" priority="160"/>
  </conditionalFormatting>
  <conditionalFormatting sqref="D476">
    <cfRule type="duplicateValues" dxfId="262" priority="42"/>
    <cfRule type="duplicateValues" dxfId="261" priority="159"/>
  </conditionalFormatting>
  <conditionalFormatting sqref="D477">
    <cfRule type="duplicateValues" dxfId="260" priority="41"/>
    <cfRule type="duplicateValues" dxfId="259" priority="158"/>
  </conditionalFormatting>
  <conditionalFormatting sqref="D478">
    <cfRule type="duplicateValues" dxfId="258" priority="40"/>
    <cfRule type="duplicateValues" dxfId="257" priority="157"/>
  </conditionalFormatting>
  <conditionalFormatting sqref="D479">
    <cfRule type="duplicateValues" dxfId="256" priority="39"/>
    <cfRule type="duplicateValues" dxfId="255" priority="156"/>
  </conditionalFormatting>
  <conditionalFormatting sqref="D480">
    <cfRule type="duplicateValues" dxfId="254" priority="38"/>
    <cfRule type="duplicateValues" dxfId="253" priority="155"/>
  </conditionalFormatting>
  <conditionalFormatting sqref="D481">
    <cfRule type="duplicateValues" dxfId="252" priority="37"/>
    <cfRule type="duplicateValues" dxfId="251" priority="154"/>
  </conditionalFormatting>
  <conditionalFormatting sqref="D482">
    <cfRule type="duplicateValues" dxfId="250" priority="36"/>
    <cfRule type="duplicateValues" dxfId="249" priority="153"/>
  </conditionalFormatting>
  <conditionalFormatting sqref="D483">
    <cfRule type="duplicateValues" dxfId="248" priority="35"/>
    <cfRule type="duplicateValues" dxfId="247" priority="152"/>
  </conditionalFormatting>
  <conditionalFormatting sqref="D484">
    <cfRule type="duplicateValues" dxfId="246" priority="34"/>
    <cfRule type="duplicateValues" dxfId="245" priority="151"/>
  </conditionalFormatting>
  <conditionalFormatting sqref="D485">
    <cfRule type="duplicateValues" dxfId="244" priority="33"/>
    <cfRule type="duplicateValues" dxfId="243" priority="150"/>
  </conditionalFormatting>
  <conditionalFormatting sqref="D486">
    <cfRule type="duplicateValues" dxfId="242" priority="32"/>
    <cfRule type="duplicateValues" dxfId="241" priority="149"/>
  </conditionalFormatting>
  <conditionalFormatting sqref="D487">
    <cfRule type="duplicateValues" dxfId="240" priority="31"/>
    <cfRule type="duplicateValues" dxfId="239" priority="148"/>
  </conditionalFormatting>
  <conditionalFormatting sqref="D488">
    <cfRule type="duplicateValues" dxfId="238" priority="30"/>
    <cfRule type="duplicateValues" dxfId="237" priority="147"/>
  </conditionalFormatting>
  <conditionalFormatting sqref="D489">
    <cfRule type="duplicateValues" dxfId="236" priority="29"/>
    <cfRule type="duplicateValues" dxfId="235" priority="146"/>
  </conditionalFormatting>
  <conditionalFormatting sqref="D490">
    <cfRule type="duplicateValues" dxfId="234" priority="28"/>
    <cfRule type="duplicateValues" dxfId="233" priority="145"/>
  </conditionalFormatting>
  <conditionalFormatting sqref="D491">
    <cfRule type="duplicateValues" dxfId="232" priority="27"/>
    <cfRule type="duplicateValues" dxfId="231" priority="144"/>
  </conditionalFormatting>
  <conditionalFormatting sqref="D492">
    <cfRule type="duplicateValues" dxfId="230" priority="26"/>
    <cfRule type="duplicateValues" dxfId="229" priority="143"/>
  </conditionalFormatting>
  <conditionalFormatting sqref="D493">
    <cfRule type="duplicateValues" dxfId="228" priority="25"/>
    <cfRule type="duplicateValues" dxfId="227" priority="142"/>
  </conditionalFormatting>
  <conditionalFormatting sqref="D494">
    <cfRule type="duplicateValues" dxfId="226" priority="24"/>
    <cfRule type="duplicateValues" dxfId="225" priority="141"/>
  </conditionalFormatting>
  <conditionalFormatting sqref="D495">
    <cfRule type="duplicateValues" dxfId="224" priority="23"/>
    <cfRule type="duplicateValues" dxfId="223" priority="140"/>
  </conditionalFormatting>
  <conditionalFormatting sqref="D496">
    <cfRule type="duplicateValues" dxfId="222" priority="22"/>
    <cfRule type="duplicateValues" dxfId="221" priority="139"/>
  </conditionalFormatting>
  <conditionalFormatting sqref="D497">
    <cfRule type="duplicateValues" dxfId="220" priority="21"/>
    <cfRule type="duplicateValues" dxfId="219" priority="138"/>
  </conditionalFormatting>
  <conditionalFormatting sqref="D498">
    <cfRule type="duplicateValues" dxfId="218" priority="20"/>
    <cfRule type="duplicateValues" dxfId="217" priority="137"/>
  </conditionalFormatting>
  <conditionalFormatting sqref="D499">
    <cfRule type="duplicateValues" dxfId="216" priority="19"/>
    <cfRule type="duplicateValues" dxfId="215" priority="136"/>
  </conditionalFormatting>
  <conditionalFormatting sqref="D500">
    <cfRule type="duplicateValues" dxfId="214" priority="18"/>
    <cfRule type="duplicateValues" dxfId="213" priority="135"/>
  </conditionalFormatting>
  <conditionalFormatting sqref="D501">
    <cfRule type="duplicateValues" dxfId="212" priority="17"/>
    <cfRule type="duplicateValues" dxfId="211" priority="134"/>
  </conditionalFormatting>
  <conditionalFormatting sqref="D502">
    <cfRule type="duplicateValues" dxfId="210" priority="16"/>
    <cfRule type="duplicateValues" dxfId="209" priority="133"/>
  </conditionalFormatting>
  <conditionalFormatting sqref="D503">
    <cfRule type="duplicateValues" dxfId="208" priority="15"/>
    <cfRule type="duplicateValues" dxfId="207" priority="132"/>
  </conditionalFormatting>
  <conditionalFormatting sqref="D504">
    <cfRule type="duplicateValues" dxfId="206" priority="14"/>
    <cfRule type="duplicateValues" dxfId="205" priority="131"/>
  </conditionalFormatting>
  <conditionalFormatting sqref="D505">
    <cfRule type="duplicateValues" dxfId="204" priority="13"/>
    <cfRule type="duplicateValues" dxfId="203" priority="130"/>
  </conditionalFormatting>
  <conditionalFormatting sqref="D506">
    <cfRule type="duplicateValues" dxfId="202" priority="12"/>
    <cfRule type="duplicateValues" dxfId="201" priority="129"/>
  </conditionalFormatting>
  <conditionalFormatting sqref="D507">
    <cfRule type="duplicateValues" dxfId="200" priority="11"/>
    <cfRule type="duplicateValues" dxfId="199" priority="128"/>
  </conditionalFormatting>
  <conditionalFormatting sqref="D508">
    <cfRule type="duplicateValues" dxfId="198" priority="10"/>
    <cfRule type="duplicateValues" dxfId="197" priority="127"/>
  </conditionalFormatting>
  <conditionalFormatting sqref="D509">
    <cfRule type="duplicateValues" dxfId="196" priority="9"/>
    <cfRule type="duplicateValues" dxfId="195" priority="126"/>
  </conditionalFormatting>
  <conditionalFormatting sqref="D510">
    <cfRule type="duplicateValues" dxfId="194" priority="8"/>
    <cfRule type="duplicateValues" dxfId="193" priority="125"/>
  </conditionalFormatting>
  <conditionalFormatting sqref="D511">
    <cfRule type="duplicateValues" dxfId="192" priority="7"/>
    <cfRule type="duplicateValues" dxfId="191" priority="124"/>
  </conditionalFormatting>
  <conditionalFormatting sqref="D512">
    <cfRule type="duplicateValues" dxfId="190" priority="6"/>
    <cfRule type="duplicateValues" dxfId="189" priority="123"/>
  </conditionalFormatting>
  <conditionalFormatting sqref="D513">
    <cfRule type="duplicateValues" dxfId="188" priority="5"/>
    <cfRule type="duplicateValues" dxfId="187" priority="122"/>
  </conditionalFormatting>
  <conditionalFormatting sqref="D514">
    <cfRule type="duplicateValues" dxfId="186" priority="4"/>
    <cfRule type="duplicateValues" dxfId="185" priority="121"/>
  </conditionalFormatting>
  <conditionalFormatting sqref="D515">
    <cfRule type="duplicateValues" dxfId="184" priority="3"/>
    <cfRule type="duplicateValues" dxfId="183" priority="120"/>
  </conditionalFormatting>
  <conditionalFormatting sqref="D360:D399">
    <cfRule type="duplicateValues" dxfId="182" priority="119"/>
    <cfRule type="duplicateValues" dxfId="181" priority="236"/>
  </conditionalFormatting>
  <conditionalFormatting sqref="D516:D759">
    <cfRule type="duplicateValues" dxfId="180" priority="1"/>
    <cfRule type="duplicateValues" dxfId="179" priority="2"/>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65"/>
  <sheetViews>
    <sheetView tabSelected="1" workbookViewId="0">
      <selection activeCell="K27" sqref="K27"/>
    </sheetView>
  </sheetViews>
  <sheetFormatPr defaultRowHeight="13.5"/>
  <cols>
    <col min="5" max="5" width="10.625" customWidth="1"/>
    <col min="10" max="10" width="9.5" bestFit="1" customWidth="1"/>
    <col min="12" max="12" width="9.5" bestFit="1" customWidth="1"/>
    <col min="16" max="16" width="13.875" customWidth="1"/>
    <col min="18" max="18" width="12.5" customWidth="1"/>
    <col min="19" max="19" width="9.5" bestFit="1" customWidth="1"/>
  </cols>
  <sheetData>
    <row r="1" spans="1:12" s="3072" customFormat="1" ht="24">
      <c r="A1" s="3070" t="s">
        <v>3684</v>
      </c>
      <c r="B1" s="3070" t="s">
        <v>3168</v>
      </c>
      <c r="C1" s="3070" t="s">
        <v>3169</v>
      </c>
      <c r="D1" s="3070" t="s">
        <v>3170</v>
      </c>
      <c r="E1" s="3070" t="s">
        <v>3171</v>
      </c>
      <c r="F1" s="3071" t="s">
        <v>3685</v>
      </c>
      <c r="G1" s="3071" t="s">
        <v>3686</v>
      </c>
      <c r="H1" s="3071" t="s">
        <v>3687</v>
      </c>
      <c r="I1" s="3071" t="s">
        <v>3688</v>
      </c>
    </row>
    <row r="2" spans="1:12">
      <c r="A2" s="3065">
        <v>1</v>
      </c>
      <c r="B2" s="3066" t="s">
        <v>3100</v>
      </c>
      <c r="C2" s="3067" t="s">
        <v>3101</v>
      </c>
      <c r="D2" s="3065">
        <v>16</v>
      </c>
      <c r="E2" s="3065" t="s">
        <v>3595</v>
      </c>
      <c r="F2" s="3068">
        <v>181.42</v>
      </c>
      <c r="G2" s="3065" t="s">
        <v>3097</v>
      </c>
      <c r="H2" s="3069"/>
      <c r="I2" s="3069"/>
      <c r="J2" s="3436">
        <v>0.8</v>
      </c>
      <c r="K2" s="3044" t="s">
        <v>3689</v>
      </c>
      <c r="L2">
        <v>6169.67</v>
      </c>
    </row>
    <row r="3" spans="1:12">
      <c r="A3" s="3057">
        <v>2</v>
      </c>
      <c r="B3" s="3047" t="s">
        <v>3100</v>
      </c>
      <c r="C3" s="3048" t="s">
        <v>3101</v>
      </c>
      <c r="D3" s="3057">
        <v>16</v>
      </c>
      <c r="E3" s="3057" t="s">
        <v>3596</v>
      </c>
      <c r="F3" s="3058">
        <v>188.62</v>
      </c>
      <c r="G3" s="3057" t="s">
        <v>3097</v>
      </c>
      <c r="H3" s="3059"/>
      <c r="I3" s="3059"/>
      <c r="J3" s="3436">
        <f>J2</f>
        <v>0.8</v>
      </c>
      <c r="K3" s="3044" t="s">
        <v>3690</v>
      </c>
      <c r="L3">
        <v>7441.46</v>
      </c>
    </row>
    <row r="4" spans="1:12">
      <c r="A4" s="3057">
        <v>3</v>
      </c>
      <c r="B4" s="3047" t="s">
        <v>3100</v>
      </c>
      <c r="C4" s="3048" t="s">
        <v>3101</v>
      </c>
      <c r="D4" s="3057">
        <v>17</v>
      </c>
      <c r="E4" s="3057" t="s">
        <v>3595</v>
      </c>
      <c r="F4" s="3058">
        <v>189.38</v>
      </c>
      <c r="G4" s="3057" t="s">
        <v>3097</v>
      </c>
      <c r="H4" s="3059"/>
      <c r="I4" s="3059"/>
      <c r="J4" s="3436">
        <f t="shared" ref="J4:J47" si="0">J3</f>
        <v>0.8</v>
      </c>
      <c r="K4" s="3044" t="s">
        <v>3701</v>
      </c>
      <c r="L4">
        <v>1777.72</v>
      </c>
    </row>
    <row r="5" spans="1:12">
      <c r="A5" s="3057">
        <v>4</v>
      </c>
      <c r="B5" s="3047" t="s">
        <v>3100</v>
      </c>
      <c r="C5" s="3048" t="s">
        <v>3101</v>
      </c>
      <c r="D5" s="3057">
        <v>17</v>
      </c>
      <c r="E5" s="3057" t="s">
        <v>3596</v>
      </c>
      <c r="F5" s="3058">
        <v>189.57</v>
      </c>
      <c r="G5" s="3057" t="s">
        <v>3097</v>
      </c>
      <c r="H5" s="3059"/>
      <c r="I5" s="3059"/>
      <c r="J5" s="3436">
        <f t="shared" si="0"/>
        <v>0.8</v>
      </c>
      <c r="L5">
        <f>SUM(L2:L4)</f>
        <v>15388.85</v>
      </c>
    </row>
    <row r="6" spans="1:12">
      <c r="A6" s="3057">
        <v>5</v>
      </c>
      <c r="B6" s="3047" t="s">
        <v>3100</v>
      </c>
      <c r="C6" s="3048" t="s">
        <v>3101</v>
      </c>
      <c r="D6" s="3057">
        <v>17</v>
      </c>
      <c r="E6" s="3057" t="s">
        <v>3597</v>
      </c>
      <c r="F6" s="3058">
        <v>194.53</v>
      </c>
      <c r="G6" s="3057" t="s">
        <v>3097</v>
      </c>
      <c r="H6" s="3059"/>
      <c r="I6" s="3059"/>
      <c r="J6" s="3436">
        <f t="shared" si="0"/>
        <v>0.8</v>
      </c>
    </row>
    <row r="7" spans="1:12">
      <c r="A7" s="3057">
        <v>6</v>
      </c>
      <c r="B7" s="3047" t="s">
        <v>3100</v>
      </c>
      <c r="C7" s="3048" t="s">
        <v>3101</v>
      </c>
      <c r="D7" s="3057">
        <v>18</v>
      </c>
      <c r="E7" s="3057" t="s">
        <v>3595</v>
      </c>
      <c r="F7" s="3058">
        <v>189.34</v>
      </c>
      <c r="G7" s="3057" t="s">
        <v>3097</v>
      </c>
      <c r="H7" s="3059"/>
      <c r="I7" s="3059"/>
      <c r="J7" s="3436">
        <f t="shared" si="0"/>
        <v>0.8</v>
      </c>
    </row>
    <row r="8" spans="1:12">
      <c r="A8" s="3057">
        <v>7</v>
      </c>
      <c r="B8" s="3047" t="s">
        <v>3100</v>
      </c>
      <c r="C8" s="3048" t="s">
        <v>3101</v>
      </c>
      <c r="D8" s="3057">
        <v>18</v>
      </c>
      <c r="E8" s="3057" t="s">
        <v>3596</v>
      </c>
      <c r="F8" s="3058">
        <v>189.53</v>
      </c>
      <c r="G8" s="3057" t="s">
        <v>3097</v>
      </c>
      <c r="H8" s="3059"/>
      <c r="I8" s="3059"/>
      <c r="J8" s="3436">
        <f t="shared" si="0"/>
        <v>0.8</v>
      </c>
    </row>
    <row r="9" spans="1:12">
      <c r="A9" s="3057">
        <v>8</v>
      </c>
      <c r="B9" s="3047" t="s">
        <v>3100</v>
      </c>
      <c r="C9" s="3048" t="s">
        <v>3101</v>
      </c>
      <c r="D9" s="3057">
        <v>18</v>
      </c>
      <c r="E9" s="3057" t="s">
        <v>3597</v>
      </c>
      <c r="F9" s="3058">
        <v>194.48</v>
      </c>
      <c r="G9" s="3057" t="s">
        <v>3097</v>
      </c>
      <c r="H9" s="3059"/>
      <c r="I9" s="3059"/>
      <c r="J9" s="3436">
        <f t="shared" si="0"/>
        <v>0.8</v>
      </c>
    </row>
    <row r="10" spans="1:12">
      <c r="A10" s="3057">
        <v>9</v>
      </c>
      <c r="B10" s="3047" t="s">
        <v>3100</v>
      </c>
      <c r="C10" s="3048" t="s">
        <v>3101</v>
      </c>
      <c r="D10" s="3057">
        <v>19</v>
      </c>
      <c r="E10" s="3057" t="s">
        <v>3598</v>
      </c>
      <c r="F10" s="3058">
        <v>81.459999999999994</v>
      </c>
      <c r="G10" s="3057" t="s">
        <v>3092</v>
      </c>
      <c r="H10" s="3059"/>
      <c r="I10" s="3059"/>
      <c r="J10" s="3436">
        <f t="shared" si="0"/>
        <v>0.8</v>
      </c>
    </row>
    <row r="11" spans="1:12">
      <c r="A11" s="3057">
        <v>10</v>
      </c>
      <c r="B11" s="3047" t="s">
        <v>3100</v>
      </c>
      <c r="C11" s="3048" t="s">
        <v>3101</v>
      </c>
      <c r="D11" s="3057">
        <v>19</v>
      </c>
      <c r="E11" s="3057" t="s">
        <v>3589</v>
      </c>
      <c r="F11" s="3058">
        <v>80.260000000000005</v>
      </c>
      <c r="G11" s="3057" t="s">
        <v>3092</v>
      </c>
      <c r="H11" s="3059"/>
      <c r="I11" s="3059"/>
      <c r="J11" s="3436">
        <f t="shared" si="0"/>
        <v>0.8</v>
      </c>
    </row>
    <row r="12" spans="1:12">
      <c r="A12" s="3057">
        <v>11</v>
      </c>
      <c r="B12" s="3047" t="s">
        <v>3100</v>
      </c>
      <c r="C12" s="3048" t="s">
        <v>3101</v>
      </c>
      <c r="D12" s="3057">
        <v>19</v>
      </c>
      <c r="E12" s="3057" t="s">
        <v>3599</v>
      </c>
      <c r="F12" s="3058">
        <v>78.31</v>
      </c>
      <c r="G12" s="3057" t="s">
        <v>3092</v>
      </c>
      <c r="H12" s="3059"/>
      <c r="I12" s="3059"/>
      <c r="J12" s="3436">
        <f t="shared" si="0"/>
        <v>0.8</v>
      </c>
    </row>
    <row r="13" spans="1:12">
      <c r="A13" s="3057">
        <v>12</v>
      </c>
      <c r="B13" s="3047" t="s">
        <v>3100</v>
      </c>
      <c r="C13" s="3048" t="s">
        <v>3101</v>
      </c>
      <c r="D13" s="3057">
        <v>19</v>
      </c>
      <c r="E13" s="3057" t="s">
        <v>3600</v>
      </c>
      <c r="F13" s="3058">
        <v>63.64</v>
      </c>
      <c r="G13" s="3057" t="s">
        <v>3092</v>
      </c>
      <c r="H13" s="3059"/>
      <c r="I13" s="3059"/>
      <c r="J13" s="3436">
        <f t="shared" si="0"/>
        <v>0.8</v>
      </c>
    </row>
    <row r="14" spans="1:12">
      <c r="A14" s="3057">
        <v>13</v>
      </c>
      <c r="B14" s="3047" t="s">
        <v>3100</v>
      </c>
      <c r="C14" s="3048" t="s">
        <v>3101</v>
      </c>
      <c r="D14" s="3057">
        <v>19</v>
      </c>
      <c r="E14" s="3057" t="s">
        <v>3601</v>
      </c>
      <c r="F14" s="3058">
        <v>66.87</v>
      </c>
      <c r="G14" s="3057" t="s">
        <v>3092</v>
      </c>
      <c r="H14" s="3059"/>
      <c r="I14" s="3059"/>
      <c r="J14" s="3436">
        <f t="shared" si="0"/>
        <v>0.8</v>
      </c>
    </row>
    <row r="15" spans="1:12">
      <c r="A15" s="3057">
        <v>14</v>
      </c>
      <c r="B15" s="3047" t="s">
        <v>3100</v>
      </c>
      <c r="C15" s="3048" t="s">
        <v>3101</v>
      </c>
      <c r="D15" s="3057">
        <v>19</v>
      </c>
      <c r="E15" s="3057" t="s">
        <v>3602</v>
      </c>
      <c r="F15" s="3058">
        <v>65.08</v>
      </c>
      <c r="G15" s="3057" t="s">
        <v>3092</v>
      </c>
      <c r="H15" s="3059"/>
      <c r="I15" s="3059"/>
      <c r="J15" s="3436">
        <f t="shared" si="0"/>
        <v>0.8</v>
      </c>
    </row>
    <row r="16" spans="1:12">
      <c r="A16" s="3057">
        <v>15</v>
      </c>
      <c r="B16" s="3047" t="s">
        <v>3100</v>
      </c>
      <c r="C16" s="3048" t="s">
        <v>3101</v>
      </c>
      <c r="D16" s="3057">
        <v>19</v>
      </c>
      <c r="E16" s="3057" t="s">
        <v>3603</v>
      </c>
      <c r="F16" s="3058">
        <v>61.43</v>
      </c>
      <c r="G16" s="3057" t="s">
        <v>3092</v>
      </c>
      <c r="H16" s="3059"/>
      <c r="I16" s="3059"/>
      <c r="J16" s="3436">
        <f t="shared" si="0"/>
        <v>0.8</v>
      </c>
    </row>
    <row r="17" spans="1:10">
      <c r="A17" s="3057">
        <v>16</v>
      </c>
      <c r="B17" s="3047" t="s">
        <v>3100</v>
      </c>
      <c r="C17" s="3048" t="s">
        <v>3101</v>
      </c>
      <c r="D17" s="3057">
        <v>19</v>
      </c>
      <c r="E17" s="3057" t="s">
        <v>3604</v>
      </c>
      <c r="F17" s="3058">
        <v>70.86</v>
      </c>
      <c r="G17" s="3057" t="s">
        <v>3092</v>
      </c>
      <c r="H17" s="3059"/>
      <c r="I17" s="3059"/>
      <c r="J17" s="3436">
        <f t="shared" si="0"/>
        <v>0.8</v>
      </c>
    </row>
    <row r="18" spans="1:10">
      <c r="A18" s="3057">
        <v>17</v>
      </c>
      <c r="B18" s="3047" t="s">
        <v>3100</v>
      </c>
      <c r="C18" s="3048" t="s">
        <v>3101</v>
      </c>
      <c r="D18" s="3057">
        <v>19</v>
      </c>
      <c r="E18" s="3057" t="s">
        <v>3605</v>
      </c>
      <c r="F18" s="3058">
        <v>68.19</v>
      </c>
      <c r="G18" s="3057" t="s">
        <v>3092</v>
      </c>
      <c r="H18" s="3059"/>
      <c r="I18" s="3059"/>
      <c r="J18" s="3436">
        <f t="shared" si="0"/>
        <v>0.8</v>
      </c>
    </row>
    <row r="19" spans="1:10">
      <c r="A19" s="3057">
        <v>18</v>
      </c>
      <c r="B19" s="3047" t="s">
        <v>3100</v>
      </c>
      <c r="C19" s="3048" t="s">
        <v>3101</v>
      </c>
      <c r="D19" s="3057">
        <v>19</v>
      </c>
      <c r="E19" s="3057" t="s">
        <v>3606</v>
      </c>
      <c r="F19" s="3058">
        <v>67.760000000000005</v>
      </c>
      <c r="G19" s="3057" t="s">
        <v>3092</v>
      </c>
      <c r="H19" s="3059"/>
      <c r="I19" s="3059"/>
      <c r="J19" s="3436">
        <f t="shared" si="0"/>
        <v>0.8</v>
      </c>
    </row>
    <row r="20" spans="1:10">
      <c r="A20" s="3057">
        <v>19</v>
      </c>
      <c r="B20" s="3047" t="s">
        <v>3100</v>
      </c>
      <c r="C20" s="3048" t="s">
        <v>3101</v>
      </c>
      <c r="D20" s="3057">
        <v>19</v>
      </c>
      <c r="E20" s="3057" t="s">
        <v>3607</v>
      </c>
      <c r="F20" s="3058">
        <v>57.12</v>
      </c>
      <c r="G20" s="3057" t="s">
        <v>3092</v>
      </c>
      <c r="H20" s="3059"/>
      <c r="I20" s="3059"/>
      <c r="J20" s="3436">
        <f t="shared" si="0"/>
        <v>0.8</v>
      </c>
    </row>
    <row r="21" spans="1:10">
      <c r="A21" s="3057">
        <v>20</v>
      </c>
      <c r="B21" s="3047" t="s">
        <v>3100</v>
      </c>
      <c r="C21" s="3048" t="s">
        <v>3101</v>
      </c>
      <c r="D21" s="3057">
        <v>19</v>
      </c>
      <c r="E21" s="3057" t="s">
        <v>3608</v>
      </c>
      <c r="F21" s="3058">
        <v>58.18</v>
      </c>
      <c r="G21" s="3057" t="s">
        <v>3092</v>
      </c>
      <c r="H21" s="3059"/>
      <c r="I21" s="3059"/>
      <c r="J21" s="3436">
        <f t="shared" si="0"/>
        <v>0.8</v>
      </c>
    </row>
    <row r="22" spans="1:10">
      <c r="A22" s="3057">
        <v>21</v>
      </c>
      <c r="B22" s="3047" t="s">
        <v>3100</v>
      </c>
      <c r="C22" s="3048" t="s">
        <v>3101</v>
      </c>
      <c r="D22" s="3057">
        <v>19</v>
      </c>
      <c r="E22" s="3057" t="s">
        <v>3609</v>
      </c>
      <c r="F22" s="3058">
        <v>73.77</v>
      </c>
      <c r="G22" s="3057" t="s">
        <v>3092</v>
      </c>
      <c r="H22" s="3059"/>
      <c r="I22" s="3059"/>
      <c r="J22" s="3436">
        <f t="shared" si="0"/>
        <v>0.8</v>
      </c>
    </row>
    <row r="23" spans="1:10">
      <c r="A23" s="3057">
        <v>22</v>
      </c>
      <c r="B23" s="3047" t="s">
        <v>3100</v>
      </c>
      <c r="C23" s="3048" t="s">
        <v>3101</v>
      </c>
      <c r="D23" s="3057">
        <v>19</v>
      </c>
      <c r="E23" s="3057" t="s">
        <v>3610</v>
      </c>
      <c r="F23" s="3058">
        <v>67.89</v>
      </c>
      <c r="G23" s="3057" t="s">
        <v>3092</v>
      </c>
      <c r="H23" s="3059"/>
      <c r="I23" s="3059"/>
      <c r="J23" s="3436">
        <f t="shared" si="0"/>
        <v>0.8</v>
      </c>
    </row>
    <row r="24" spans="1:10">
      <c r="A24" s="3057">
        <v>23</v>
      </c>
      <c r="B24" s="3047" t="s">
        <v>3100</v>
      </c>
      <c r="C24" s="3048" t="s">
        <v>3101</v>
      </c>
      <c r="D24" s="3057">
        <v>24</v>
      </c>
      <c r="E24" s="3057" t="s">
        <v>3611</v>
      </c>
      <c r="F24" s="3058">
        <v>61.18</v>
      </c>
      <c r="G24" s="3057" t="s">
        <v>3092</v>
      </c>
      <c r="H24" s="3059"/>
      <c r="I24" s="3059"/>
      <c r="J24" s="3436">
        <f t="shared" si="0"/>
        <v>0.8</v>
      </c>
    </row>
    <row r="25" spans="1:10">
      <c r="A25" s="3057">
        <v>24</v>
      </c>
      <c r="B25" s="3047" t="s">
        <v>3100</v>
      </c>
      <c r="C25" s="3048" t="s">
        <v>3101</v>
      </c>
      <c r="D25" s="3057">
        <v>24</v>
      </c>
      <c r="E25" s="3057" t="s">
        <v>3612</v>
      </c>
      <c r="F25" s="3058">
        <v>57.13</v>
      </c>
      <c r="G25" s="3057" t="s">
        <v>3092</v>
      </c>
      <c r="H25" s="3059"/>
      <c r="I25" s="3059"/>
      <c r="J25" s="3436">
        <f t="shared" si="0"/>
        <v>0.8</v>
      </c>
    </row>
    <row r="26" spans="1:10">
      <c r="A26" s="3057">
        <v>25</v>
      </c>
      <c r="B26" s="3047" t="s">
        <v>3100</v>
      </c>
      <c r="C26" s="3048" t="s">
        <v>3101</v>
      </c>
      <c r="D26" s="3057">
        <v>24</v>
      </c>
      <c r="E26" s="3057" t="s">
        <v>3613</v>
      </c>
      <c r="F26" s="3058">
        <v>67.099999999999994</v>
      </c>
      <c r="G26" s="3057" t="s">
        <v>3092</v>
      </c>
      <c r="H26" s="3059"/>
      <c r="I26" s="3059"/>
      <c r="J26" s="3436">
        <f t="shared" si="0"/>
        <v>0.8</v>
      </c>
    </row>
    <row r="27" spans="1:10">
      <c r="A27" s="3057">
        <v>26</v>
      </c>
      <c r="B27" s="3047" t="s">
        <v>3100</v>
      </c>
      <c r="C27" s="3048" t="s">
        <v>3101</v>
      </c>
      <c r="D27" s="3057">
        <v>24</v>
      </c>
      <c r="E27" s="3057" t="s">
        <v>3614</v>
      </c>
      <c r="F27" s="3058">
        <v>30.82</v>
      </c>
      <c r="G27" s="3057" t="s">
        <v>3092</v>
      </c>
      <c r="H27" s="3059"/>
      <c r="I27" s="3059"/>
      <c r="J27" s="3436">
        <f t="shared" si="0"/>
        <v>0.8</v>
      </c>
    </row>
    <row r="28" spans="1:10">
      <c r="A28" s="3057">
        <v>27</v>
      </c>
      <c r="B28" s="3047" t="s">
        <v>3100</v>
      </c>
      <c r="C28" s="3048" t="s">
        <v>3101</v>
      </c>
      <c r="D28" s="3057">
        <v>24</v>
      </c>
      <c r="E28" s="3057" t="s">
        <v>3615</v>
      </c>
      <c r="F28" s="3058">
        <v>30.24</v>
      </c>
      <c r="G28" s="3057" t="s">
        <v>3092</v>
      </c>
      <c r="H28" s="3059"/>
      <c r="I28" s="3059"/>
      <c r="J28" s="3436">
        <f t="shared" si="0"/>
        <v>0.8</v>
      </c>
    </row>
    <row r="29" spans="1:10">
      <c r="A29" s="3057">
        <v>28</v>
      </c>
      <c r="B29" s="3047" t="s">
        <v>3100</v>
      </c>
      <c r="C29" s="3048" t="s">
        <v>3101</v>
      </c>
      <c r="D29" s="3057">
        <v>24</v>
      </c>
      <c r="E29" s="3057" t="s">
        <v>3616</v>
      </c>
      <c r="F29" s="3058">
        <v>63.85</v>
      </c>
      <c r="G29" s="3057" t="s">
        <v>3092</v>
      </c>
      <c r="H29" s="3059"/>
      <c r="I29" s="3059"/>
      <c r="J29" s="3436">
        <f t="shared" si="0"/>
        <v>0.8</v>
      </c>
    </row>
    <row r="30" spans="1:10">
      <c r="A30" s="3057">
        <v>29</v>
      </c>
      <c r="B30" s="3047" t="s">
        <v>3100</v>
      </c>
      <c r="C30" s="3048" t="s">
        <v>3101</v>
      </c>
      <c r="D30" s="3057">
        <v>24</v>
      </c>
      <c r="E30" s="3057" t="s">
        <v>3617</v>
      </c>
      <c r="F30" s="3058">
        <v>52.75</v>
      </c>
      <c r="G30" s="3057" t="s">
        <v>3092</v>
      </c>
      <c r="H30" s="3059"/>
      <c r="I30" s="3059"/>
      <c r="J30" s="3436">
        <f t="shared" si="0"/>
        <v>0.8</v>
      </c>
    </row>
    <row r="31" spans="1:10">
      <c r="A31" s="3057">
        <v>30</v>
      </c>
      <c r="B31" s="3047" t="s">
        <v>3100</v>
      </c>
      <c r="C31" s="3048" t="s">
        <v>3101</v>
      </c>
      <c r="D31" s="3057">
        <v>24</v>
      </c>
      <c r="E31" s="3057" t="s">
        <v>3618</v>
      </c>
      <c r="F31" s="3058">
        <v>54.07</v>
      </c>
      <c r="G31" s="3057" t="s">
        <v>3092</v>
      </c>
      <c r="H31" s="3059"/>
      <c r="I31" s="3059"/>
      <c r="J31" s="3436">
        <f t="shared" si="0"/>
        <v>0.8</v>
      </c>
    </row>
    <row r="32" spans="1:10">
      <c r="A32" s="3057">
        <v>31</v>
      </c>
      <c r="B32" s="3047" t="s">
        <v>3100</v>
      </c>
      <c r="C32" s="3048" t="s">
        <v>3101</v>
      </c>
      <c r="D32" s="3057">
        <v>24</v>
      </c>
      <c r="E32" s="3057" t="s">
        <v>3619</v>
      </c>
      <c r="F32" s="3058">
        <v>52.23</v>
      </c>
      <c r="G32" s="3057" t="s">
        <v>3092</v>
      </c>
      <c r="H32" s="3059"/>
      <c r="I32" s="3059"/>
      <c r="J32" s="3436">
        <f t="shared" si="0"/>
        <v>0.8</v>
      </c>
    </row>
    <row r="33" spans="1:10">
      <c r="A33" s="3057">
        <v>32</v>
      </c>
      <c r="B33" s="3047" t="s">
        <v>3100</v>
      </c>
      <c r="C33" s="3048" t="s">
        <v>3101</v>
      </c>
      <c r="D33" s="3057">
        <v>24</v>
      </c>
      <c r="E33" s="3057" t="s">
        <v>3620</v>
      </c>
      <c r="F33" s="3058">
        <v>50.02</v>
      </c>
      <c r="G33" s="3057" t="s">
        <v>3092</v>
      </c>
      <c r="H33" s="3059"/>
      <c r="I33" s="3059"/>
      <c r="J33" s="3436">
        <f t="shared" si="0"/>
        <v>0.8</v>
      </c>
    </row>
    <row r="34" spans="1:10">
      <c r="A34" s="3057">
        <v>33</v>
      </c>
      <c r="B34" s="3047" t="s">
        <v>3100</v>
      </c>
      <c r="C34" s="3048" t="s">
        <v>3101</v>
      </c>
      <c r="D34" s="3057">
        <v>24</v>
      </c>
      <c r="E34" s="3057" t="s">
        <v>3621</v>
      </c>
      <c r="F34" s="3058">
        <v>56.63</v>
      </c>
      <c r="G34" s="3057" t="s">
        <v>3092</v>
      </c>
      <c r="H34" s="3059"/>
      <c r="I34" s="3059"/>
      <c r="J34" s="3436">
        <f t="shared" si="0"/>
        <v>0.8</v>
      </c>
    </row>
    <row r="35" spans="1:10">
      <c r="A35" s="3057">
        <v>34</v>
      </c>
      <c r="B35" s="3047" t="s">
        <v>3100</v>
      </c>
      <c r="C35" s="3048" t="s">
        <v>3101</v>
      </c>
      <c r="D35" s="3057">
        <v>24</v>
      </c>
      <c r="E35" s="3057" t="s">
        <v>3622</v>
      </c>
      <c r="F35" s="3058">
        <v>24.61</v>
      </c>
      <c r="G35" s="3057" t="s">
        <v>3092</v>
      </c>
      <c r="H35" s="3059"/>
      <c r="I35" s="3059"/>
      <c r="J35" s="3436">
        <f t="shared" si="0"/>
        <v>0.8</v>
      </c>
    </row>
    <row r="36" spans="1:10">
      <c r="A36" s="3057">
        <v>35</v>
      </c>
      <c r="B36" s="3047" t="s">
        <v>3100</v>
      </c>
      <c r="C36" s="3048" t="s">
        <v>3101</v>
      </c>
      <c r="D36" s="3057">
        <v>24</v>
      </c>
      <c r="E36" s="3057" t="s">
        <v>3623</v>
      </c>
      <c r="F36" s="3058">
        <v>24.02</v>
      </c>
      <c r="G36" s="3057" t="s">
        <v>3092</v>
      </c>
      <c r="H36" s="3059"/>
      <c r="I36" s="3059"/>
      <c r="J36" s="3436">
        <f t="shared" si="0"/>
        <v>0.8</v>
      </c>
    </row>
    <row r="37" spans="1:10">
      <c r="A37" s="3057">
        <v>36</v>
      </c>
      <c r="B37" s="3047" t="s">
        <v>3100</v>
      </c>
      <c r="C37" s="3048" t="s">
        <v>3101</v>
      </c>
      <c r="D37" s="3057">
        <v>24</v>
      </c>
      <c r="E37" s="3057" t="s">
        <v>3624</v>
      </c>
      <c r="F37" s="3058">
        <v>53.3</v>
      </c>
      <c r="G37" s="3057" t="s">
        <v>3092</v>
      </c>
      <c r="H37" s="3059"/>
      <c r="I37" s="3059"/>
      <c r="J37" s="3436">
        <f t="shared" si="0"/>
        <v>0.8</v>
      </c>
    </row>
    <row r="38" spans="1:10">
      <c r="A38" s="3057">
        <v>37</v>
      </c>
      <c r="B38" s="3047" t="s">
        <v>3100</v>
      </c>
      <c r="C38" s="3048" t="s">
        <v>3101</v>
      </c>
      <c r="D38" s="3057">
        <v>24</v>
      </c>
      <c r="E38" s="3057" t="s">
        <v>3625</v>
      </c>
      <c r="F38" s="3058">
        <v>45.75</v>
      </c>
      <c r="G38" s="3057" t="s">
        <v>3092</v>
      </c>
      <c r="H38" s="3059"/>
      <c r="I38" s="3059"/>
      <c r="J38" s="3436">
        <f t="shared" si="0"/>
        <v>0.8</v>
      </c>
    </row>
    <row r="39" spans="1:10">
      <c r="A39" s="3057">
        <v>38</v>
      </c>
      <c r="B39" s="3047" t="s">
        <v>3100</v>
      </c>
      <c r="C39" s="3048" t="s">
        <v>3101</v>
      </c>
      <c r="D39" s="3057">
        <v>24</v>
      </c>
      <c r="E39" s="3057" t="s">
        <v>3626</v>
      </c>
      <c r="F39" s="3058">
        <v>45.12</v>
      </c>
      <c r="G39" s="3057" t="s">
        <v>3092</v>
      </c>
      <c r="H39" s="3059"/>
      <c r="I39" s="3059"/>
      <c r="J39" s="3436">
        <f t="shared" si="0"/>
        <v>0.8</v>
      </c>
    </row>
    <row r="40" spans="1:10">
      <c r="A40" s="3057">
        <v>39</v>
      </c>
      <c r="B40" s="3047" t="s">
        <v>3100</v>
      </c>
      <c r="C40" s="3048" t="s">
        <v>3101</v>
      </c>
      <c r="D40" s="3057">
        <v>24</v>
      </c>
      <c r="E40" s="3057" t="s">
        <v>3627</v>
      </c>
      <c r="F40" s="3058">
        <v>44.58</v>
      </c>
      <c r="G40" s="3057" t="s">
        <v>3092</v>
      </c>
      <c r="H40" s="3059"/>
      <c r="I40" s="3059"/>
      <c r="J40" s="3436">
        <f t="shared" si="0"/>
        <v>0.8</v>
      </c>
    </row>
    <row r="41" spans="1:10">
      <c r="A41" s="3057">
        <v>40</v>
      </c>
      <c r="B41" s="3047" t="s">
        <v>3100</v>
      </c>
      <c r="C41" s="3048" t="s">
        <v>3101</v>
      </c>
      <c r="D41" s="3057">
        <v>24</v>
      </c>
      <c r="E41" s="3057" t="s">
        <v>3628</v>
      </c>
      <c r="F41" s="3058">
        <v>42.77</v>
      </c>
      <c r="G41" s="3057" t="s">
        <v>3092</v>
      </c>
      <c r="H41" s="3059"/>
      <c r="I41" s="3059"/>
      <c r="J41" s="3436">
        <f t="shared" si="0"/>
        <v>0.8</v>
      </c>
    </row>
    <row r="42" spans="1:10">
      <c r="A42" s="3057">
        <v>41</v>
      </c>
      <c r="B42" s="3047" t="s">
        <v>3100</v>
      </c>
      <c r="C42" s="3048" t="s">
        <v>3101</v>
      </c>
      <c r="D42" s="3057">
        <v>24</v>
      </c>
      <c r="E42" s="3057" t="s">
        <v>3629</v>
      </c>
      <c r="F42" s="3058">
        <v>48.25</v>
      </c>
      <c r="G42" s="3057" t="s">
        <v>3092</v>
      </c>
      <c r="H42" s="3059"/>
      <c r="I42" s="3059"/>
      <c r="J42" s="3436">
        <f t="shared" si="0"/>
        <v>0.8</v>
      </c>
    </row>
    <row r="43" spans="1:10" s="3080" customFormat="1">
      <c r="A43" s="3075">
        <v>42</v>
      </c>
      <c r="B43" s="3076" t="s">
        <v>3100</v>
      </c>
      <c r="C43" s="3077" t="s">
        <v>3101</v>
      </c>
      <c r="D43" s="3075">
        <v>24</v>
      </c>
      <c r="E43" s="3075" t="s">
        <v>3630</v>
      </c>
      <c r="F43" s="3078">
        <v>18.71</v>
      </c>
      <c r="G43" s="3075" t="s">
        <v>3092</v>
      </c>
      <c r="H43" s="3079"/>
      <c r="I43" s="3079"/>
      <c r="J43" s="3436">
        <f t="shared" si="0"/>
        <v>0.8</v>
      </c>
    </row>
    <row r="44" spans="1:10">
      <c r="A44" s="3057">
        <v>43</v>
      </c>
      <c r="B44" s="3047" t="s">
        <v>3100</v>
      </c>
      <c r="C44" s="3048" t="s">
        <v>3101</v>
      </c>
      <c r="D44" s="3057">
        <v>24</v>
      </c>
      <c r="E44" s="3057" t="s">
        <v>3631</v>
      </c>
      <c r="F44" s="3058">
        <v>18.12</v>
      </c>
      <c r="G44" s="3057" t="s">
        <v>3092</v>
      </c>
      <c r="H44" s="3059"/>
      <c r="I44" s="3059"/>
      <c r="J44" s="3436">
        <f t="shared" si="0"/>
        <v>0.8</v>
      </c>
    </row>
    <row r="45" spans="1:10">
      <c r="A45" s="3057">
        <v>44</v>
      </c>
      <c r="B45" s="3047" t="s">
        <v>3100</v>
      </c>
      <c r="C45" s="3048" t="s">
        <v>3101</v>
      </c>
      <c r="D45" s="3057">
        <v>24</v>
      </c>
      <c r="E45" s="3057" t="s">
        <v>3632</v>
      </c>
      <c r="F45" s="3058">
        <v>44.16</v>
      </c>
      <c r="G45" s="3057" t="s">
        <v>3092</v>
      </c>
      <c r="H45" s="3059"/>
      <c r="I45" s="3059"/>
      <c r="J45" s="3436">
        <f t="shared" si="0"/>
        <v>0.8</v>
      </c>
    </row>
    <row r="46" spans="1:10">
      <c r="A46" s="3057">
        <v>45</v>
      </c>
      <c r="B46" s="3047" t="s">
        <v>3100</v>
      </c>
      <c r="C46" s="3048" t="s">
        <v>3101</v>
      </c>
      <c r="D46" s="3057">
        <v>24</v>
      </c>
      <c r="E46" s="3057" t="s">
        <v>3633</v>
      </c>
      <c r="F46" s="3058">
        <v>38.39</v>
      </c>
      <c r="G46" s="3057" t="s">
        <v>3092</v>
      </c>
      <c r="H46" s="3059"/>
      <c r="I46" s="3059"/>
      <c r="J46" s="3436">
        <f t="shared" si="0"/>
        <v>0.8</v>
      </c>
    </row>
    <row r="47" spans="1:10">
      <c r="A47" s="3057">
        <v>46</v>
      </c>
      <c r="B47" s="3047" t="s">
        <v>3100</v>
      </c>
      <c r="C47" s="3048" t="s">
        <v>3101</v>
      </c>
      <c r="D47" s="3057">
        <v>24</v>
      </c>
      <c r="E47" s="3057" t="s">
        <v>3634</v>
      </c>
      <c r="F47" s="3058">
        <v>37.46</v>
      </c>
      <c r="G47" s="3057" t="s">
        <v>3092</v>
      </c>
      <c r="H47" s="3059"/>
      <c r="I47" s="3059"/>
      <c r="J47" s="3436">
        <f t="shared" si="0"/>
        <v>0.8</v>
      </c>
    </row>
    <row r="48" spans="1:10">
      <c r="A48" s="3057">
        <v>47</v>
      </c>
      <c r="B48" s="3047" t="s">
        <v>3100</v>
      </c>
      <c r="C48" s="3048" t="s">
        <v>3101</v>
      </c>
      <c r="D48" s="3057">
        <v>25</v>
      </c>
      <c r="E48" s="3057" t="s">
        <v>3635</v>
      </c>
      <c r="F48" s="3058">
        <v>146.65</v>
      </c>
      <c r="G48" s="3057" t="s">
        <v>3092</v>
      </c>
      <c r="H48" s="3059"/>
      <c r="I48" s="3059"/>
      <c r="J48" s="3436">
        <v>0.95</v>
      </c>
    </row>
    <row r="49" spans="1:10">
      <c r="A49" s="3057">
        <v>48</v>
      </c>
      <c r="B49" s="3047" t="s">
        <v>3100</v>
      </c>
      <c r="C49" s="3048" t="s">
        <v>3101</v>
      </c>
      <c r="D49" s="3057">
        <v>25</v>
      </c>
      <c r="E49" s="3057" t="s">
        <v>3636</v>
      </c>
      <c r="F49" s="3058">
        <v>77.56</v>
      </c>
      <c r="G49" s="3057" t="s">
        <v>3092</v>
      </c>
      <c r="H49" s="3059"/>
      <c r="I49" s="3059"/>
      <c r="J49" s="3436">
        <f>J48</f>
        <v>0.95</v>
      </c>
    </row>
    <row r="50" spans="1:10">
      <c r="A50" s="3057">
        <v>49</v>
      </c>
      <c r="B50" s="3047" t="s">
        <v>3100</v>
      </c>
      <c r="C50" s="3048" t="s">
        <v>3101</v>
      </c>
      <c r="D50" s="3057">
        <v>25</v>
      </c>
      <c r="E50" s="3057" t="s">
        <v>3637</v>
      </c>
      <c r="F50" s="3058">
        <v>72.650000000000006</v>
      </c>
      <c r="G50" s="3057" t="s">
        <v>3092</v>
      </c>
      <c r="H50" s="3059"/>
      <c r="I50" s="3059"/>
      <c r="J50" s="3436">
        <f t="shared" ref="J50:J113" si="1">J49</f>
        <v>0.95</v>
      </c>
    </row>
    <row r="51" spans="1:10">
      <c r="A51" s="3057">
        <v>50</v>
      </c>
      <c r="B51" s="3047" t="s">
        <v>3100</v>
      </c>
      <c r="C51" s="3048" t="s">
        <v>3101</v>
      </c>
      <c r="D51" s="3057">
        <v>25</v>
      </c>
      <c r="E51" s="3057" t="s">
        <v>3638</v>
      </c>
      <c r="F51" s="3058">
        <v>73.459999999999994</v>
      </c>
      <c r="G51" s="3057" t="s">
        <v>3092</v>
      </c>
      <c r="H51" s="3059"/>
      <c r="I51" s="3059"/>
      <c r="J51" s="3436">
        <f t="shared" si="1"/>
        <v>0.95</v>
      </c>
    </row>
    <row r="52" spans="1:10">
      <c r="A52" s="3057">
        <v>51</v>
      </c>
      <c r="B52" s="3047" t="s">
        <v>3100</v>
      </c>
      <c r="C52" s="3048" t="s">
        <v>3101</v>
      </c>
      <c r="D52" s="3057">
        <v>25</v>
      </c>
      <c r="E52" s="3057" t="s">
        <v>3639</v>
      </c>
      <c r="F52" s="3058">
        <v>64.540000000000006</v>
      </c>
      <c r="G52" s="3057" t="s">
        <v>3092</v>
      </c>
      <c r="H52" s="3059"/>
      <c r="I52" s="3059"/>
      <c r="J52" s="3436">
        <f t="shared" si="1"/>
        <v>0.95</v>
      </c>
    </row>
    <row r="53" spans="1:10">
      <c r="A53" s="3057">
        <v>52</v>
      </c>
      <c r="B53" s="3047" t="s">
        <v>3100</v>
      </c>
      <c r="C53" s="3048" t="s">
        <v>3101</v>
      </c>
      <c r="D53" s="3057">
        <v>25</v>
      </c>
      <c r="E53" s="3057" t="s">
        <v>3640</v>
      </c>
      <c r="F53" s="3058">
        <v>63.26</v>
      </c>
      <c r="G53" s="3057" t="s">
        <v>3092</v>
      </c>
      <c r="H53" s="3059"/>
      <c r="I53" s="3059"/>
      <c r="J53" s="3436">
        <f t="shared" si="1"/>
        <v>0.95</v>
      </c>
    </row>
    <row r="54" spans="1:10">
      <c r="A54" s="3057">
        <v>53</v>
      </c>
      <c r="B54" s="3047" t="s">
        <v>3100</v>
      </c>
      <c r="C54" s="3048" t="s">
        <v>3101</v>
      </c>
      <c r="D54" s="3057">
        <v>25</v>
      </c>
      <c r="E54" s="3057" t="s">
        <v>3641</v>
      </c>
      <c r="F54" s="3058">
        <v>70.209999999999994</v>
      </c>
      <c r="G54" s="3057" t="s">
        <v>3092</v>
      </c>
      <c r="H54" s="3059"/>
      <c r="I54" s="3059"/>
      <c r="J54" s="3436">
        <f t="shared" si="1"/>
        <v>0.95</v>
      </c>
    </row>
    <row r="55" spans="1:10">
      <c r="A55" s="3057">
        <v>54</v>
      </c>
      <c r="B55" s="3047" t="s">
        <v>3100</v>
      </c>
      <c r="C55" s="3048" t="s">
        <v>3101</v>
      </c>
      <c r="D55" s="3057">
        <v>25</v>
      </c>
      <c r="E55" s="3057" t="s">
        <v>3642</v>
      </c>
      <c r="F55" s="3058">
        <v>31.99</v>
      </c>
      <c r="G55" s="3057" t="s">
        <v>3092</v>
      </c>
      <c r="H55" s="3059"/>
      <c r="I55" s="3059"/>
      <c r="J55" s="3436">
        <f t="shared" si="1"/>
        <v>0.95</v>
      </c>
    </row>
    <row r="56" spans="1:10">
      <c r="A56" s="3057">
        <v>55</v>
      </c>
      <c r="B56" s="3047" t="s">
        <v>3100</v>
      </c>
      <c r="C56" s="3048" t="s">
        <v>3101</v>
      </c>
      <c r="D56" s="3057">
        <v>25</v>
      </c>
      <c r="E56" s="3057" t="s">
        <v>3643</v>
      </c>
      <c r="F56" s="3058">
        <v>31.17</v>
      </c>
      <c r="G56" s="3057" t="s">
        <v>3092</v>
      </c>
      <c r="H56" s="3059"/>
      <c r="I56" s="3059"/>
      <c r="J56" s="3436">
        <f t="shared" si="1"/>
        <v>0.95</v>
      </c>
    </row>
    <row r="57" spans="1:10">
      <c r="A57" s="3057">
        <v>56</v>
      </c>
      <c r="B57" s="3047" t="s">
        <v>3100</v>
      </c>
      <c r="C57" s="3048" t="s">
        <v>3101</v>
      </c>
      <c r="D57" s="3057">
        <v>25</v>
      </c>
      <c r="E57" s="3057" t="s">
        <v>3644</v>
      </c>
      <c r="F57" s="3058">
        <v>67.23</v>
      </c>
      <c r="G57" s="3057" t="s">
        <v>3092</v>
      </c>
      <c r="H57" s="3059"/>
      <c r="I57" s="3059"/>
      <c r="J57" s="3436">
        <f t="shared" si="1"/>
        <v>0.95</v>
      </c>
    </row>
    <row r="58" spans="1:10">
      <c r="A58" s="3057">
        <v>57</v>
      </c>
      <c r="B58" s="3047" t="s">
        <v>3100</v>
      </c>
      <c r="C58" s="3048" t="s">
        <v>3101</v>
      </c>
      <c r="D58" s="3057">
        <v>25</v>
      </c>
      <c r="E58" s="3057" t="s">
        <v>3645</v>
      </c>
      <c r="F58" s="3058">
        <v>61.53</v>
      </c>
      <c r="G58" s="3057" t="s">
        <v>3092</v>
      </c>
      <c r="H58" s="3059"/>
      <c r="I58" s="3059"/>
      <c r="J58" s="3436">
        <f t="shared" si="1"/>
        <v>0.95</v>
      </c>
    </row>
    <row r="59" spans="1:10">
      <c r="A59" s="3057">
        <v>58</v>
      </c>
      <c r="B59" s="3047" t="s">
        <v>3100</v>
      </c>
      <c r="C59" s="3048" t="s">
        <v>3101</v>
      </c>
      <c r="D59" s="3057">
        <v>25</v>
      </c>
      <c r="E59" s="3057" t="s">
        <v>3646</v>
      </c>
      <c r="F59" s="3058">
        <v>51.55</v>
      </c>
      <c r="G59" s="3057" t="s">
        <v>3092</v>
      </c>
      <c r="H59" s="3059"/>
      <c r="I59" s="3059"/>
      <c r="J59" s="3436">
        <f t="shared" si="1"/>
        <v>0.95</v>
      </c>
    </row>
    <row r="60" spans="1:10">
      <c r="A60" s="3057">
        <v>59</v>
      </c>
      <c r="B60" s="3047" t="s">
        <v>3100</v>
      </c>
      <c r="C60" s="3048" t="s">
        <v>3101</v>
      </c>
      <c r="D60" s="3057">
        <v>25</v>
      </c>
      <c r="E60" s="3057" t="s">
        <v>3647</v>
      </c>
      <c r="F60" s="3058">
        <v>49.69</v>
      </c>
      <c r="G60" s="3057" t="s">
        <v>3092</v>
      </c>
      <c r="H60" s="3059"/>
      <c r="I60" s="3059"/>
      <c r="J60" s="3436">
        <f t="shared" si="1"/>
        <v>0.95</v>
      </c>
    </row>
    <row r="61" spans="1:10">
      <c r="A61" s="3057">
        <v>60</v>
      </c>
      <c r="B61" s="3047" t="s">
        <v>3100</v>
      </c>
      <c r="C61" s="3048" t="s">
        <v>3101</v>
      </c>
      <c r="D61" s="3057">
        <v>26</v>
      </c>
      <c r="E61" s="3057" t="s">
        <v>3648</v>
      </c>
      <c r="F61" s="3058">
        <v>49.02</v>
      </c>
      <c r="G61" s="3057" t="s">
        <v>3092</v>
      </c>
      <c r="H61" s="3059"/>
      <c r="I61" s="3059"/>
      <c r="J61" s="3436">
        <f t="shared" si="1"/>
        <v>0.95</v>
      </c>
    </row>
    <row r="62" spans="1:10">
      <c r="A62" s="3057">
        <v>61</v>
      </c>
      <c r="B62" s="3047" t="s">
        <v>3100</v>
      </c>
      <c r="C62" s="3048" t="s">
        <v>3101</v>
      </c>
      <c r="D62" s="3057">
        <v>26</v>
      </c>
      <c r="E62" s="3057" t="s">
        <v>3649</v>
      </c>
      <c r="F62" s="3058">
        <v>59.26</v>
      </c>
      <c r="G62" s="3057" t="s">
        <v>3092</v>
      </c>
      <c r="H62" s="3059"/>
      <c r="I62" s="3059"/>
      <c r="J62" s="3436">
        <f t="shared" si="1"/>
        <v>0.95</v>
      </c>
    </row>
    <row r="63" spans="1:10">
      <c r="A63" s="3057">
        <v>62</v>
      </c>
      <c r="B63" s="3047" t="s">
        <v>3100</v>
      </c>
      <c r="C63" s="3048" t="s">
        <v>3101</v>
      </c>
      <c r="D63" s="3057">
        <v>26</v>
      </c>
      <c r="E63" s="3057" t="s">
        <v>3650</v>
      </c>
      <c r="F63" s="3058">
        <v>48.63</v>
      </c>
      <c r="G63" s="3057" t="s">
        <v>3092</v>
      </c>
      <c r="H63" s="3059"/>
      <c r="I63" s="3059"/>
      <c r="J63" s="3436">
        <f t="shared" si="1"/>
        <v>0.95</v>
      </c>
    </row>
    <row r="64" spans="1:10">
      <c r="A64" s="3057">
        <v>63</v>
      </c>
      <c r="B64" s="3047" t="s">
        <v>3100</v>
      </c>
      <c r="C64" s="3048" t="s">
        <v>3101</v>
      </c>
      <c r="D64" s="3057">
        <v>26</v>
      </c>
      <c r="E64" s="3057" t="s">
        <v>3651</v>
      </c>
      <c r="F64" s="3058">
        <v>73.27</v>
      </c>
      <c r="G64" s="3057" t="s">
        <v>3092</v>
      </c>
      <c r="H64" s="3059"/>
      <c r="I64" s="3059"/>
      <c r="J64" s="3436">
        <f t="shared" si="1"/>
        <v>0.95</v>
      </c>
    </row>
    <row r="65" spans="1:10">
      <c r="A65" s="3057">
        <v>64</v>
      </c>
      <c r="B65" s="3047" t="s">
        <v>3100</v>
      </c>
      <c r="C65" s="3048" t="s">
        <v>3101</v>
      </c>
      <c r="D65" s="3057">
        <v>26</v>
      </c>
      <c r="E65" s="3057" t="s">
        <v>3652</v>
      </c>
      <c r="F65" s="3058">
        <v>41.99</v>
      </c>
      <c r="G65" s="3057" t="s">
        <v>3092</v>
      </c>
      <c r="H65" s="3059"/>
      <c r="I65" s="3059"/>
      <c r="J65" s="3436">
        <f t="shared" si="1"/>
        <v>0.95</v>
      </c>
    </row>
    <row r="66" spans="1:10">
      <c r="A66" s="3057">
        <v>65</v>
      </c>
      <c r="B66" s="3047" t="s">
        <v>3100</v>
      </c>
      <c r="C66" s="3048" t="s">
        <v>3101</v>
      </c>
      <c r="D66" s="3057">
        <v>26</v>
      </c>
      <c r="E66" s="3057" t="s">
        <v>3653</v>
      </c>
      <c r="F66" s="3058">
        <v>75.12</v>
      </c>
      <c r="G66" s="3057" t="s">
        <v>3092</v>
      </c>
      <c r="H66" s="3059"/>
      <c r="I66" s="3059"/>
      <c r="J66" s="3436">
        <f t="shared" si="1"/>
        <v>0.95</v>
      </c>
    </row>
    <row r="67" spans="1:10">
      <c r="A67" s="3057">
        <v>66</v>
      </c>
      <c r="B67" s="3047" t="s">
        <v>3100</v>
      </c>
      <c r="C67" s="3048" t="s">
        <v>3101</v>
      </c>
      <c r="D67" s="3057">
        <v>26</v>
      </c>
      <c r="E67" s="3057" t="s">
        <v>3654</v>
      </c>
      <c r="F67" s="3058">
        <v>71.72</v>
      </c>
      <c r="G67" s="3057" t="s">
        <v>3092</v>
      </c>
      <c r="H67" s="3059"/>
      <c r="I67" s="3059"/>
      <c r="J67" s="3436">
        <f t="shared" si="1"/>
        <v>0.95</v>
      </c>
    </row>
    <row r="68" spans="1:10">
      <c r="A68" s="3057">
        <v>67</v>
      </c>
      <c r="B68" s="3047" t="s">
        <v>3100</v>
      </c>
      <c r="C68" s="3048" t="s">
        <v>3101</v>
      </c>
      <c r="D68" s="3057">
        <v>26</v>
      </c>
      <c r="E68" s="3057" t="s">
        <v>3655</v>
      </c>
      <c r="F68" s="3058">
        <v>110.22</v>
      </c>
      <c r="G68" s="3057" t="s">
        <v>3092</v>
      </c>
      <c r="H68" s="3059"/>
      <c r="I68" s="3059"/>
      <c r="J68" s="3436">
        <f t="shared" si="1"/>
        <v>0.95</v>
      </c>
    </row>
    <row r="69" spans="1:10">
      <c r="A69" s="3057">
        <v>68</v>
      </c>
      <c r="B69" s="3047" t="s">
        <v>3100</v>
      </c>
      <c r="C69" s="3048" t="s">
        <v>3101</v>
      </c>
      <c r="D69" s="3057">
        <v>26</v>
      </c>
      <c r="E69" s="3057" t="s">
        <v>3656</v>
      </c>
      <c r="F69" s="3058">
        <v>72.459999999999994</v>
      </c>
      <c r="G69" s="3057" t="s">
        <v>3092</v>
      </c>
      <c r="H69" s="3059"/>
      <c r="I69" s="3059"/>
      <c r="J69" s="3436">
        <f t="shared" si="1"/>
        <v>0.95</v>
      </c>
    </row>
    <row r="70" spans="1:10">
      <c r="A70" s="3057">
        <v>69</v>
      </c>
      <c r="B70" s="3047" t="s">
        <v>3100</v>
      </c>
      <c r="C70" s="3048" t="s">
        <v>3101</v>
      </c>
      <c r="D70" s="3057">
        <v>26</v>
      </c>
      <c r="E70" s="3057" t="s">
        <v>3657</v>
      </c>
      <c r="F70" s="3058">
        <v>67.56</v>
      </c>
      <c r="G70" s="3057" t="s">
        <v>3092</v>
      </c>
      <c r="H70" s="3059"/>
      <c r="I70" s="3059"/>
      <c r="J70" s="3436">
        <f t="shared" si="1"/>
        <v>0.95</v>
      </c>
    </row>
    <row r="71" spans="1:10">
      <c r="A71" s="3057">
        <v>70</v>
      </c>
      <c r="B71" s="3047" t="s">
        <v>3100</v>
      </c>
      <c r="C71" s="3048" t="s">
        <v>3101</v>
      </c>
      <c r="D71" s="3057">
        <v>26</v>
      </c>
      <c r="E71" s="3057" t="s">
        <v>3658</v>
      </c>
      <c r="F71" s="3058">
        <v>65.989999999999995</v>
      </c>
      <c r="G71" s="3057" t="s">
        <v>3092</v>
      </c>
      <c r="H71" s="3059"/>
      <c r="I71" s="3059"/>
      <c r="J71" s="3436">
        <f t="shared" si="1"/>
        <v>0.95</v>
      </c>
    </row>
    <row r="72" spans="1:10">
      <c r="A72" s="3057">
        <v>71</v>
      </c>
      <c r="B72" s="3047" t="s">
        <v>3100</v>
      </c>
      <c r="C72" s="3048" t="s">
        <v>3101</v>
      </c>
      <c r="D72" s="3057">
        <v>26</v>
      </c>
      <c r="E72" s="3057" t="s">
        <v>3659</v>
      </c>
      <c r="F72" s="3058">
        <v>64.44</v>
      </c>
      <c r="G72" s="3057" t="s">
        <v>3092</v>
      </c>
      <c r="H72" s="3059"/>
      <c r="I72" s="3059"/>
      <c r="J72" s="3436">
        <f t="shared" si="1"/>
        <v>0.95</v>
      </c>
    </row>
    <row r="73" spans="1:10">
      <c r="A73" s="3057">
        <v>72</v>
      </c>
      <c r="B73" s="3047" t="s">
        <v>3100</v>
      </c>
      <c r="C73" s="3048" t="s">
        <v>3101</v>
      </c>
      <c r="D73" s="3057">
        <v>26</v>
      </c>
      <c r="E73" s="3057" t="s">
        <v>3660</v>
      </c>
      <c r="F73" s="3058">
        <v>902.99</v>
      </c>
      <c r="G73" s="3057" t="s">
        <v>3092</v>
      </c>
      <c r="H73" s="3059"/>
      <c r="I73" s="3059"/>
      <c r="J73" s="3436">
        <f t="shared" si="1"/>
        <v>0.95</v>
      </c>
    </row>
    <row r="74" spans="1:10">
      <c r="A74" s="3057">
        <v>73</v>
      </c>
      <c r="B74" s="3047" t="s">
        <v>3100</v>
      </c>
      <c r="C74" s="3048" t="s">
        <v>3101</v>
      </c>
      <c r="D74" s="3057">
        <v>26</v>
      </c>
      <c r="E74" s="3057">
        <v>201</v>
      </c>
      <c r="F74" s="3058">
        <v>106.29</v>
      </c>
      <c r="G74" s="3057" t="s">
        <v>3701</v>
      </c>
      <c r="H74" s="3059"/>
      <c r="I74" s="3059"/>
      <c r="J74" s="3436">
        <f t="shared" si="1"/>
        <v>0.95</v>
      </c>
    </row>
    <row r="75" spans="1:10">
      <c r="A75" s="3057">
        <v>74</v>
      </c>
      <c r="B75" s="3047" t="s">
        <v>3100</v>
      </c>
      <c r="C75" s="3048" t="s">
        <v>3101</v>
      </c>
      <c r="D75" s="3057">
        <v>27</v>
      </c>
      <c r="E75" s="3057" t="s">
        <v>3661</v>
      </c>
      <c r="F75" s="3058">
        <v>166.59</v>
      </c>
      <c r="G75" s="3057" t="s">
        <v>3092</v>
      </c>
      <c r="H75" s="3059"/>
      <c r="I75" s="3059"/>
      <c r="J75" s="3436">
        <f t="shared" si="1"/>
        <v>0.95</v>
      </c>
    </row>
    <row r="76" spans="1:10">
      <c r="A76" s="3057">
        <v>75</v>
      </c>
      <c r="B76" s="3047" t="s">
        <v>3100</v>
      </c>
      <c r="C76" s="3048" t="s">
        <v>3101</v>
      </c>
      <c r="D76" s="3057">
        <v>27</v>
      </c>
      <c r="E76" s="3057" t="s">
        <v>3596</v>
      </c>
      <c r="F76" s="3058">
        <v>66.489999999999995</v>
      </c>
      <c r="G76" s="3057" t="s">
        <v>3092</v>
      </c>
      <c r="H76" s="3059"/>
      <c r="I76" s="3059"/>
      <c r="J76" s="3436">
        <f t="shared" si="1"/>
        <v>0.95</v>
      </c>
    </row>
    <row r="77" spans="1:10">
      <c r="A77" s="3057">
        <v>76</v>
      </c>
      <c r="B77" s="3047" t="s">
        <v>3100</v>
      </c>
      <c r="C77" s="3048" t="s">
        <v>3101</v>
      </c>
      <c r="D77" s="3057">
        <v>27</v>
      </c>
      <c r="E77" s="3057" t="s">
        <v>3597</v>
      </c>
      <c r="F77" s="3058">
        <v>58.14</v>
      </c>
      <c r="G77" s="3057" t="s">
        <v>3092</v>
      </c>
      <c r="H77" s="3059"/>
      <c r="I77" s="3059"/>
      <c r="J77" s="3436">
        <f t="shared" si="1"/>
        <v>0.95</v>
      </c>
    </row>
    <row r="78" spans="1:10">
      <c r="A78" s="3057">
        <v>77</v>
      </c>
      <c r="B78" s="3047" t="s">
        <v>3100</v>
      </c>
      <c r="C78" s="3048" t="s">
        <v>3101</v>
      </c>
      <c r="D78" s="3057">
        <v>27</v>
      </c>
      <c r="E78" s="3057" t="s">
        <v>3662</v>
      </c>
      <c r="F78" s="3058">
        <v>140.94999999999999</v>
      </c>
      <c r="G78" s="3057" t="s">
        <v>3092</v>
      </c>
      <c r="H78" s="3059"/>
      <c r="I78" s="3059"/>
      <c r="J78" s="3436">
        <f t="shared" si="1"/>
        <v>0.95</v>
      </c>
    </row>
    <row r="79" spans="1:10">
      <c r="A79" s="3057">
        <v>78</v>
      </c>
      <c r="B79" s="3047" t="s">
        <v>3100</v>
      </c>
      <c r="C79" s="3048" t="s">
        <v>3101</v>
      </c>
      <c r="D79" s="3057">
        <v>27</v>
      </c>
      <c r="E79" s="3057" t="s">
        <v>3663</v>
      </c>
      <c r="F79" s="3058">
        <v>103.09</v>
      </c>
      <c r="G79" s="3057" t="s">
        <v>3092</v>
      </c>
      <c r="H79" s="3059"/>
      <c r="I79" s="3059"/>
      <c r="J79" s="3436">
        <f t="shared" si="1"/>
        <v>0.95</v>
      </c>
    </row>
    <row r="80" spans="1:10">
      <c r="A80" s="3057">
        <v>79</v>
      </c>
      <c r="B80" s="3047" t="s">
        <v>3100</v>
      </c>
      <c r="C80" s="3048" t="s">
        <v>3101</v>
      </c>
      <c r="D80" s="3057">
        <v>27</v>
      </c>
      <c r="E80" s="3057" t="s">
        <v>3664</v>
      </c>
      <c r="F80" s="3058">
        <v>97.69</v>
      </c>
      <c r="G80" s="3057" t="s">
        <v>3092</v>
      </c>
      <c r="H80" s="3059"/>
      <c r="I80" s="3059"/>
      <c r="J80" s="3436">
        <f t="shared" si="1"/>
        <v>0.95</v>
      </c>
    </row>
    <row r="81" spans="1:10">
      <c r="A81" s="3057">
        <v>80</v>
      </c>
      <c r="B81" s="3047" t="s">
        <v>3100</v>
      </c>
      <c r="C81" s="3048" t="s">
        <v>3101</v>
      </c>
      <c r="D81" s="3057">
        <v>28</v>
      </c>
      <c r="E81" s="3057" t="s">
        <v>3665</v>
      </c>
      <c r="F81" s="3058">
        <v>55.17</v>
      </c>
      <c r="G81" s="3057" t="s">
        <v>3092</v>
      </c>
      <c r="H81" s="3059"/>
      <c r="I81" s="3059"/>
      <c r="J81" s="3436">
        <f t="shared" si="1"/>
        <v>0.95</v>
      </c>
    </row>
    <row r="82" spans="1:10">
      <c r="A82" s="3057">
        <v>81</v>
      </c>
      <c r="B82" s="3047" t="s">
        <v>3100</v>
      </c>
      <c r="C82" s="3048" t="s">
        <v>3101</v>
      </c>
      <c r="D82" s="3057">
        <v>28</v>
      </c>
      <c r="E82" s="3057" t="s">
        <v>3666</v>
      </c>
      <c r="F82" s="3058">
        <v>62.87</v>
      </c>
      <c r="G82" s="3057" t="s">
        <v>3092</v>
      </c>
      <c r="H82" s="3059"/>
      <c r="I82" s="3059"/>
      <c r="J82" s="3436">
        <f t="shared" si="1"/>
        <v>0.95</v>
      </c>
    </row>
    <row r="83" spans="1:10">
      <c r="A83" s="3057">
        <v>82</v>
      </c>
      <c r="B83" s="3047" t="s">
        <v>3100</v>
      </c>
      <c r="C83" s="3048" t="s">
        <v>3101</v>
      </c>
      <c r="D83" s="3057">
        <v>28</v>
      </c>
      <c r="E83" s="3057" t="s">
        <v>3667</v>
      </c>
      <c r="F83" s="3058">
        <v>50.99</v>
      </c>
      <c r="G83" s="3057" t="s">
        <v>3092</v>
      </c>
      <c r="H83" s="3059"/>
      <c r="I83" s="3059"/>
      <c r="J83" s="3436">
        <f t="shared" si="1"/>
        <v>0.95</v>
      </c>
    </row>
    <row r="84" spans="1:10">
      <c r="A84" s="3057">
        <v>83</v>
      </c>
      <c r="B84" s="3047" t="s">
        <v>3100</v>
      </c>
      <c r="C84" s="3048" t="s">
        <v>3101</v>
      </c>
      <c r="D84" s="3057">
        <v>28</v>
      </c>
      <c r="E84" s="3057" t="s">
        <v>3668</v>
      </c>
      <c r="F84" s="3058">
        <v>61.54</v>
      </c>
      <c r="G84" s="3057" t="s">
        <v>3092</v>
      </c>
      <c r="H84" s="3059"/>
      <c r="I84" s="3059"/>
      <c r="J84" s="3436">
        <f t="shared" si="1"/>
        <v>0.95</v>
      </c>
    </row>
    <row r="85" spans="1:10">
      <c r="A85" s="3057">
        <v>84</v>
      </c>
      <c r="B85" s="3047" t="s">
        <v>3100</v>
      </c>
      <c r="C85" s="3048" t="s">
        <v>3101</v>
      </c>
      <c r="D85" s="3057">
        <v>28</v>
      </c>
      <c r="E85" s="3057" t="s">
        <v>3669</v>
      </c>
      <c r="F85" s="3058">
        <v>239.36</v>
      </c>
      <c r="G85" s="3057" t="s">
        <v>3092</v>
      </c>
      <c r="H85" s="3059"/>
      <c r="I85" s="3059"/>
      <c r="J85" s="3436">
        <f t="shared" si="1"/>
        <v>0.95</v>
      </c>
    </row>
    <row r="86" spans="1:10">
      <c r="A86" s="3057">
        <v>85</v>
      </c>
      <c r="B86" s="3047" t="s">
        <v>3100</v>
      </c>
      <c r="C86" s="3048" t="s">
        <v>3101</v>
      </c>
      <c r="D86" s="3057">
        <v>28</v>
      </c>
      <c r="E86" s="3057" t="s">
        <v>3670</v>
      </c>
      <c r="F86" s="3058">
        <v>231.85</v>
      </c>
      <c r="G86" s="3057" t="s">
        <v>3092</v>
      </c>
      <c r="H86" s="3059"/>
      <c r="I86" s="3059"/>
      <c r="J86" s="3436">
        <f t="shared" si="1"/>
        <v>0.95</v>
      </c>
    </row>
    <row r="87" spans="1:10">
      <c r="A87" s="3057">
        <v>86</v>
      </c>
      <c r="B87" s="3047" t="s">
        <v>3100</v>
      </c>
      <c r="C87" s="3048" t="s">
        <v>3101</v>
      </c>
      <c r="D87" s="3057">
        <v>28</v>
      </c>
      <c r="E87" s="3057" t="s">
        <v>3671</v>
      </c>
      <c r="F87" s="3058">
        <v>202.88</v>
      </c>
      <c r="G87" s="3057" t="s">
        <v>3092</v>
      </c>
      <c r="H87" s="3059"/>
      <c r="I87" s="3059"/>
      <c r="J87" s="3436">
        <f t="shared" si="1"/>
        <v>0.95</v>
      </c>
    </row>
    <row r="88" spans="1:10">
      <c r="A88" s="3057">
        <v>87</v>
      </c>
      <c r="B88" s="3047" t="s">
        <v>3100</v>
      </c>
      <c r="C88" s="3048" t="s">
        <v>3101</v>
      </c>
      <c r="D88" s="3057">
        <v>28</v>
      </c>
      <c r="E88" s="3057" t="s">
        <v>3672</v>
      </c>
      <c r="F88" s="3058">
        <v>54.23</v>
      </c>
      <c r="G88" s="3057" t="s">
        <v>3092</v>
      </c>
      <c r="H88" s="3059"/>
      <c r="I88" s="3059"/>
      <c r="J88" s="3436">
        <f t="shared" si="1"/>
        <v>0.95</v>
      </c>
    </row>
    <row r="89" spans="1:10">
      <c r="A89" s="3057">
        <v>88</v>
      </c>
      <c r="B89" s="3047" t="s">
        <v>3100</v>
      </c>
      <c r="C89" s="3048" t="s">
        <v>3101</v>
      </c>
      <c r="D89" s="3057">
        <v>28</v>
      </c>
      <c r="E89" s="3057" t="s">
        <v>3673</v>
      </c>
      <c r="F89" s="3058">
        <v>53.55</v>
      </c>
      <c r="G89" s="3057" t="s">
        <v>3092</v>
      </c>
      <c r="H89" s="3059"/>
      <c r="I89" s="3059"/>
      <c r="J89" s="3436">
        <f t="shared" si="1"/>
        <v>0.95</v>
      </c>
    </row>
    <row r="90" spans="1:10">
      <c r="A90" s="3057">
        <v>89</v>
      </c>
      <c r="B90" s="3047" t="s">
        <v>3100</v>
      </c>
      <c r="C90" s="3048" t="s">
        <v>3101</v>
      </c>
      <c r="D90" s="3057">
        <v>28</v>
      </c>
      <c r="E90" s="3057" t="s">
        <v>3674</v>
      </c>
      <c r="F90" s="3058">
        <v>48.05</v>
      </c>
      <c r="G90" s="3057" t="s">
        <v>3092</v>
      </c>
      <c r="H90" s="3059"/>
      <c r="I90" s="3059"/>
      <c r="J90" s="3436">
        <f t="shared" si="1"/>
        <v>0.95</v>
      </c>
    </row>
    <row r="91" spans="1:10">
      <c r="A91" s="3057">
        <v>90</v>
      </c>
      <c r="B91" s="3047" t="s">
        <v>3100</v>
      </c>
      <c r="C91" s="3048" t="s">
        <v>3101</v>
      </c>
      <c r="D91" s="3057">
        <v>28</v>
      </c>
      <c r="E91" s="3057">
        <v>101</v>
      </c>
      <c r="F91" s="3058">
        <v>12.93</v>
      </c>
      <c r="G91" s="3057" t="s">
        <v>3092</v>
      </c>
      <c r="H91" s="3059"/>
      <c r="I91" s="3059"/>
      <c r="J91" s="3436">
        <f t="shared" si="1"/>
        <v>0.95</v>
      </c>
    </row>
    <row r="92" spans="1:10">
      <c r="A92" s="3057">
        <v>91</v>
      </c>
      <c r="B92" s="3047" t="s">
        <v>3100</v>
      </c>
      <c r="C92" s="3048" t="s">
        <v>3101</v>
      </c>
      <c r="D92" s="3057">
        <v>28</v>
      </c>
      <c r="E92" s="3057">
        <v>201</v>
      </c>
      <c r="F92" s="3058">
        <v>117.56</v>
      </c>
      <c r="G92" s="3057" t="s">
        <v>3701</v>
      </c>
      <c r="H92" s="3059"/>
      <c r="I92" s="3059"/>
      <c r="J92" s="3436">
        <f t="shared" si="1"/>
        <v>0.95</v>
      </c>
    </row>
    <row r="93" spans="1:10">
      <c r="A93" s="3057">
        <v>92</v>
      </c>
      <c r="B93" s="3047" t="s">
        <v>3100</v>
      </c>
      <c r="C93" s="3048" t="s">
        <v>3101</v>
      </c>
      <c r="D93" s="3057">
        <v>28</v>
      </c>
      <c r="E93" s="3057">
        <v>202</v>
      </c>
      <c r="F93" s="3058">
        <v>115.03</v>
      </c>
      <c r="G93" s="3057" t="s">
        <v>3701</v>
      </c>
      <c r="H93" s="3059"/>
      <c r="I93" s="3059"/>
      <c r="J93" s="3436">
        <f t="shared" si="1"/>
        <v>0.95</v>
      </c>
    </row>
    <row r="94" spans="1:10">
      <c r="A94" s="3057">
        <v>93</v>
      </c>
      <c r="B94" s="3047" t="s">
        <v>3100</v>
      </c>
      <c r="C94" s="3048" t="s">
        <v>3101</v>
      </c>
      <c r="D94" s="3057">
        <v>28</v>
      </c>
      <c r="E94" s="3057">
        <v>203</v>
      </c>
      <c r="F94" s="3058">
        <v>136.22999999999999</v>
      </c>
      <c r="G94" s="3057" t="s">
        <v>3700</v>
      </c>
      <c r="H94" s="3059"/>
      <c r="I94" s="3059"/>
      <c r="J94" s="3436">
        <f t="shared" si="1"/>
        <v>0.95</v>
      </c>
    </row>
    <row r="95" spans="1:10">
      <c r="A95" s="3057">
        <v>94</v>
      </c>
      <c r="B95" s="3047" t="s">
        <v>3100</v>
      </c>
      <c r="C95" s="3048" t="s">
        <v>3101</v>
      </c>
      <c r="D95" s="3057">
        <v>28</v>
      </c>
      <c r="E95" s="3057">
        <v>204</v>
      </c>
      <c r="F95" s="3058">
        <v>138.15</v>
      </c>
      <c r="G95" s="3057" t="s">
        <v>3700</v>
      </c>
      <c r="H95" s="3059"/>
      <c r="I95" s="3059"/>
      <c r="J95" s="3436">
        <f t="shared" si="1"/>
        <v>0.95</v>
      </c>
    </row>
    <row r="96" spans="1:10">
      <c r="A96" s="3057">
        <v>95</v>
      </c>
      <c r="B96" s="3047" t="s">
        <v>3100</v>
      </c>
      <c r="C96" s="3048" t="s">
        <v>3101</v>
      </c>
      <c r="D96" s="3057">
        <v>28</v>
      </c>
      <c r="E96" s="3057">
        <v>205</v>
      </c>
      <c r="F96" s="3058">
        <v>105.08</v>
      </c>
      <c r="G96" s="3057" t="s">
        <v>3700</v>
      </c>
      <c r="H96" s="3059"/>
      <c r="I96" s="3059"/>
      <c r="J96" s="3436">
        <f t="shared" si="1"/>
        <v>0.95</v>
      </c>
    </row>
    <row r="97" spans="1:10">
      <c r="A97" s="3057">
        <v>96</v>
      </c>
      <c r="B97" s="3047" t="s">
        <v>3100</v>
      </c>
      <c r="C97" s="3048" t="s">
        <v>3101</v>
      </c>
      <c r="D97" s="3057">
        <v>28</v>
      </c>
      <c r="E97" s="3057">
        <v>206</v>
      </c>
      <c r="F97" s="3058">
        <v>96.8</v>
      </c>
      <c r="G97" s="3057" t="s">
        <v>3700</v>
      </c>
      <c r="H97" s="3059"/>
      <c r="I97" s="3059"/>
      <c r="J97" s="3436">
        <f t="shared" si="1"/>
        <v>0.95</v>
      </c>
    </row>
    <row r="98" spans="1:10">
      <c r="A98" s="3057">
        <v>97</v>
      </c>
      <c r="B98" s="3047" t="s">
        <v>3100</v>
      </c>
      <c r="C98" s="3048" t="s">
        <v>3101</v>
      </c>
      <c r="D98" s="3057">
        <v>28</v>
      </c>
      <c r="E98" s="3057">
        <v>207</v>
      </c>
      <c r="F98" s="3058">
        <v>74.56</v>
      </c>
      <c r="G98" s="3057" t="s">
        <v>3700</v>
      </c>
      <c r="H98" s="3059"/>
      <c r="I98" s="3059"/>
      <c r="J98" s="3436">
        <f t="shared" si="1"/>
        <v>0.95</v>
      </c>
    </row>
    <row r="99" spans="1:10">
      <c r="A99" s="3057">
        <v>98</v>
      </c>
      <c r="B99" s="3047" t="s">
        <v>3100</v>
      </c>
      <c r="C99" s="3048" t="s">
        <v>3101</v>
      </c>
      <c r="D99" s="3057">
        <v>28</v>
      </c>
      <c r="E99" s="3057">
        <v>208</v>
      </c>
      <c r="F99" s="3058">
        <v>63.03</v>
      </c>
      <c r="G99" s="3057" t="s">
        <v>3700</v>
      </c>
      <c r="H99" s="3059"/>
      <c r="I99" s="3059"/>
      <c r="J99" s="3436">
        <f t="shared" si="1"/>
        <v>0.95</v>
      </c>
    </row>
    <row r="100" spans="1:10">
      <c r="A100" s="3057">
        <v>99</v>
      </c>
      <c r="B100" s="3047" t="s">
        <v>3100</v>
      </c>
      <c r="C100" s="3048" t="s">
        <v>3101</v>
      </c>
      <c r="D100" s="3057">
        <v>28</v>
      </c>
      <c r="E100" s="3057">
        <v>209</v>
      </c>
      <c r="F100" s="3058">
        <v>47.39</v>
      </c>
      <c r="G100" s="3057" t="s">
        <v>3700</v>
      </c>
      <c r="H100" s="3059"/>
      <c r="I100" s="3059"/>
      <c r="J100" s="3436">
        <f t="shared" si="1"/>
        <v>0.95</v>
      </c>
    </row>
    <row r="101" spans="1:10">
      <c r="A101" s="3057">
        <v>100</v>
      </c>
      <c r="B101" s="3047" t="s">
        <v>3100</v>
      </c>
      <c r="C101" s="3048" t="s">
        <v>3101</v>
      </c>
      <c r="D101" s="3057">
        <v>28</v>
      </c>
      <c r="E101" s="3057">
        <v>210</v>
      </c>
      <c r="F101" s="3058">
        <v>206.84</v>
      </c>
      <c r="G101" s="3057" t="s">
        <v>3700</v>
      </c>
      <c r="H101" s="3059"/>
      <c r="I101" s="3059"/>
      <c r="J101" s="3436">
        <f t="shared" si="1"/>
        <v>0.95</v>
      </c>
    </row>
    <row r="102" spans="1:10">
      <c r="A102" s="3057">
        <v>101</v>
      </c>
      <c r="B102" s="3047" t="s">
        <v>3100</v>
      </c>
      <c r="C102" s="3048" t="s">
        <v>3101</v>
      </c>
      <c r="D102" s="3057">
        <v>28</v>
      </c>
      <c r="E102" s="3057">
        <v>211</v>
      </c>
      <c r="F102" s="3058">
        <v>189.09</v>
      </c>
      <c r="G102" s="3057" t="s">
        <v>3700</v>
      </c>
      <c r="H102" s="3059"/>
      <c r="I102" s="3059"/>
      <c r="J102" s="3436">
        <f t="shared" si="1"/>
        <v>0.95</v>
      </c>
    </row>
    <row r="103" spans="1:10">
      <c r="A103" s="3057">
        <v>102</v>
      </c>
      <c r="B103" s="3047" t="s">
        <v>3100</v>
      </c>
      <c r="C103" s="3048" t="s">
        <v>3101</v>
      </c>
      <c r="D103" s="3057">
        <v>28</v>
      </c>
      <c r="E103" s="3057">
        <v>212</v>
      </c>
      <c r="F103" s="3058">
        <v>198.31</v>
      </c>
      <c r="G103" s="3057" t="s">
        <v>3700</v>
      </c>
      <c r="H103" s="3059"/>
      <c r="I103" s="3059"/>
      <c r="J103" s="3436">
        <f t="shared" si="1"/>
        <v>0.95</v>
      </c>
    </row>
    <row r="104" spans="1:10">
      <c r="A104" s="3057">
        <v>103</v>
      </c>
      <c r="B104" s="3047" t="s">
        <v>3100</v>
      </c>
      <c r="C104" s="3048" t="s">
        <v>3101</v>
      </c>
      <c r="D104" s="3057">
        <v>28</v>
      </c>
      <c r="E104" s="3057">
        <v>213</v>
      </c>
      <c r="F104" s="3058">
        <v>61.57</v>
      </c>
      <c r="G104" s="3057" t="s">
        <v>3700</v>
      </c>
      <c r="H104" s="3059"/>
      <c r="I104" s="3059"/>
      <c r="J104" s="3436">
        <f t="shared" si="1"/>
        <v>0.95</v>
      </c>
    </row>
    <row r="105" spans="1:10">
      <c r="A105" s="3057">
        <v>104</v>
      </c>
      <c r="B105" s="3047" t="s">
        <v>3100</v>
      </c>
      <c r="C105" s="3048" t="s">
        <v>3101</v>
      </c>
      <c r="D105" s="3057">
        <v>28</v>
      </c>
      <c r="E105" s="3057">
        <v>214</v>
      </c>
      <c r="F105" s="3058">
        <v>42.88</v>
      </c>
      <c r="G105" s="3057" t="s">
        <v>3700</v>
      </c>
      <c r="H105" s="3059"/>
      <c r="I105" s="3059"/>
      <c r="J105" s="3436">
        <f t="shared" si="1"/>
        <v>0.95</v>
      </c>
    </row>
    <row r="106" spans="1:10">
      <c r="A106" s="3057">
        <v>105</v>
      </c>
      <c r="B106" s="3047" t="s">
        <v>3100</v>
      </c>
      <c r="C106" s="3048" t="s">
        <v>3101</v>
      </c>
      <c r="D106" s="3057">
        <v>28</v>
      </c>
      <c r="E106" s="3057">
        <v>215</v>
      </c>
      <c r="F106" s="3058">
        <v>41.81</v>
      </c>
      <c r="G106" s="3057" t="s">
        <v>3700</v>
      </c>
      <c r="H106" s="3059"/>
      <c r="I106" s="3059"/>
      <c r="J106" s="3436">
        <f t="shared" si="1"/>
        <v>0.95</v>
      </c>
    </row>
    <row r="107" spans="1:10">
      <c r="A107" s="3057">
        <v>106</v>
      </c>
      <c r="B107" s="3047" t="s">
        <v>3100</v>
      </c>
      <c r="C107" s="3048" t="s">
        <v>3101</v>
      </c>
      <c r="D107" s="3057">
        <v>28</v>
      </c>
      <c r="E107" s="3057">
        <v>216</v>
      </c>
      <c r="F107" s="3058">
        <v>37.1</v>
      </c>
      <c r="G107" s="3057" t="s">
        <v>3700</v>
      </c>
      <c r="H107" s="3059"/>
      <c r="I107" s="3059"/>
      <c r="J107" s="3436">
        <f t="shared" si="1"/>
        <v>0.95</v>
      </c>
    </row>
    <row r="108" spans="1:10">
      <c r="A108" s="3057">
        <v>107</v>
      </c>
      <c r="B108" s="3047" t="s">
        <v>3100</v>
      </c>
      <c r="C108" s="3048" t="s">
        <v>3101</v>
      </c>
      <c r="D108" s="3057">
        <v>28</v>
      </c>
      <c r="E108" s="3057" t="s">
        <v>3675</v>
      </c>
      <c r="F108" s="3058">
        <v>152.69</v>
      </c>
      <c r="G108" s="3057" t="s">
        <v>3092</v>
      </c>
      <c r="H108" s="3059"/>
      <c r="I108" s="3059"/>
      <c r="J108" s="3436">
        <f t="shared" si="1"/>
        <v>0.95</v>
      </c>
    </row>
    <row r="109" spans="1:10">
      <c r="A109" s="3057">
        <v>108</v>
      </c>
      <c r="B109" s="3047" t="s">
        <v>3100</v>
      </c>
      <c r="C109" s="3048" t="s">
        <v>3101</v>
      </c>
      <c r="D109" s="3057">
        <v>28</v>
      </c>
      <c r="E109" s="3057" t="s">
        <v>3676</v>
      </c>
      <c r="F109" s="3058">
        <v>199.18</v>
      </c>
      <c r="G109" s="3057" t="s">
        <v>3092</v>
      </c>
      <c r="H109" s="3059"/>
      <c r="I109" s="3059"/>
      <c r="J109" s="3436">
        <f t="shared" si="1"/>
        <v>0.95</v>
      </c>
    </row>
    <row r="110" spans="1:10">
      <c r="A110" s="3057">
        <v>109</v>
      </c>
      <c r="B110" s="3047" t="s">
        <v>3100</v>
      </c>
      <c r="C110" s="3048" t="s">
        <v>3101</v>
      </c>
      <c r="D110" s="3057">
        <v>28</v>
      </c>
      <c r="E110" s="3057" t="s">
        <v>3677</v>
      </c>
      <c r="F110" s="3058">
        <v>209.91</v>
      </c>
      <c r="G110" s="3057" t="s">
        <v>3092</v>
      </c>
      <c r="H110" s="3059"/>
      <c r="I110" s="3059"/>
      <c r="J110" s="3436">
        <f t="shared" si="1"/>
        <v>0.95</v>
      </c>
    </row>
    <row r="111" spans="1:10">
      <c r="A111" s="3057">
        <v>110</v>
      </c>
      <c r="B111" s="3047" t="s">
        <v>3100</v>
      </c>
      <c r="C111" s="3048" t="s">
        <v>3101</v>
      </c>
      <c r="D111" s="3057">
        <v>28</v>
      </c>
      <c r="E111" s="3057" t="s">
        <v>3678</v>
      </c>
      <c r="F111" s="3058">
        <v>19.850000000000001</v>
      </c>
      <c r="G111" s="3057" t="s">
        <v>3092</v>
      </c>
      <c r="H111" s="3059"/>
      <c r="I111" s="3059"/>
      <c r="J111" s="3436">
        <f t="shared" si="1"/>
        <v>0.95</v>
      </c>
    </row>
    <row r="112" spans="1:10">
      <c r="A112" s="3057">
        <v>111</v>
      </c>
      <c r="B112" s="3047" t="s">
        <v>3100</v>
      </c>
      <c r="C112" s="3048" t="s">
        <v>3101</v>
      </c>
      <c r="D112" s="3057">
        <v>28</v>
      </c>
      <c r="E112" s="3057" t="s">
        <v>3662</v>
      </c>
      <c r="F112" s="3058">
        <v>54.14</v>
      </c>
      <c r="G112" s="3057" t="s">
        <v>3092</v>
      </c>
      <c r="H112" s="3059"/>
      <c r="I112" s="3059"/>
      <c r="J112" s="3436">
        <f t="shared" si="1"/>
        <v>0.95</v>
      </c>
    </row>
    <row r="113" spans="1:12">
      <c r="A113" s="3057">
        <v>112</v>
      </c>
      <c r="B113" s="3047" t="s">
        <v>3100</v>
      </c>
      <c r="C113" s="3048" t="s">
        <v>3101</v>
      </c>
      <c r="D113" s="3060" t="s">
        <v>3679</v>
      </c>
      <c r="E113" s="3057">
        <v>101</v>
      </c>
      <c r="F113" s="3058">
        <v>513.08000000000004</v>
      </c>
      <c r="G113" s="3057" t="s">
        <v>3092</v>
      </c>
      <c r="H113" s="3059"/>
      <c r="I113" s="3059"/>
      <c r="J113" s="3436">
        <f>J47</f>
        <v>0.8</v>
      </c>
      <c r="K113" s="3044"/>
      <c r="L113" s="3073"/>
    </row>
    <row r="114" spans="1:12">
      <c r="A114" s="3057">
        <v>113</v>
      </c>
      <c r="B114" s="3047" t="s">
        <v>3100</v>
      </c>
      <c r="C114" s="3048" t="s">
        <v>3101</v>
      </c>
      <c r="D114" s="3060" t="s">
        <v>3591</v>
      </c>
      <c r="E114" s="3057">
        <v>101</v>
      </c>
      <c r="F114" s="3058">
        <v>145.24</v>
      </c>
      <c r="G114" s="3057" t="s">
        <v>3094</v>
      </c>
      <c r="H114" s="3059"/>
      <c r="I114" s="3059"/>
      <c r="J114" s="3436">
        <f>J113</f>
        <v>0.8</v>
      </c>
      <c r="K114" s="3044"/>
      <c r="L114" s="3073"/>
    </row>
    <row r="115" spans="1:12">
      <c r="A115" s="3057">
        <v>114</v>
      </c>
      <c r="B115" s="3061" t="s">
        <v>3100</v>
      </c>
      <c r="C115" s="3062" t="s">
        <v>3101</v>
      </c>
      <c r="D115" s="3060" t="s">
        <v>3591</v>
      </c>
      <c r="E115" s="3059">
        <v>102</v>
      </c>
      <c r="F115" s="3063">
        <v>145.24</v>
      </c>
      <c r="G115" s="3059" t="s">
        <v>3097</v>
      </c>
      <c r="H115" s="3059"/>
      <c r="I115" s="3059"/>
      <c r="J115" s="3436">
        <f t="shared" ref="J115:J143" si="2">J114</f>
        <v>0.8</v>
      </c>
      <c r="K115" s="3044"/>
      <c r="L115" s="3073"/>
    </row>
    <row r="116" spans="1:12">
      <c r="A116" s="3057">
        <v>115</v>
      </c>
      <c r="B116" s="3061" t="s">
        <v>3100</v>
      </c>
      <c r="C116" s="3062" t="s">
        <v>3101</v>
      </c>
      <c r="D116" s="3060" t="s">
        <v>3591</v>
      </c>
      <c r="E116" s="3059">
        <v>103</v>
      </c>
      <c r="F116" s="3063">
        <v>145.24</v>
      </c>
      <c r="G116" s="3059" t="s">
        <v>3097</v>
      </c>
      <c r="H116" s="3059"/>
      <c r="I116" s="3059"/>
      <c r="J116" s="3436">
        <f t="shared" si="2"/>
        <v>0.8</v>
      </c>
      <c r="K116" s="3044"/>
      <c r="L116" s="3073"/>
    </row>
    <row r="117" spans="1:12">
      <c r="A117" s="3057">
        <v>116</v>
      </c>
      <c r="B117" s="3061" t="s">
        <v>3100</v>
      </c>
      <c r="C117" s="3062" t="s">
        <v>3101</v>
      </c>
      <c r="D117" s="3060" t="s">
        <v>3591</v>
      </c>
      <c r="E117" s="3059">
        <v>104</v>
      </c>
      <c r="F117" s="3063">
        <v>145.24</v>
      </c>
      <c r="G117" s="3059" t="s">
        <v>3097</v>
      </c>
      <c r="H117" s="3059"/>
      <c r="I117" s="3059"/>
      <c r="J117" s="3436">
        <f t="shared" si="2"/>
        <v>0.8</v>
      </c>
      <c r="K117" s="3044"/>
      <c r="L117" s="3073"/>
    </row>
    <row r="118" spans="1:12">
      <c r="A118" s="3057">
        <v>117</v>
      </c>
      <c r="B118" s="3061" t="s">
        <v>3100</v>
      </c>
      <c r="C118" s="3062" t="s">
        <v>3101</v>
      </c>
      <c r="D118" s="3060" t="s">
        <v>3592</v>
      </c>
      <c r="E118" s="3057">
        <v>101</v>
      </c>
      <c r="F118" s="3058">
        <v>145.24</v>
      </c>
      <c r="G118" s="3057" t="s">
        <v>3097</v>
      </c>
      <c r="H118" s="3059"/>
      <c r="I118" s="3059"/>
      <c r="J118" s="3436">
        <f t="shared" si="2"/>
        <v>0.8</v>
      </c>
      <c r="K118" s="3044"/>
      <c r="L118" s="3073"/>
    </row>
    <row r="119" spans="1:12">
      <c r="A119" s="3057">
        <v>118</v>
      </c>
      <c r="B119" s="3061" t="s">
        <v>3100</v>
      </c>
      <c r="C119" s="3062" t="s">
        <v>3101</v>
      </c>
      <c r="D119" s="3060" t="s">
        <v>3592</v>
      </c>
      <c r="E119" s="3059">
        <v>102</v>
      </c>
      <c r="F119" s="3063">
        <v>145.24</v>
      </c>
      <c r="G119" s="3059" t="s">
        <v>3097</v>
      </c>
      <c r="H119" s="3059"/>
      <c r="I119" s="3059"/>
      <c r="J119" s="3436">
        <f t="shared" si="2"/>
        <v>0.8</v>
      </c>
      <c r="K119" s="3044"/>
      <c r="L119" s="3073"/>
    </row>
    <row r="120" spans="1:12">
      <c r="A120" s="3057">
        <v>119</v>
      </c>
      <c r="B120" s="3061" t="s">
        <v>3100</v>
      </c>
      <c r="C120" s="3062" t="s">
        <v>3101</v>
      </c>
      <c r="D120" s="3060" t="s">
        <v>3592</v>
      </c>
      <c r="E120" s="3059">
        <v>103</v>
      </c>
      <c r="F120" s="3063">
        <v>145.24</v>
      </c>
      <c r="G120" s="3059" t="s">
        <v>3097</v>
      </c>
      <c r="H120" s="3059"/>
      <c r="I120" s="3059"/>
      <c r="J120" s="3436">
        <f t="shared" si="2"/>
        <v>0.8</v>
      </c>
      <c r="K120" s="3044"/>
      <c r="L120" s="3073"/>
    </row>
    <row r="121" spans="1:12">
      <c r="A121" s="3057">
        <v>120</v>
      </c>
      <c r="B121" s="3061" t="s">
        <v>3100</v>
      </c>
      <c r="C121" s="3062" t="s">
        <v>3101</v>
      </c>
      <c r="D121" s="3060" t="s">
        <v>3592</v>
      </c>
      <c r="E121" s="3059">
        <v>104</v>
      </c>
      <c r="F121" s="3063">
        <v>145.24</v>
      </c>
      <c r="G121" s="3059" t="s">
        <v>3097</v>
      </c>
      <c r="H121" s="3059"/>
      <c r="I121" s="3059"/>
      <c r="J121" s="3436">
        <f t="shared" si="2"/>
        <v>0.8</v>
      </c>
      <c r="K121" s="3044"/>
      <c r="L121" s="3073"/>
    </row>
    <row r="122" spans="1:12">
      <c r="A122" s="3057">
        <v>121</v>
      </c>
      <c r="B122" s="3061" t="s">
        <v>3100</v>
      </c>
      <c r="C122" s="3062" t="s">
        <v>3101</v>
      </c>
      <c r="D122" s="3060" t="s">
        <v>3593</v>
      </c>
      <c r="E122" s="3057">
        <v>101</v>
      </c>
      <c r="F122" s="3058">
        <v>145.24</v>
      </c>
      <c r="G122" s="3059" t="s">
        <v>3097</v>
      </c>
      <c r="H122" s="3059"/>
      <c r="I122" s="3059"/>
      <c r="J122" s="3436">
        <f t="shared" si="2"/>
        <v>0.8</v>
      </c>
      <c r="K122" s="3044"/>
      <c r="L122" s="3073"/>
    </row>
    <row r="123" spans="1:12">
      <c r="A123" s="3057">
        <v>122</v>
      </c>
      <c r="B123" s="3061" t="s">
        <v>3100</v>
      </c>
      <c r="C123" s="3062" t="s">
        <v>3101</v>
      </c>
      <c r="D123" s="3060" t="s">
        <v>3593</v>
      </c>
      <c r="E123" s="3059">
        <v>102</v>
      </c>
      <c r="F123" s="3063">
        <v>145.24</v>
      </c>
      <c r="G123" s="3059" t="s">
        <v>3097</v>
      </c>
      <c r="H123" s="3059"/>
      <c r="I123" s="3059"/>
      <c r="J123" s="3436">
        <f t="shared" si="2"/>
        <v>0.8</v>
      </c>
    </row>
    <row r="124" spans="1:12">
      <c r="A124" s="3057">
        <v>123</v>
      </c>
      <c r="B124" s="3061" t="s">
        <v>3100</v>
      </c>
      <c r="C124" s="3062" t="s">
        <v>3101</v>
      </c>
      <c r="D124" s="3060" t="s">
        <v>3593</v>
      </c>
      <c r="E124" s="3059">
        <v>103</v>
      </c>
      <c r="F124" s="3063">
        <v>145.24</v>
      </c>
      <c r="G124" s="3059" t="s">
        <v>3097</v>
      </c>
      <c r="H124" s="3059"/>
      <c r="I124" s="3059"/>
      <c r="J124" s="3436">
        <f t="shared" si="2"/>
        <v>0.8</v>
      </c>
    </row>
    <row r="125" spans="1:12">
      <c r="A125" s="3057">
        <v>124</v>
      </c>
      <c r="B125" s="3061" t="s">
        <v>3100</v>
      </c>
      <c r="C125" s="3062" t="s">
        <v>3101</v>
      </c>
      <c r="D125" s="3060" t="s">
        <v>3593</v>
      </c>
      <c r="E125" s="3059">
        <v>104</v>
      </c>
      <c r="F125" s="3063">
        <v>145.24</v>
      </c>
      <c r="G125" s="3059" t="s">
        <v>3097</v>
      </c>
      <c r="H125" s="3059"/>
      <c r="I125" s="3059"/>
      <c r="J125" s="3436">
        <f t="shared" si="2"/>
        <v>0.8</v>
      </c>
    </row>
    <row r="126" spans="1:12">
      <c r="A126" s="3057">
        <v>125</v>
      </c>
      <c r="B126" s="3061" t="s">
        <v>3100</v>
      </c>
      <c r="C126" s="3062" t="s">
        <v>3101</v>
      </c>
      <c r="D126" s="3060" t="s">
        <v>3594</v>
      </c>
      <c r="E126" s="3057">
        <v>101</v>
      </c>
      <c r="F126" s="3058">
        <v>145.24</v>
      </c>
      <c r="G126" s="3059" t="s">
        <v>3097</v>
      </c>
      <c r="H126" s="3059"/>
      <c r="I126" s="3059"/>
      <c r="J126" s="3436">
        <f t="shared" si="2"/>
        <v>0.8</v>
      </c>
    </row>
    <row r="127" spans="1:12">
      <c r="A127" s="3057">
        <v>126</v>
      </c>
      <c r="B127" s="3061" t="s">
        <v>3100</v>
      </c>
      <c r="C127" s="3062" t="s">
        <v>3101</v>
      </c>
      <c r="D127" s="3060" t="s">
        <v>3594</v>
      </c>
      <c r="E127" s="3059">
        <v>102</v>
      </c>
      <c r="F127" s="3063">
        <v>145.24</v>
      </c>
      <c r="G127" s="3059" t="s">
        <v>3097</v>
      </c>
      <c r="H127" s="3059"/>
      <c r="I127" s="3059"/>
      <c r="J127" s="3436">
        <f t="shared" si="2"/>
        <v>0.8</v>
      </c>
    </row>
    <row r="128" spans="1:12">
      <c r="A128" s="3057">
        <v>127</v>
      </c>
      <c r="B128" s="3061" t="s">
        <v>3100</v>
      </c>
      <c r="C128" s="3062" t="s">
        <v>3101</v>
      </c>
      <c r="D128" s="3060" t="s">
        <v>3594</v>
      </c>
      <c r="E128" s="3059">
        <v>103</v>
      </c>
      <c r="F128" s="3063">
        <v>145.24</v>
      </c>
      <c r="G128" s="3059" t="s">
        <v>3097</v>
      </c>
      <c r="H128" s="3059"/>
      <c r="I128" s="3059"/>
      <c r="J128" s="3436">
        <f t="shared" si="2"/>
        <v>0.8</v>
      </c>
    </row>
    <row r="129" spans="1:10">
      <c r="A129" s="3057">
        <v>128</v>
      </c>
      <c r="B129" s="3061" t="s">
        <v>3100</v>
      </c>
      <c r="C129" s="3062" t="s">
        <v>3101</v>
      </c>
      <c r="D129" s="3060" t="s">
        <v>3594</v>
      </c>
      <c r="E129" s="3059">
        <v>104</v>
      </c>
      <c r="F129" s="3063">
        <v>145.24</v>
      </c>
      <c r="G129" s="3059" t="s">
        <v>3097</v>
      </c>
      <c r="H129" s="3059"/>
      <c r="I129" s="3059"/>
      <c r="J129" s="3436">
        <f t="shared" si="2"/>
        <v>0.8</v>
      </c>
    </row>
    <row r="130" spans="1:10">
      <c r="A130" s="3057">
        <v>129</v>
      </c>
      <c r="B130" s="3061" t="s">
        <v>3100</v>
      </c>
      <c r="C130" s="3062" t="s">
        <v>3101</v>
      </c>
      <c r="D130" s="3064" t="s">
        <v>3680</v>
      </c>
      <c r="E130" s="3059">
        <v>101</v>
      </c>
      <c r="F130" s="3063">
        <v>166.56</v>
      </c>
      <c r="G130" s="3059" t="s">
        <v>3097</v>
      </c>
      <c r="H130" s="3059"/>
      <c r="I130" s="3059"/>
      <c r="J130" s="3436">
        <f t="shared" si="2"/>
        <v>0.8</v>
      </c>
    </row>
    <row r="131" spans="1:10">
      <c r="A131" s="3057">
        <v>130</v>
      </c>
      <c r="B131" s="3061" t="s">
        <v>3100</v>
      </c>
      <c r="C131" s="3062" t="s">
        <v>3101</v>
      </c>
      <c r="D131" s="3064" t="s">
        <v>3680</v>
      </c>
      <c r="E131" s="3059">
        <v>102</v>
      </c>
      <c r="F131" s="3063">
        <v>166.56</v>
      </c>
      <c r="G131" s="3059" t="s">
        <v>3097</v>
      </c>
      <c r="H131" s="3059"/>
      <c r="I131" s="3059"/>
      <c r="J131" s="3436">
        <f t="shared" si="2"/>
        <v>0.8</v>
      </c>
    </row>
    <row r="132" spans="1:10">
      <c r="A132" s="3057">
        <v>131</v>
      </c>
      <c r="B132" s="3061" t="s">
        <v>3100</v>
      </c>
      <c r="C132" s="3062" t="s">
        <v>3101</v>
      </c>
      <c r="D132" s="3064" t="s">
        <v>3680</v>
      </c>
      <c r="E132" s="3059">
        <v>103</v>
      </c>
      <c r="F132" s="3063">
        <v>166.56</v>
      </c>
      <c r="G132" s="3059" t="s">
        <v>3097</v>
      </c>
      <c r="H132" s="3059"/>
      <c r="I132" s="3059"/>
      <c r="J132" s="3436">
        <f t="shared" si="2"/>
        <v>0.8</v>
      </c>
    </row>
    <row r="133" spans="1:10">
      <c r="A133" s="3057">
        <v>132</v>
      </c>
      <c r="B133" s="3061" t="s">
        <v>3100</v>
      </c>
      <c r="C133" s="3062" t="s">
        <v>3101</v>
      </c>
      <c r="D133" s="3064" t="s">
        <v>3681</v>
      </c>
      <c r="E133" s="3059">
        <v>101</v>
      </c>
      <c r="F133" s="3063">
        <v>166.56</v>
      </c>
      <c r="G133" s="3059" t="s">
        <v>3097</v>
      </c>
      <c r="H133" s="3059"/>
      <c r="I133" s="3059"/>
      <c r="J133" s="3436">
        <f t="shared" si="2"/>
        <v>0.8</v>
      </c>
    </row>
    <row r="134" spans="1:10">
      <c r="A134" s="3057">
        <v>133</v>
      </c>
      <c r="B134" s="3061" t="s">
        <v>3100</v>
      </c>
      <c r="C134" s="3062" t="s">
        <v>3101</v>
      </c>
      <c r="D134" s="3064" t="s">
        <v>3681</v>
      </c>
      <c r="E134" s="3059">
        <v>102</v>
      </c>
      <c r="F134" s="3063">
        <v>166.56</v>
      </c>
      <c r="G134" s="3059" t="s">
        <v>3097</v>
      </c>
      <c r="H134" s="3059"/>
      <c r="I134" s="3059"/>
      <c r="J134" s="3436">
        <f t="shared" si="2"/>
        <v>0.8</v>
      </c>
    </row>
    <row r="135" spans="1:10">
      <c r="A135" s="3057">
        <v>134</v>
      </c>
      <c r="B135" s="3061" t="s">
        <v>3100</v>
      </c>
      <c r="C135" s="3062" t="s">
        <v>3101</v>
      </c>
      <c r="D135" s="3064" t="s">
        <v>3681</v>
      </c>
      <c r="E135" s="3059">
        <v>103</v>
      </c>
      <c r="F135" s="3063">
        <v>166.56</v>
      </c>
      <c r="G135" s="3059" t="s">
        <v>3097</v>
      </c>
      <c r="H135" s="3059"/>
      <c r="I135" s="3059"/>
      <c r="J135" s="3436">
        <f t="shared" si="2"/>
        <v>0.8</v>
      </c>
    </row>
    <row r="136" spans="1:10">
      <c r="A136" s="3057">
        <v>135</v>
      </c>
      <c r="B136" s="3061" t="s">
        <v>3100</v>
      </c>
      <c r="C136" s="3062" t="s">
        <v>3101</v>
      </c>
      <c r="D136" s="3064" t="s">
        <v>3682</v>
      </c>
      <c r="E136" s="3059">
        <v>101</v>
      </c>
      <c r="F136" s="3063">
        <v>166.2</v>
      </c>
      <c r="G136" s="3059" t="s">
        <v>3097</v>
      </c>
      <c r="H136" s="3059"/>
      <c r="I136" s="3059"/>
      <c r="J136" s="3436">
        <f t="shared" si="2"/>
        <v>0.8</v>
      </c>
    </row>
    <row r="137" spans="1:10">
      <c r="A137" s="3057">
        <v>136</v>
      </c>
      <c r="B137" s="3061" t="s">
        <v>3100</v>
      </c>
      <c r="C137" s="3062" t="s">
        <v>3101</v>
      </c>
      <c r="D137" s="3064" t="s">
        <v>3682</v>
      </c>
      <c r="E137" s="3059">
        <v>102</v>
      </c>
      <c r="F137" s="3063">
        <v>166.2</v>
      </c>
      <c r="G137" s="3059" t="s">
        <v>3097</v>
      </c>
      <c r="H137" s="3059"/>
      <c r="I137" s="3059"/>
      <c r="J137" s="3436">
        <f t="shared" si="2"/>
        <v>0.8</v>
      </c>
    </row>
    <row r="138" spans="1:10">
      <c r="A138" s="3057">
        <v>137</v>
      </c>
      <c r="B138" s="3061" t="s">
        <v>3100</v>
      </c>
      <c r="C138" s="3062" t="s">
        <v>3101</v>
      </c>
      <c r="D138" s="3064" t="s">
        <v>3682</v>
      </c>
      <c r="E138" s="3059">
        <v>103</v>
      </c>
      <c r="F138" s="3063">
        <v>166.2</v>
      </c>
      <c r="G138" s="3059" t="s">
        <v>3097</v>
      </c>
      <c r="H138" s="3059"/>
      <c r="I138" s="3059"/>
      <c r="J138" s="3436">
        <f t="shared" si="2"/>
        <v>0.8</v>
      </c>
    </row>
    <row r="139" spans="1:10">
      <c r="A139" s="3057">
        <v>138</v>
      </c>
      <c r="B139" s="3061" t="s">
        <v>3100</v>
      </c>
      <c r="C139" s="3062" t="s">
        <v>3101</v>
      </c>
      <c r="D139" s="3064" t="s">
        <v>3682</v>
      </c>
      <c r="E139" s="3059">
        <v>104</v>
      </c>
      <c r="F139" s="3063">
        <v>166.2</v>
      </c>
      <c r="G139" s="3059" t="s">
        <v>3097</v>
      </c>
      <c r="H139" s="3059"/>
      <c r="I139" s="3059"/>
      <c r="J139" s="3436">
        <f t="shared" si="2"/>
        <v>0.8</v>
      </c>
    </row>
    <row r="140" spans="1:10">
      <c r="A140" s="3057">
        <v>139</v>
      </c>
      <c r="B140" s="3061" t="s">
        <v>3100</v>
      </c>
      <c r="C140" s="3062" t="s">
        <v>3101</v>
      </c>
      <c r="D140" s="3064" t="s">
        <v>3683</v>
      </c>
      <c r="E140" s="3059">
        <v>101</v>
      </c>
      <c r="F140" s="3063">
        <v>166.2</v>
      </c>
      <c r="G140" s="3059" t="s">
        <v>3097</v>
      </c>
      <c r="H140" s="3059"/>
      <c r="I140" s="3059"/>
      <c r="J140" s="3436">
        <f t="shared" si="2"/>
        <v>0.8</v>
      </c>
    </row>
    <row r="141" spans="1:10">
      <c r="A141" s="3057">
        <v>140</v>
      </c>
      <c r="B141" s="3061" t="s">
        <v>3100</v>
      </c>
      <c r="C141" s="3062" t="s">
        <v>3101</v>
      </c>
      <c r="D141" s="3064" t="s">
        <v>3683</v>
      </c>
      <c r="E141" s="3059">
        <v>102</v>
      </c>
      <c r="F141" s="3063">
        <v>166.2</v>
      </c>
      <c r="G141" s="3059" t="s">
        <v>3097</v>
      </c>
      <c r="H141" s="3059"/>
      <c r="I141" s="3059"/>
      <c r="J141" s="3436">
        <f t="shared" si="2"/>
        <v>0.8</v>
      </c>
    </row>
    <row r="142" spans="1:10">
      <c r="A142" s="3057">
        <v>141</v>
      </c>
      <c r="B142" s="3061" t="s">
        <v>3100</v>
      </c>
      <c r="C142" s="3062" t="s">
        <v>3101</v>
      </c>
      <c r="D142" s="3064" t="s">
        <v>3683</v>
      </c>
      <c r="E142" s="3059">
        <v>103</v>
      </c>
      <c r="F142" s="3063">
        <v>166.2</v>
      </c>
      <c r="G142" s="3059" t="s">
        <v>3097</v>
      </c>
      <c r="H142" s="3059"/>
      <c r="I142" s="3059"/>
      <c r="J142" s="3436">
        <f t="shared" si="2"/>
        <v>0.8</v>
      </c>
    </row>
    <row r="143" spans="1:10">
      <c r="A143" s="3057">
        <v>142</v>
      </c>
      <c r="B143" s="3061" t="s">
        <v>3100</v>
      </c>
      <c r="C143" s="3062" t="s">
        <v>3101</v>
      </c>
      <c r="D143" s="3064" t="s">
        <v>3683</v>
      </c>
      <c r="E143" s="3059">
        <v>104</v>
      </c>
      <c r="F143" s="3063">
        <v>166.2</v>
      </c>
      <c r="G143" s="3059" t="s">
        <v>3097</v>
      </c>
      <c r="H143" s="3059"/>
      <c r="I143" s="3059"/>
      <c r="J143" s="3436">
        <f t="shared" si="2"/>
        <v>0.8</v>
      </c>
    </row>
    <row r="144" spans="1:10">
      <c r="F144">
        <f>SUBTOTAL(9,F2:F143)</f>
        <v>15388.849999999997</v>
      </c>
      <c r="J144" s="3437">
        <f>ROUND(SUMPRODUCT(J2:J143,F2:F143)/F144,2)</f>
        <v>0.87</v>
      </c>
    </row>
    <row r="147" spans="2:7">
      <c r="F147">
        <f>F144-[1]商业配建部分!$E$143</f>
        <v>-3502.3400000000092</v>
      </c>
    </row>
    <row r="150" spans="2:7">
      <c r="B150" s="3047" t="s">
        <v>3100</v>
      </c>
      <c r="C150" s="3048" t="s">
        <v>3101</v>
      </c>
      <c r="D150" s="3049">
        <v>24</v>
      </c>
      <c r="E150" s="3049" t="s">
        <v>3590</v>
      </c>
      <c r="F150" s="3049">
        <v>37.46</v>
      </c>
      <c r="G150" s="3049" t="s">
        <v>3692</v>
      </c>
    </row>
    <row r="151" spans="2:7">
      <c r="B151" s="3047" t="s">
        <v>3100</v>
      </c>
      <c r="C151" s="3048" t="s">
        <v>3101</v>
      </c>
      <c r="D151" s="3049">
        <v>26</v>
      </c>
      <c r="E151" s="3049">
        <v>202</v>
      </c>
      <c r="F151" s="3049">
        <v>90.08</v>
      </c>
      <c r="G151" s="3049" t="s">
        <v>3693</v>
      </c>
    </row>
    <row r="152" spans="2:7">
      <c r="B152" s="3047" t="s">
        <v>3100</v>
      </c>
      <c r="C152" s="3048" t="s">
        <v>3101</v>
      </c>
      <c r="D152" s="3049">
        <v>26</v>
      </c>
      <c r="E152" s="3049">
        <v>203</v>
      </c>
      <c r="F152" s="3049">
        <v>79.22</v>
      </c>
      <c r="G152" s="3049" t="s">
        <v>3693</v>
      </c>
    </row>
    <row r="153" spans="2:7">
      <c r="B153" s="3047" t="s">
        <v>3100</v>
      </c>
      <c r="C153" s="3048" t="s">
        <v>3101</v>
      </c>
      <c r="D153" s="3049">
        <v>26</v>
      </c>
      <c r="E153" s="3049">
        <v>204</v>
      </c>
      <c r="F153" s="3049">
        <v>759.44</v>
      </c>
      <c r="G153" s="3049" t="s">
        <v>3694</v>
      </c>
    </row>
    <row r="154" spans="2:7">
      <c r="B154" s="3047" t="s">
        <v>3100</v>
      </c>
      <c r="C154" s="3048" t="s">
        <v>3101</v>
      </c>
      <c r="D154" s="3049">
        <v>26</v>
      </c>
      <c r="E154" s="3049">
        <v>205</v>
      </c>
      <c r="F154" s="3049">
        <v>653.5</v>
      </c>
      <c r="G154" s="3081" t="s">
        <v>3693</v>
      </c>
    </row>
    <row r="155" spans="2:7">
      <c r="B155" s="3047" t="s">
        <v>3100</v>
      </c>
      <c r="C155" s="3048" t="s">
        <v>3101</v>
      </c>
      <c r="D155" s="3049">
        <v>26</v>
      </c>
      <c r="E155" s="3049">
        <v>301</v>
      </c>
      <c r="F155" s="3049">
        <v>323.70999999999998</v>
      </c>
      <c r="G155" s="3049" t="s">
        <v>3695</v>
      </c>
    </row>
    <row r="156" spans="2:7">
      <c r="B156" s="3047" t="s">
        <v>3100</v>
      </c>
      <c r="C156" s="3048" t="s">
        <v>3101</v>
      </c>
      <c r="D156" s="3049">
        <v>26</v>
      </c>
      <c r="E156" s="3049">
        <v>302</v>
      </c>
      <c r="F156" s="3049">
        <v>227.19</v>
      </c>
      <c r="G156" s="3049" t="s">
        <v>3695</v>
      </c>
    </row>
    <row r="157" spans="2:7">
      <c r="B157" s="3047" t="s">
        <v>3100</v>
      </c>
      <c r="C157" s="3048" t="s">
        <v>3101</v>
      </c>
      <c r="D157" s="3049">
        <v>26</v>
      </c>
      <c r="E157" s="3049">
        <v>303</v>
      </c>
      <c r="F157" s="3049">
        <v>169.78</v>
      </c>
      <c r="G157" s="3049" t="s">
        <v>3694</v>
      </c>
    </row>
    <row r="158" spans="2:7">
      <c r="B158" s="3047" t="s">
        <v>3100</v>
      </c>
      <c r="C158" s="3048" t="s">
        <v>3101</v>
      </c>
      <c r="D158" s="3049">
        <v>26</v>
      </c>
      <c r="E158" s="3049">
        <v>304</v>
      </c>
      <c r="F158" s="3049">
        <v>227.56</v>
      </c>
      <c r="G158" s="3049" t="s">
        <v>3695</v>
      </c>
    </row>
    <row r="159" spans="2:7">
      <c r="B159" s="3047" t="s">
        <v>3100</v>
      </c>
      <c r="C159" s="3048" t="s">
        <v>3101</v>
      </c>
      <c r="D159" s="3049">
        <v>26</v>
      </c>
      <c r="E159" s="3049">
        <v>305</v>
      </c>
      <c r="F159" s="3049">
        <v>632.77</v>
      </c>
      <c r="G159" s="3049" t="s">
        <v>3696</v>
      </c>
    </row>
    <row r="160" spans="2:7">
      <c r="B160" s="3047" t="s">
        <v>3100</v>
      </c>
      <c r="C160" s="3048" t="s">
        <v>3710</v>
      </c>
      <c r="D160" s="3049">
        <v>26</v>
      </c>
      <c r="E160" s="3083">
        <v>306</v>
      </c>
      <c r="F160" s="3083">
        <v>21.95</v>
      </c>
      <c r="G160" s="3081" t="s">
        <v>3695</v>
      </c>
    </row>
    <row r="161" spans="2:7">
      <c r="B161" s="3047" t="s">
        <v>3100</v>
      </c>
      <c r="C161" s="3048" t="s">
        <v>3101</v>
      </c>
      <c r="D161" s="3049" t="s">
        <v>3697</v>
      </c>
      <c r="E161" s="3049">
        <v>101</v>
      </c>
      <c r="F161" s="3049">
        <v>2822.38</v>
      </c>
      <c r="G161" s="3081" t="s">
        <v>3698</v>
      </c>
    </row>
    <row r="162" spans="2:7">
      <c r="B162" s="3047" t="s">
        <v>3100</v>
      </c>
      <c r="C162" s="3048" t="s">
        <v>3101</v>
      </c>
      <c r="D162" s="3049" t="s">
        <v>3697</v>
      </c>
      <c r="E162" s="3049">
        <v>101</v>
      </c>
      <c r="F162" s="3049">
        <v>195.99</v>
      </c>
      <c r="G162" s="3049" t="s">
        <v>3699</v>
      </c>
    </row>
    <row r="163" spans="2:7">
      <c r="B163" s="3047" t="s">
        <v>3100</v>
      </c>
      <c r="C163" s="3048" t="s">
        <v>3101</v>
      </c>
      <c r="D163" s="3049" t="s">
        <v>3697</v>
      </c>
      <c r="E163" s="3049">
        <v>101</v>
      </c>
      <c r="F163" s="3049">
        <v>194.25</v>
      </c>
      <c r="G163" s="3049" t="s">
        <v>3699</v>
      </c>
    </row>
    <row r="164" spans="2:7">
      <c r="F164">
        <f>SUM(F150:F163)</f>
        <v>6435.28</v>
      </c>
    </row>
    <row r="165" spans="2:7">
      <c r="F165">
        <f>F144+F164</f>
        <v>21824.129999999997</v>
      </c>
    </row>
  </sheetData>
  <autoFilter ref="A1:I143" xr:uid="{00000000-0009-0000-0000-00000B000000}"/>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2910</v>
      </c>
      <c r="B1" s="3145" t="str">
        <f>IF(B10="北京市","北京市",C10)&amp;F10&amp;IF(结果表!G1="在建","出让国有建设用地使用权及在建建筑物",IF(结果表!G1="土地","出让国有建设用地使用权",))&amp;B9&amp;"预评估"</f>
        <v>房地产抵押价值预评估</v>
      </c>
      <c r="C1" s="3146"/>
      <c r="D1" s="3146"/>
      <c r="E1" s="3146"/>
      <c r="F1" s="3146"/>
      <c r="G1" s="3146"/>
      <c r="H1" s="3146"/>
      <c r="I1" s="3147"/>
      <c r="J1" s="2698"/>
      <c r="K1" s="2593"/>
      <c r="L1" s="2594"/>
      <c r="M1" s="2594"/>
      <c r="N1" s="2595"/>
      <c r="O1" s="1763"/>
      <c r="P1" s="2595"/>
      <c r="Q1" s="2595"/>
      <c r="R1" s="2595"/>
      <c r="S1" s="1869" t="str">
        <f>IF(B10="北京市","北京市",C10)&amp;F10&amp;IF(结果表!G1="在建","出让国有建设用地使用权及在建建筑物房地产抵押价值",IF(结果表!G1="土地","出让国有建设用地使用权抵押价值",B9))</f>
        <v>房地产抵押价值</v>
      </c>
      <c r="T1" s="1932"/>
      <c r="U1" s="1932"/>
      <c r="V1" s="1932"/>
      <c r="W1" s="1932"/>
      <c r="X1" s="1932"/>
      <c r="Y1" s="1932"/>
      <c r="Z1" s="1932"/>
      <c r="AA1" s="1932"/>
      <c r="AB1" s="1932"/>
    </row>
    <row r="2" spans="1:28">
      <c r="A2" s="2592" t="s">
        <v>2911</v>
      </c>
      <c r="B2" s="2596"/>
      <c r="C2" s="2597"/>
      <c r="D2" s="2900"/>
      <c r="E2" s="2890"/>
      <c r="F2" s="2890"/>
      <c r="G2" s="2891"/>
      <c r="H2" s="2891"/>
      <c r="I2" s="2891"/>
      <c r="J2" s="2698"/>
      <c r="K2" s="2593"/>
      <c r="L2" s="2594"/>
      <c r="M2" s="2594"/>
      <c r="N2" s="2595"/>
      <c r="O2" s="1763"/>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8" t="s">
        <v>2912</v>
      </c>
      <c r="B3" s="2598">
        <v>44134</v>
      </c>
      <c r="C3" s="2599" t="s">
        <v>2913</v>
      </c>
      <c r="D3" s="2598">
        <v>44134</v>
      </c>
      <c r="E3" s="2891"/>
      <c r="F3" s="2891"/>
      <c r="G3" s="2891"/>
      <c r="H3" s="2891"/>
      <c r="I3" s="2891"/>
      <c r="J3" s="2698"/>
      <c r="K3" s="2593"/>
      <c r="L3" s="2594"/>
      <c r="M3" s="2594"/>
      <c r="N3" s="2595"/>
      <c r="O3" s="1763"/>
      <c r="P3" s="2595"/>
      <c r="Q3" s="2595"/>
      <c r="R3" s="2595"/>
      <c r="S3" s="1869"/>
      <c r="T3" s="1932"/>
      <c r="U3" s="1932"/>
      <c r="V3" s="1932"/>
      <c r="W3" s="1932"/>
      <c r="X3" s="1932"/>
      <c r="Y3" s="1932"/>
      <c r="Z3" s="1932"/>
      <c r="AA3" s="1932"/>
      <c r="AB3" s="1932"/>
    </row>
    <row r="4" spans="1:28" ht="13.5" thickBot="1">
      <c r="A4" s="1250" t="s">
        <v>2914</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3"/>
      <c r="P4" s="2595"/>
      <c r="Q4" s="2595"/>
      <c r="R4" s="2595"/>
      <c r="S4" s="1869"/>
      <c r="T4" s="1932"/>
      <c r="U4" s="1932"/>
      <c r="V4" s="1932"/>
      <c r="W4" s="1932"/>
      <c r="X4" s="1932"/>
      <c r="Y4" s="1932"/>
      <c r="Z4" s="1932"/>
      <c r="AA4" s="1932"/>
      <c r="AB4" s="1932"/>
    </row>
    <row r="5" spans="1:28" ht="13.5" thickTop="1">
      <c r="A5" s="2604" t="s">
        <v>2915</v>
      </c>
      <c r="B5" s="2605"/>
      <c r="C5" s="2606"/>
      <c r="D5" s="2607"/>
      <c r="E5" s="2892"/>
      <c r="F5" s="2892"/>
      <c r="G5" s="2892"/>
      <c r="H5" s="2892"/>
      <c r="I5" s="2892"/>
      <c r="J5" s="2666"/>
      <c r="K5" s="2603" t="str">
        <f>IF(F4="——","",IF(H4="——",F4&amp;"（注册号："&amp;G4&amp;")",CONCATENATE(F4,"（注册号：",G4,")、",H4,"（注册号：",I4,")")))</f>
        <v>（注册号：0)、（注册号：0)</v>
      </c>
      <c r="L5" s="2594"/>
      <c r="M5" s="2594"/>
      <c r="N5" s="2595"/>
      <c r="O5" s="1763"/>
      <c r="P5" s="2595"/>
      <c r="Q5" s="2595"/>
      <c r="R5" s="2595"/>
      <c r="S5" s="1932"/>
      <c r="T5" s="1932"/>
      <c r="U5" s="1932"/>
      <c r="V5" s="1932"/>
      <c r="W5" s="1932"/>
      <c r="X5" s="1932"/>
      <c r="Y5" s="1932"/>
      <c r="Z5" s="1932"/>
      <c r="AA5" s="1932"/>
      <c r="AB5" s="1932"/>
    </row>
    <row r="6" spans="1:28">
      <c r="A6" s="2608" t="s">
        <v>2916</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2917</v>
      </c>
      <c r="B7" s="2612"/>
      <c r="C7" s="2610"/>
      <c r="D7" s="2611"/>
      <c r="E7" s="2890"/>
      <c r="F7" s="2892"/>
      <c r="G7" s="2892"/>
      <c r="H7" s="2892"/>
      <c r="I7" s="2892"/>
      <c r="J7" s="2666"/>
      <c r="K7" s="2843"/>
      <c r="L7" s="2840"/>
      <c r="M7" s="2840"/>
      <c r="N7" s="2666"/>
      <c r="O7" s="2677"/>
      <c r="P7" s="2666"/>
      <c r="Q7" s="2666"/>
      <c r="R7" s="2666"/>
    </row>
    <row r="8" spans="1:28">
      <c r="A8" s="2613" t="s">
        <v>2918</v>
      </c>
      <c r="B8" s="2614" t="s">
        <v>3705</v>
      </c>
      <c r="C8" s="2615"/>
      <c r="D8" s="3148" t="s">
        <v>2919</v>
      </c>
      <c r="E8" s="2616"/>
      <c r="F8" s="2617"/>
      <c r="G8" s="2891"/>
      <c r="H8" s="2891"/>
      <c r="I8" s="2891"/>
      <c r="J8" s="2666"/>
      <c r="K8" s="2841"/>
      <c r="L8" s="2840"/>
      <c r="M8" s="2840"/>
      <c r="N8" s="2666"/>
      <c r="O8" s="2677"/>
      <c r="P8" s="2666"/>
      <c r="Q8" s="2666"/>
      <c r="R8" s="2666"/>
    </row>
    <row r="9" spans="1:28" ht="13.5" thickBot="1">
      <c r="A9" s="2618" t="s">
        <v>2920</v>
      </c>
      <c r="B9" s="2619" t="s">
        <v>3706</v>
      </c>
      <c r="C9" s="2620"/>
      <c r="D9" s="3149"/>
      <c r="E9" s="2619"/>
      <c r="F9" s="2621"/>
      <c r="G9" s="2893"/>
      <c r="H9" s="2893"/>
      <c r="I9" s="2893"/>
      <c r="J9" s="2666"/>
      <c r="K9" s="2843"/>
      <c r="L9" s="2840"/>
      <c r="M9" s="2840"/>
      <c r="N9" s="2666"/>
      <c r="O9" s="2677"/>
      <c r="P9" s="2666"/>
      <c r="Q9" s="2666"/>
      <c r="R9" s="2666"/>
    </row>
    <row r="10" spans="1:28" ht="13.5" thickTop="1">
      <c r="A10" s="2622" t="s">
        <v>2921</v>
      </c>
      <c r="B10" s="2623" t="s">
        <v>3707</v>
      </c>
      <c r="C10" s="2624"/>
      <c r="D10" s="2607"/>
      <c r="E10" s="2625" t="s">
        <v>2922</v>
      </c>
      <c r="F10" s="2894"/>
      <c r="G10" s="2895"/>
      <c r="H10" s="2896"/>
      <c r="I10" s="2897"/>
      <c r="J10" s="2666"/>
      <c r="K10" s="2843"/>
      <c r="L10" s="2840"/>
      <c r="M10" s="2840"/>
      <c r="N10" s="2666"/>
      <c r="O10" s="2677"/>
      <c r="P10" s="2666"/>
      <c r="Q10" s="2666"/>
      <c r="R10" s="2666"/>
    </row>
    <row r="11" spans="1:28">
      <c r="A11" s="2626" t="s">
        <v>2923</v>
      </c>
      <c r="B11" s="2627" t="s">
        <v>3708</v>
      </c>
      <c r="C11" s="2628"/>
      <c r="D11" s="2629"/>
      <c r="E11" s="2595"/>
      <c r="F11" s="2595"/>
      <c r="G11" s="2595"/>
      <c r="H11" s="2595"/>
      <c r="I11" s="2595"/>
      <c r="J11" s="2666"/>
      <c r="K11" s="2843"/>
      <c r="L11" s="2840"/>
      <c r="M11" s="2840"/>
      <c r="N11" s="2666"/>
      <c r="O11" s="2677"/>
      <c r="P11" s="2666"/>
      <c r="Q11" s="2666"/>
      <c r="R11" s="2666"/>
    </row>
    <row r="12" spans="1:28">
      <c r="A12" s="2630" t="s">
        <v>2924</v>
      </c>
      <c r="B12" s="2627" t="s">
        <v>3709</v>
      </c>
      <c r="C12" s="329" t="s">
        <v>2925</v>
      </c>
      <c r="D12" s="2631" t="s">
        <v>2926</v>
      </c>
      <c r="E12" s="2631" t="s">
        <v>2927</v>
      </c>
      <c r="F12" s="2631" t="s">
        <v>2928</v>
      </c>
      <c r="G12" s="2631" t="s">
        <v>2929</v>
      </c>
      <c r="H12" s="2631" t="s">
        <v>2930</v>
      </c>
      <c r="I12" s="2631" t="s">
        <v>2931</v>
      </c>
      <c r="J12" s="2666"/>
      <c r="K12" s="2843"/>
      <c r="L12" s="2840"/>
      <c r="M12" s="2840"/>
      <c r="N12" s="2666"/>
      <c r="O12" s="2677"/>
      <c r="P12" s="2666"/>
      <c r="Q12" s="2666"/>
      <c r="R12" s="2666"/>
    </row>
    <row r="13" spans="1:28">
      <c r="A13" s="1241"/>
      <c r="B13" s="2632"/>
      <c r="C13" s="2633" t="s">
        <v>2932</v>
      </c>
      <c r="D13" s="965">
        <v>68375</v>
      </c>
      <c r="E13" s="965">
        <v>57418</v>
      </c>
      <c r="F13" s="965"/>
      <c r="G13" s="965">
        <v>61070</v>
      </c>
      <c r="H13" s="965"/>
      <c r="I13" s="965"/>
      <c r="J13" s="2666"/>
      <c r="K13" s="2843"/>
      <c r="L13" s="2840"/>
      <c r="M13" s="2840"/>
      <c r="N13" s="2666"/>
      <c r="O13" s="2677"/>
      <c r="P13" s="2666"/>
      <c r="Q13" s="2666"/>
      <c r="R13" s="2666"/>
    </row>
    <row r="14" spans="1:28">
      <c r="A14" s="1241"/>
      <c r="B14" s="2632"/>
      <c r="C14" s="2633" t="s">
        <v>2933</v>
      </c>
      <c r="D14" s="2634">
        <v>70</v>
      </c>
      <c r="E14" s="2634">
        <v>40</v>
      </c>
      <c r="F14" s="2634"/>
      <c r="G14" s="2634">
        <v>50</v>
      </c>
      <c r="H14" s="2634"/>
      <c r="I14" s="2634"/>
      <c r="J14" s="2666"/>
      <c r="K14" s="2844"/>
      <c r="L14" s="2840"/>
      <c r="M14" s="2840"/>
      <c r="N14" s="2666"/>
      <c r="O14" s="2677"/>
      <c r="P14" s="2666"/>
      <c r="Q14" s="2666"/>
      <c r="R14" s="2666"/>
    </row>
    <row r="15" spans="1:28">
      <c r="A15" s="326"/>
      <c r="B15" s="2635"/>
      <c r="C15" s="2636" t="s">
        <v>2934</v>
      </c>
      <c r="D15" s="2637">
        <f>IF(B12="出让",IF(D13="","",ROUNDDOWN(MIN((D13-$D$3)/365,D14),2)),D14)</f>
        <v>66.41</v>
      </c>
      <c r="E15" s="2637">
        <f>IF(B12="出让",IF(E13="","",ROUNDDOWN(MIN((E13-$D$3)/365,E14),2)),E14)</f>
        <v>36.39</v>
      </c>
      <c r="F15" s="2637" t="str">
        <f>IF(B12="出让",IF(F13="","",ROUNDDOWN(MIN((F13-$D$3)/365,F14),2)),F14)</f>
        <v/>
      </c>
      <c r="G15" s="2637">
        <f>IF(B12="出让",IF(G13="","",ROUNDDOWN(MIN((G13-$D$3)/365,G14),2)),G14)</f>
        <v>46.4</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2935</v>
      </c>
      <c r="B16" s="3155"/>
      <c r="C16" s="3156"/>
      <c r="D16" s="3157"/>
      <c r="E16" s="2640" t="s">
        <v>2936</v>
      </c>
      <c r="F16" s="3158"/>
      <c r="G16" s="3159"/>
      <c r="H16" s="3159"/>
      <c r="I16" s="3160"/>
      <c r="J16" s="2666"/>
      <c r="K16" s="2845"/>
      <c r="L16" s="2678"/>
      <c r="M16" s="2678"/>
      <c r="N16" s="2736"/>
      <c r="O16" s="2678"/>
      <c r="P16" s="2736"/>
      <c r="Q16" s="2666"/>
      <c r="R16" s="2666"/>
    </row>
    <row r="17" spans="1:28">
      <c r="A17" s="319" t="s">
        <v>2937</v>
      </c>
      <c r="B17" s="308" t="s">
        <v>2938</v>
      </c>
      <c r="C17" s="11">
        <f>'数据-汇总表'!E3</f>
        <v>107747.01000000001</v>
      </c>
      <c r="D17" s="2546" t="s">
        <v>2939</v>
      </c>
      <c r="E17" s="3161" t="s">
        <v>2940</v>
      </c>
      <c r="F17" s="3162"/>
      <c r="G17" s="3162"/>
      <c r="H17" s="3162"/>
      <c r="I17" s="3163"/>
      <c r="J17" s="2666"/>
      <c r="K17" s="2846"/>
      <c r="L17" s="2678"/>
      <c r="M17" s="2678"/>
      <c r="N17" s="2736"/>
      <c r="O17" s="2678"/>
      <c r="P17" s="2736"/>
      <c r="Q17" s="2666"/>
      <c r="R17" s="2666"/>
      <c r="S17" s="2666"/>
      <c r="T17" s="2666"/>
      <c r="U17" s="2666"/>
      <c r="V17" s="2666"/>
    </row>
    <row r="18" spans="1:28" ht="24.75" thickBot="1">
      <c r="A18" s="2641" t="s">
        <v>2941</v>
      </c>
      <c r="B18" s="1250" t="s">
        <v>2942</v>
      </c>
      <c r="C18" s="2642">
        <f>'数据-汇总表'!D3</f>
        <v>33243.519999999997</v>
      </c>
      <c r="D18" s="1252" t="s">
        <v>2943</v>
      </c>
      <c r="E18" s="3164" t="s">
        <v>2944</v>
      </c>
      <c r="F18" s="3165"/>
      <c r="G18" s="3165"/>
      <c r="H18" s="3165"/>
      <c r="I18" s="3166"/>
      <c r="J18" s="2666"/>
      <c r="K18" s="2846"/>
      <c r="L18" s="2678"/>
      <c r="M18" s="2678"/>
      <c r="N18" s="2736"/>
      <c r="O18" s="2678"/>
      <c r="P18" s="2736"/>
      <c r="Q18" s="2666"/>
      <c r="R18" s="2666"/>
      <c r="S18" s="2666"/>
      <c r="T18" s="2666"/>
      <c r="U18" s="2666"/>
      <c r="V18" s="2666"/>
    </row>
    <row r="19" spans="1:28" ht="37.5" thickTop="1" thickBot="1">
      <c r="A19" s="333" t="s">
        <v>1738</v>
      </c>
      <c r="B19" s="313" t="s">
        <v>2945</v>
      </c>
      <c r="C19" s="1750"/>
      <c r="D19" s="1751" t="s">
        <v>2946</v>
      </c>
      <c r="E19" s="1752"/>
      <c r="F19" s="1753" t="str">
        <f>IF(AND(C19="是",E19="否"),"是否提供他项权证或相关说明","")</f>
        <v/>
      </c>
      <c r="G19" s="1754"/>
      <c r="H19" s="2892"/>
      <c r="I19" s="2892"/>
      <c r="J19" s="2666"/>
      <c r="K19" s="2843"/>
      <c r="L19" s="2840"/>
      <c r="M19" s="2840"/>
      <c r="N19" s="2736"/>
      <c r="O19" s="2678"/>
      <c r="P19" s="2736"/>
      <c r="Q19" s="2666"/>
      <c r="R19" s="2666"/>
      <c r="S19" s="2666"/>
      <c r="T19" s="2666"/>
      <c r="U19" s="2666"/>
      <c r="V19" s="2666"/>
    </row>
    <row r="20" spans="1:28">
      <c r="A20" s="2860" t="s">
        <v>2947</v>
      </c>
      <c r="B20" s="3151" t="s">
        <v>2948</v>
      </c>
      <c r="C20" s="3152"/>
      <c r="D20" s="3153" t="s">
        <v>2949</v>
      </c>
      <c r="E20" s="3154"/>
      <c r="F20" s="2875" t="s">
        <v>1739</v>
      </c>
      <c r="G20" s="2892"/>
      <c r="H20" s="2892"/>
      <c r="I20" s="2892"/>
      <c r="J20" s="2666"/>
      <c r="K20" s="3150"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2951</v>
      </c>
      <c r="C21" s="2862" t="s">
        <v>1740</v>
      </c>
      <c r="D21" s="1755" t="s">
        <v>2952</v>
      </c>
      <c r="E21" s="2863" t="s">
        <v>1740</v>
      </c>
      <c r="F21" s="2876"/>
      <c r="G21" s="2892"/>
      <c r="H21" s="2892"/>
      <c r="I21" s="2892"/>
      <c r="J21" s="2666"/>
      <c r="K21" s="315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2953</v>
      </c>
      <c r="C22" s="2862" t="s">
        <v>1741</v>
      </c>
      <c r="D22" s="2891"/>
      <c r="E22" s="2891"/>
      <c r="F22" s="2891"/>
      <c r="G22" s="2892"/>
      <c r="H22" s="2892"/>
      <c r="I22" s="2892"/>
      <c r="J22" s="2666"/>
      <c r="K22" s="315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2954</v>
      </c>
      <c r="B23" s="2729" t="s">
        <v>2955</v>
      </c>
      <c r="C23" s="2866"/>
      <c r="D23" s="2867" t="s">
        <v>2955</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1742</v>
      </c>
      <c r="C24" s="2869"/>
      <c r="D24" s="2865" t="s">
        <v>1742</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1743</v>
      </c>
      <c r="C25" s="2869"/>
      <c r="D25" s="2865" t="s">
        <v>1743</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1744</v>
      </c>
      <c r="C26" s="2873"/>
      <c r="D26" s="2871" t="s">
        <v>1744</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38" t="s">
        <v>2956</v>
      </c>
      <c r="B27" s="326" t="s">
        <v>2957</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38"/>
      <c r="B28" s="308" t="s">
        <v>2958</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38"/>
      <c r="B29" s="308" t="s">
        <v>2959</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39"/>
      <c r="B30" s="308" t="s">
        <v>2960</v>
      </c>
      <c r="C30" s="3140"/>
      <c r="D30" s="3141"/>
      <c r="E30" s="2892"/>
      <c r="F30" s="2892"/>
      <c r="G30" s="2892"/>
      <c r="H30" s="2892"/>
      <c r="I30" s="2892"/>
      <c r="J30" s="2666"/>
      <c r="K30" s="2843"/>
      <c r="L30" s="2840"/>
      <c r="M30" s="2840"/>
      <c r="N30" s="2666"/>
      <c r="O30" s="2677"/>
      <c r="P30" s="2666"/>
      <c r="Q30" s="2666"/>
      <c r="R30" s="2666"/>
      <c r="S30" s="2666"/>
      <c r="T30" s="2666"/>
      <c r="U30" s="2666"/>
      <c r="V30" s="2666"/>
    </row>
    <row r="31" spans="1:28">
      <c r="A31" s="3142" t="s">
        <v>2961</v>
      </c>
      <c r="B31" s="2649"/>
      <c r="C31" s="2547" t="str">
        <f>IF(B31="现房","成新及维护状况正常否",IF(B31="在建","工程状态是否正常",IF(B31="土地","是否闲置","-")))</f>
        <v>-</v>
      </c>
      <c r="D31" s="1559"/>
      <c r="E31" s="2650"/>
      <c r="F31" s="2892"/>
      <c r="G31" s="2892"/>
      <c r="H31" s="2892"/>
      <c r="I31" s="2892"/>
      <c r="J31" s="2666"/>
      <c r="K31" s="2842"/>
      <c r="L31" s="2840"/>
      <c r="M31" s="2840"/>
      <c r="N31" s="2666"/>
      <c r="O31" s="2677"/>
      <c r="P31" s="2666"/>
      <c r="Q31" s="2666"/>
      <c r="R31" s="2666"/>
      <c r="S31" s="2666"/>
      <c r="T31" s="2666"/>
      <c r="U31" s="2666"/>
      <c r="V31" s="2666"/>
    </row>
    <row r="32" spans="1:28">
      <c r="A32" s="3143"/>
      <c r="B32" s="2649"/>
      <c r="C32" s="2547" t="str">
        <f>IF(B32="现房","成新及维护状况是否正常",IF(B32="在建","工程状态是否正常",IF(B32="土地","是否闲置","-")))</f>
        <v>-</v>
      </c>
      <c r="D32" s="1559"/>
      <c r="E32" s="2650"/>
      <c r="F32" s="2892"/>
      <c r="G32" s="2892"/>
      <c r="H32" s="2892"/>
      <c r="I32" s="2892"/>
      <c r="J32" s="2666"/>
      <c r="K32" s="2843"/>
      <c r="L32" s="2840"/>
      <c r="M32" s="2840"/>
      <c r="N32" s="2666"/>
      <c r="O32" s="2677"/>
      <c r="P32" s="2666"/>
      <c r="Q32" s="2666"/>
      <c r="R32" s="2666"/>
      <c r="S32" s="2666"/>
      <c r="T32" s="2666"/>
      <c r="U32" s="2666"/>
      <c r="V32" s="2666"/>
    </row>
    <row r="33" spans="1:30">
      <c r="A33" s="3143"/>
      <c r="B33" s="2652"/>
      <c r="C33" s="1777" t="str">
        <f>IF(B33="现房","成新及维护状况是否正常",IF(B33="在建","工程状态是否正常",IF(B33="土地","是否闲置","-")))</f>
        <v>-</v>
      </c>
      <c r="D33" s="1551"/>
      <c r="E33" s="2653"/>
      <c r="F33" s="2892"/>
      <c r="G33" s="2892"/>
      <c r="H33" s="2892"/>
      <c r="I33" s="2892"/>
      <c r="J33" s="2666"/>
      <c r="K33" s="2843"/>
      <c r="L33" s="2840"/>
      <c r="M33" s="2840"/>
      <c r="N33" s="2666"/>
      <c r="O33" s="2677"/>
      <c r="P33" s="2666"/>
      <c r="Q33" s="2666"/>
      <c r="R33" s="2666"/>
      <c r="S33" s="2666"/>
      <c r="T33" s="2666"/>
      <c r="U33" s="2666"/>
      <c r="V33" s="2666"/>
    </row>
    <row r="34" spans="1:30">
      <c r="A34" s="308" t="s">
        <v>2962</v>
      </c>
      <c r="B34" s="2215"/>
      <c r="C34" s="2215"/>
      <c r="D34" s="2215"/>
      <c r="E34" s="2215"/>
      <c r="F34" s="2215"/>
      <c r="G34" s="2215"/>
      <c r="H34" s="2215"/>
      <c r="I34" s="2892"/>
      <c r="J34" s="2666"/>
      <c r="K34" s="2654">
        <f>COUNTIF(B34:H34,"——")</f>
        <v>0</v>
      </c>
      <c r="L34" s="329" t="s">
        <v>2963</v>
      </c>
      <c r="M34" s="329" t="s">
        <v>2964</v>
      </c>
      <c r="N34" s="329" t="s">
        <v>2965</v>
      </c>
      <c r="O34" s="329" t="s">
        <v>2966</v>
      </c>
      <c r="P34" s="329" t="s">
        <v>2967</v>
      </c>
      <c r="Q34" s="329" t="s">
        <v>2968</v>
      </c>
      <c r="R34" s="329" t="s">
        <v>2969</v>
      </c>
      <c r="S34" s="3137" t="s">
        <v>2970</v>
      </c>
      <c r="T34" s="2655" t="str">
        <f>NUMBERSTRING(7-K34,1)&amp;"通"</f>
        <v>七通</v>
      </c>
      <c r="U34" s="2666"/>
      <c r="V34" s="2666"/>
    </row>
    <row r="35" spans="1:30">
      <c r="A35" s="2656"/>
      <c r="B35" s="3144" t="s">
        <v>2971</v>
      </c>
      <c r="C35" s="3144"/>
      <c r="D35" s="3144"/>
      <c r="E35" s="3144"/>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7"/>
      <c r="T35" s="335" t="str">
        <f>IF(T34="一通",L35,IF(T34="二通",M35,IF(T34="三通",N35,IF(T34="四通",O35,IF(T34="五通",P35,IF(T34="六通",Q35,R35))))))</f>
        <v>、、、、、、</v>
      </c>
      <c r="U35" s="2666"/>
      <c r="V35" s="2666"/>
    </row>
    <row r="36" spans="1:30">
      <c r="A36" s="2657"/>
      <c r="B36" s="673" t="s">
        <v>2927</v>
      </c>
      <c r="C36" s="673" t="s">
        <v>2928</v>
      </c>
      <c r="D36" s="673" t="s">
        <v>2926</v>
      </c>
      <c r="E36" s="673" t="s">
        <v>2931</v>
      </c>
      <c r="F36" s="2898"/>
      <c r="G36" s="2892"/>
      <c r="H36" s="2892"/>
      <c r="I36" s="2892"/>
      <c r="J36" s="2666"/>
      <c r="K36" s="2843"/>
      <c r="L36" s="2840"/>
      <c r="M36" s="2840"/>
      <c r="N36" s="2666"/>
      <c r="O36" s="2677"/>
      <c r="P36" s="2666"/>
      <c r="Q36" s="2666"/>
      <c r="R36" s="2666"/>
      <c r="S36" s="2666"/>
      <c r="T36" s="2666"/>
      <c r="U36" s="2666"/>
      <c r="V36" s="2666"/>
    </row>
    <row r="37" spans="1:30">
      <c r="A37" s="2858" t="s">
        <v>2972</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2973</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2974</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5"/>
      <c r="J40" s="2736"/>
      <c r="K40" s="2842"/>
      <c r="L40" s="2678"/>
      <c r="M40" s="2678"/>
      <c r="N40" s="2736"/>
      <c r="O40" s="2678"/>
      <c r="P40" s="2666"/>
      <c r="Q40" s="2666"/>
      <c r="R40" s="2666"/>
      <c r="S40" s="2666"/>
      <c r="T40" s="2666"/>
      <c r="U40" s="2666"/>
      <c r="V40" s="2666"/>
    </row>
    <row r="41" spans="1:30">
      <c r="A41" s="2663" t="s">
        <v>2975</v>
      </c>
      <c r="B41" s="1944"/>
      <c r="C41" s="1559"/>
      <c r="D41" s="2595"/>
      <c r="E41" s="2595"/>
      <c r="F41" s="2595"/>
      <c r="G41" s="2595"/>
      <c r="H41" s="2595"/>
      <c r="I41" s="1763"/>
      <c r="J41" s="2666"/>
      <c r="K41" s="2843"/>
      <c r="L41" s="2840"/>
      <c r="M41" s="2840"/>
      <c r="N41" s="2666"/>
      <c r="O41" s="2677"/>
      <c r="P41" s="2666"/>
      <c r="Q41" s="2666"/>
      <c r="R41" s="2666"/>
      <c r="S41" s="2666"/>
      <c r="T41" s="2666"/>
      <c r="U41" s="2666"/>
      <c r="V41" s="2666"/>
    </row>
    <row r="42" spans="1:30" ht="25.5">
      <c r="A42" s="329" t="s">
        <v>2976</v>
      </c>
      <c r="B42" s="11" t="s">
        <v>2977</v>
      </c>
      <c r="C42" s="11" t="s">
        <v>2978</v>
      </c>
      <c r="D42" s="11" t="s">
        <v>2979</v>
      </c>
      <c r="E42" s="11" t="s">
        <v>2980</v>
      </c>
      <c r="F42" s="11" t="s">
        <v>2981</v>
      </c>
      <c r="G42" s="11" t="s">
        <v>2982</v>
      </c>
      <c r="H42" s="11" t="s">
        <v>2983</v>
      </c>
      <c r="I42" s="11" t="s">
        <v>2984</v>
      </c>
      <c r="J42" s="2854" t="s">
        <v>2985</v>
      </c>
      <c r="K42" s="2855" t="s">
        <v>2986</v>
      </c>
      <c r="L42" s="2855" t="s">
        <v>2987</v>
      </c>
      <c r="M42" s="2855" t="s">
        <v>2988</v>
      </c>
      <c r="N42" s="2848" t="s">
        <v>2989</v>
      </c>
      <c r="O42" s="2848" t="s">
        <v>2990</v>
      </c>
      <c r="P42" s="2848" t="s">
        <v>2991</v>
      </c>
      <c r="Q42" s="2849" t="s">
        <v>2992</v>
      </c>
      <c r="R42" s="2849" t="s">
        <v>2993</v>
      </c>
      <c r="S42" s="2666"/>
      <c r="T42" s="2666"/>
      <c r="U42" s="2666"/>
      <c r="V42" s="2666"/>
    </row>
    <row r="43" spans="1:30" s="1930"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7"/>
      <c r="B51" s="1757"/>
      <c r="C51" s="1182"/>
      <c r="D51" s="1182"/>
      <c r="E51" s="1182"/>
      <c r="F51" s="1182"/>
      <c r="G51" s="1182"/>
      <c r="H51" s="1182"/>
      <c r="I51" s="1182"/>
      <c r="J51" s="2664"/>
      <c r="K51" s="2665"/>
      <c r="L51" s="2665"/>
      <c r="M51" s="1182"/>
      <c r="N51" s="1182"/>
      <c r="O51" s="1182"/>
      <c r="P51" s="1182"/>
      <c r="Q51" s="1182"/>
      <c r="R51" s="1182"/>
    </row>
    <row r="52" spans="1:22" s="1930" customFormat="1">
      <c r="A52" s="1757"/>
      <c r="B52" s="1757"/>
      <c r="C52" s="1757"/>
      <c r="D52" s="1757"/>
      <c r="E52" s="1757"/>
      <c r="F52" s="1182"/>
      <c r="G52" s="1757"/>
      <c r="H52" s="1757"/>
      <c r="I52" s="1757"/>
      <c r="J52" s="2667"/>
      <c r="K52" s="2665"/>
      <c r="L52" s="2665"/>
      <c r="M52" s="2665"/>
      <c r="N52" s="1757"/>
      <c r="O52" s="1757"/>
      <c r="P52" s="1757"/>
      <c r="Q52" s="1757"/>
      <c r="R52" s="1757"/>
    </row>
    <row r="53" spans="1:22" s="1930" customFormat="1">
      <c r="A53" s="1757"/>
      <c r="B53" s="1757"/>
      <c r="C53" s="1757"/>
      <c r="D53" s="1757"/>
      <c r="E53" s="1757"/>
      <c r="F53" s="1182"/>
      <c r="G53" s="1757"/>
      <c r="H53" s="1757"/>
      <c r="I53" s="1757"/>
      <c r="J53" s="2667"/>
      <c r="K53" s="2665"/>
      <c r="L53" s="2665"/>
      <c r="M53" s="2665"/>
      <c r="N53" s="1757"/>
      <c r="O53" s="1757"/>
      <c r="P53" s="1757"/>
      <c r="Q53" s="1757"/>
      <c r="R53" s="1757"/>
    </row>
    <row r="54" spans="1:22" s="1930" customFormat="1">
      <c r="A54" s="1757"/>
      <c r="B54" s="1757"/>
      <c r="C54" s="1757"/>
      <c r="D54" s="1757"/>
      <c r="E54" s="1757"/>
      <c r="F54" s="1182"/>
      <c r="G54" s="1757"/>
      <c r="H54" s="1757"/>
      <c r="I54" s="1757"/>
      <c r="J54" s="2667"/>
      <c r="K54" s="2665"/>
      <c r="L54" s="2665"/>
      <c r="M54" s="2665"/>
      <c r="N54" s="1757"/>
      <c r="O54" s="1757"/>
      <c r="P54" s="1757"/>
      <c r="Q54" s="1757"/>
      <c r="R54" s="1757"/>
    </row>
    <row r="55" spans="1:22" s="1930" customFormat="1">
      <c r="A55" s="1757"/>
      <c r="B55" s="1757"/>
      <c r="C55" s="1757"/>
      <c r="D55" s="1757"/>
      <c r="E55" s="1757"/>
      <c r="F55" s="1182"/>
      <c r="G55" s="1757"/>
      <c r="H55" s="1757"/>
      <c r="I55" s="1757"/>
      <c r="J55" s="2667"/>
      <c r="K55" s="2665"/>
      <c r="L55" s="2665"/>
      <c r="M55" s="2665"/>
      <c r="N55" s="1757"/>
      <c r="O55" s="1757"/>
      <c r="P55" s="1757"/>
      <c r="Q55" s="1757"/>
      <c r="R55" s="1757"/>
    </row>
    <row r="56" spans="1:22" s="1930"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E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B12" xr:uid="{00000000-0002-0000-0C00-000014000000}">
      <formula1>"出让,划拨"</formula1>
    </dataValidation>
    <dataValidation type="list" allowBlank="1" showInputMessage="1" showErrorMessage="1" sqref="D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1745</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1746</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1747</v>
      </c>
      <c r="B2" s="11" t="s">
        <v>1748</v>
      </c>
      <c r="C2" s="11" t="s">
        <v>1749</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1750</v>
      </c>
      <c r="AZ2" s="1180" t="s">
        <v>1751</v>
      </c>
      <c r="BA2" s="11" t="s">
        <v>1752</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面积!I18</f>
        <v>45641.759999999995</v>
      </c>
      <c r="B3" s="14">
        <f>IF(C3="否",G5-AT5,G5)</f>
        <v>147931.45999999996</v>
      </c>
      <c r="C3" s="1767" t="s">
        <v>1753</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1754</v>
      </c>
      <c r="B5" s="1533"/>
      <c r="C5" s="1533"/>
      <c r="D5" s="1535"/>
      <c r="E5" s="16" t="s">
        <v>1</v>
      </c>
      <c r="F5" s="16">
        <f>SUM(F13:F587)</f>
        <v>0</v>
      </c>
      <c r="G5" s="16">
        <f>SUM(G13:G587)</f>
        <v>147931.45999999996</v>
      </c>
      <c r="H5" s="16">
        <f t="shared" ref="H5:AT5" si="0">SUM(H13:H656)</f>
        <v>141496.17999999996</v>
      </c>
      <c r="I5" s="16">
        <f t="shared" si="0"/>
        <v>40184.449999999953</v>
      </c>
      <c r="J5" s="16">
        <f t="shared" si="0"/>
        <v>0</v>
      </c>
      <c r="K5" s="16">
        <f t="shared" si="0"/>
        <v>45336.350000000006</v>
      </c>
      <c r="L5" s="16">
        <f t="shared" si="0"/>
        <v>0</v>
      </c>
      <c r="M5" s="16">
        <f t="shared" si="0"/>
        <v>5119.12</v>
      </c>
      <c r="N5" s="16">
        <f t="shared" si="0"/>
        <v>0</v>
      </c>
      <c r="O5" s="16">
        <f t="shared" si="0"/>
        <v>15388.85</v>
      </c>
      <c r="P5" s="16">
        <f t="shared" si="0"/>
        <v>0</v>
      </c>
      <c r="Q5" s="16">
        <f t="shared" si="0"/>
        <v>35467.410000000003</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6435.28</v>
      </c>
      <c r="AD5" s="16">
        <f t="shared" si="0"/>
        <v>6435.28</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1754</v>
      </c>
      <c r="AW5" s="1533"/>
      <c r="AX5" s="1533"/>
      <c r="AY5" s="17" t="s">
        <v>3</v>
      </c>
      <c r="AZ5" s="18">
        <f t="shared" ref="AZ5:BT5" si="1">SUM(AZ13:AZ656)</f>
        <v>107747.01000000001</v>
      </c>
      <c r="BA5" s="18">
        <f t="shared" si="1"/>
        <v>101311.73000000001</v>
      </c>
      <c r="BB5" s="18">
        <f t="shared" si="1"/>
        <v>0</v>
      </c>
      <c r="BC5" s="18">
        <f t="shared" si="1"/>
        <v>45336.350000000006</v>
      </c>
      <c r="BD5" s="18">
        <f t="shared" si="1"/>
        <v>5119.12</v>
      </c>
      <c r="BE5" s="18">
        <f t="shared" si="1"/>
        <v>15388.85</v>
      </c>
      <c r="BF5" s="18">
        <f t="shared" si="1"/>
        <v>35467.410000000003</v>
      </c>
      <c r="BG5" s="18">
        <f t="shared" si="1"/>
        <v>0</v>
      </c>
      <c r="BH5" s="18">
        <f t="shared" si="1"/>
        <v>0</v>
      </c>
      <c r="BI5" s="18">
        <f t="shared" si="1"/>
        <v>0</v>
      </c>
      <c r="BJ5" s="18">
        <f t="shared" si="1"/>
        <v>0</v>
      </c>
      <c r="BK5" s="18">
        <f t="shared" si="1"/>
        <v>0</v>
      </c>
      <c r="BL5" s="18">
        <f t="shared" si="1"/>
        <v>6435.28</v>
      </c>
      <c r="BM5" s="18">
        <f t="shared" si="1"/>
        <v>6435.28</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1755</v>
      </c>
      <c r="B6" s="1773"/>
      <c r="C6" s="1773"/>
      <c r="D6" s="1774"/>
      <c r="E6" s="16">
        <f>H6+AC6+AT6</f>
        <v>45641.770000000004</v>
      </c>
      <c r="F6" s="16" t="s">
        <v>1</v>
      </c>
      <c r="G6" s="16" t="s">
        <v>2</v>
      </c>
      <c r="H6" s="20">
        <f>SUMIF(I$12:AB$12,"总值",I6:AB6)</f>
        <v>43656.270000000004</v>
      </c>
      <c r="I6" s="16">
        <f t="shared" ref="I6:AB6" si="2">ROUND($A$3*I5/$B$3,2)</f>
        <v>12398.24</v>
      </c>
      <c r="J6" s="16">
        <f t="shared" si="2"/>
        <v>0</v>
      </c>
      <c r="K6" s="16">
        <f t="shared" si="2"/>
        <v>13987.77</v>
      </c>
      <c r="L6" s="16">
        <f t="shared" si="2"/>
        <v>0</v>
      </c>
      <c r="M6" s="16">
        <f t="shared" si="2"/>
        <v>1579.42</v>
      </c>
      <c r="N6" s="16">
        <f t="shared" si="2"/>
        <v>0</v>
      </c>
      <c r="O6" s="16">
        <f t="shared" si="2"/>
        <v>4747.97</v>
      </c>
      <c r="P6" s="16">
        <f t="shared" si="2"/>
        <v>0</v>
      </c>
      <c r="Q6" s="16">
        <f t="shared" si="2"/>
        <v>10942.87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1985.5</v>
      </c>
      <c r="AD6" s="16">
        <f t="shared" ref="AD6:AS6" si="3">ROUND($A$3*AD5/$B$3,2)</f>
        <v>1985.5</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1755</v>
      </c>
      <c r="AW6" s="1773"/>
      <c r="AX6" s="1773"/>
      <c r="AY6" s="21">
        <f>IF(AY3&gt;0,AY3,ROUND($A$3*AZ5/$B$3,2))</f>
        <v>33243.519999999997</v>
      </c>
      <c r="AZ6" s="16" t="s">
        <v>3</v>
      </c>
      <c r="BA6" s="16">
        <f>ROUND($AY$6*BA5/$AZ$5,2)</f>
        <v>31258.02</v>
      </c>
      <c r="BB6" s="16">
        <f>ROUND($AY$6*BB5/$AZ$5,2)</f>
        <v>0</v>
      </c>
      <c r="BC6" s="16">
        <f t="shared" ref="BC6:BH6" si="4">ROUND($AY$6*BC5/$AZ$5,2)</f>
        <v>13987.77</v>
      </c>
      <c r="BD6" s="16">
        <f t="shared" si="4"/>
        <v>1579.42</v>
      </c>
      <c r="BE6" s="16">
        <f t="shared" si="4"/>
        <v>4747.97</v>
      </c>
      <c r="BF6" s="16">
        <f t="shared" si="4"/>
        <v>10942.87</v>
      </c>
      <c r="BG6" s="16">
        <f t="shared" si="4"/>
        <v>0</v>
      </c>
      <c r="BH6" s="16">
        <f t="shared" si="4"/>
        <v>0</v>
      </c>
      <c r="BI6" s="16">
        <f t="shared" ref="BI6:BT6" si="5">ROUND($AY$6*BI5/$AZ$5,2)</f>
        <v>0</v>
      </c>
      <c r="BJ6" s="16">
        <f t="shared" si="5"/>
        <v>0</v>
      </c>
      <c r="BK6" s="16">
        <f t="shared" si="5"/>
        <v>0</v>
      </c>
      <c r="BL6" s="16">
        <f t="shared" si="5"/>
        <v>1985.5</v>
      </c>
      <c r="BM6" s="16">
        <f t="shared" si="5"/>
        <v>1985.5</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1756</v>
      </c>
      <c r="B7" s="1756" t="s">
        <v>1757</v>
      </c>
      <c r="C7" s="1756" t="s">
        <v>1758</v>
      </c>
      <c r="D7" s="1756" t="s">
        <v>1759</v>
      </c>
      <c r="E7" s="1756" t="s">
        <v>1760</v>
      </c>
      <c r="F7" s="1756" t="s">
        <v>1761</v>
      </c>
      <c r="G7" s="1777" t="s">
        <v>1762</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1763</v>
      </c>
      <c r="AV7" s="23" t="s">
        <v>1764</v>
      </c>
      <c r="AW7" s="1765" t="s">
        <v>1765</v>
      </c>
      <c r="AX7" s="23" t="s">
        <v>1758</v>
      </c>
      <c r="AY7" s="1533" t="s">
        <v>1766</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1767</v>
      </c>
      <c r="H8" s="1783" t="s">
        <v>1768</v>
      </c>
      <c r="I8" s="1784"/>
      <c r="J8" s="1546"/>
      <c r="K8" s="1546"/>
      <c r="L8" s="1546"/>
      <c r="M8" s="1546"/>
      <c r="N8" s="1546"/>
      <c r="O8" s="1546"/>
      <c r="P8" s="1546"/>
      <c r="Q8" s="1546"/>
      <c r="R8" s="1546"/>
      <c r="S8" s="1546"/>
      <c r="T8" s="1546"/>
      <c r="U8" s="1546"/>
      <c r="V8" s="1785"/>
      <c r="W8" s="1546"/>
      <c r="X8" s="1546"/>
      <c r="Y8" s="1546"/>
      <c r="Z8" s="1546"/>
      <c r="AA8" s="1785"/>
      <c r="AB8" s="1786"/>
      <c r="AC8" s="918" t="s">
        <v>1769</v>
      </c>
      <c r="AD8" s="1787"/>
      <c r="AE8" s="1779"/>
      <c r="AF8" s="1546"/>
      <c r="AG8" s="1546"/>
      <c r="AH8" s="1546"/>
      <c r="AI8" s="1546"/>
      <c r="AJ8" s="1546"/>
      <c r="AK8" s="1546"/>
      <c r="AL8" s="1546"/>
      <c r="AM8" s="1546"/>
      <c r="AN8" s="1546"/>
      <c r="AO8" s="1546"/>
      <c r="AP8" s="1546"/>
      <c r="AQ8" s="1546"/>
      <c r="AR8" s="1546"/>
      <c r="AS8" s="1546"/>
      <c r="AT8" s="1202" t="s">
        <v>1770</v>
      </c>
      <c r="AU8" s="1781" t="s">
        <v>1771</v>
      </c>
      <c r="AV8" s="1202"/>
      <c r="AW8" s="1764"/>
      <c r="AX8" s="1202"/>
      <c r="AY8" s="1765" t="s">
        <v>1772</v>
      </c>
      <c r="AZ8" s="1545" t="s">
        <v>1773</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1774</v>
      </c>
      <c r="I9" s="1790" t="s">
        <v>3715</v>
      </c>
      <c r="J9" s="918"/>
      <c r="K9" s="1790" t="s">
        <v>3715</v>
      </c>
      <c r="L9" s="918"/>
      <c r="M9" s="1790" t="s">
        <v>3715</v>
      </c>
      <c r="N9" s="918"/>
      <c r="O9" s="1790" t="s">
        <v>3715</v>
      </c>
      <c r="P9" s="918"/>
      <c r="Q9" s="1790" t="s">
        <v>3724</v>
      </c>
      <c r="R9" s="918"/>
      <c r="S9" s="1790"/>
      <c r="T9" s="918"/>
      <c r="U9" s="1790"/>
      <c r="V9" s="918"/>
      <c r="W9" s="1790"/>
      <c r="X9" s="1791"/>
      <c r="Y9" s="1790"/>
      <c r="Z9" s="918"/>
      <c r="AA9" s="1790"/>
      <c r="AB9" s="918"/>
      <c r="AC9" s="1782" t="s">
        <v>1774</v>
      </c>
      <c r="AD9" s="15" t="s">
        <v>1775</v>
      </c>
      <c r="AE9" s="1208"/>
      <c r="AF9" s="15" t="s">
        <v>1776</v>
      </c>
      <c r="AG9" s="1208"/>
      <c r="AH9" s="15" t="s">
        <v>1775</v>
      </c>
      <c r="AI9" s="1208"/>
      <c r="AJ9" s="15" t="s">
        <v>1776</v>
      </c>
      <c r="AK9" s="1208"/>
      <c r="AL9" s="15" t="s">
        <v>1775</v>
      </c>
      <c r="AM9" s="1208"/>
      <c r="AN9" s="15" t="s">
        <v>1776</v>
      </c>
      <c r="AO9" s="1208"/>
      <c r="AP9" s="15" t="s">
        <v>1775</v>
      </c>
      <c r="AQ9" s="1208"/>
      <c r="AR9" s="15" t="s">
        <v>1776</v>
      </c>
      <c r="AS9" s="1792"/>
      <c r="AT9" s="1781"/>
      <c r="AU9" s="1781" t="s">
        <v>1777</v>
      </c>
      <c r="AV9" s="1202"/>
      <c r="AW9" s="1764"/>
      <c r="AX9" s="1202"/>
      <c r="AY9" s="28"/>
      <c r="AZ9" s="28" t="s">
        <v>1767</v>
      </c>
      <c r="BA9" s="1793" t="s">
        <v>1778</v>
      </c>
      <c r="BB9" s="1794"/>
      <c r="BC9" s="1248"/>
      <c r="BD9" s="1248"/>
      <c r="BE9" s="1248"/>
      <c r="BF9" s="1248"/>
      <c r="BG9" s="1248"/>
      <c r="BH9" s="1248"/>
      <c r="BI9" s="1248"/>
      <c r="BJ9" s="1248"/>
      <c r="BK9" s="1795"/>
      <c r="BL9" s="15" t="s">
        <v>1779</v>
      </c>
      <c r="BM9" s="1546"/>
      <c r="BN9" s="1784"/>
      <c r="BO9" s="1546"/>
      <c r="BP9" s="1546"/>
      <c r="BQ9" s="1546"/>
      <c r="BR9" s="1546"/>
      <c r="BS9" s="1546"/>
      <c r="BT9" s="26"/>
    </row>
    <row r="10" spans="1:72" s="1788" customFormat="1" ht="12.75">
      <c r="A10" s="1781"/>
      <c r="B10" s="1781"/>
      <c r="C10" s="1781"/>
      <c r="D10" s="1781"/>
      <c r="E10" s="1781"/>
      <c r="F10" s="1781"/>
      <c r="G10" s="1202"/>
      <c r="H10" s="28"/>
      <c r="I10" s="1790" t="s">
        <v>3716</v>
      </c>
      <c r="J10" s="918"/>
      <c r="K10" s="1796" t="s">
        <v>3716</v>
      </c>
      <c r="L10" s="918"/>
      <c r="M10" s="1796" t="s">
        <v>3716</v>
      </c>
      <c r="N10" s="918"/>
      <c r="O10" s="1796" t="s">
        <v>1343</v>
      </c>
      <c r="P10" s="918"/>
      <c r="Q10" s="1796" t="s">
        <v>3725</v>
      </c>
      <c r="R10" s="918"/>
      <c r="S10" s="1796"/>
      <c r="T10" s="918"/>
      <c r="U10" s="1796"/>
      <c r="V10" s="918"/>
      <c r="W10" s="1796"/>
      <c r="X10" s="918"/>
      <c r="Y10" s="1796"/>
      <c r="Z10" s="918"/>
      <c r="AA10" s="1796"/>
      <c r="AB10" s="918"/>
      <c r="AC10" s="1202"/>
      <c r="AD10" s="15" t="s">
        <v>1780</v>
      </c>
      <c r="AE10" s="1797"/>
      <c r="AF10" s="15" t="s">
        <v>1780</v>
      </c>
      <c r="AG10" s="1797"/>
      <c r="AH10" s="15" t="s">
        <v>1781</v>
      </c>
      <c r="AI10" s="1797"/>
      <c r="AJ10" s="15" t="s">
        <v>1781</v>
      </c>
      <c r="AK10" s="1797"/>
      <c r="AL10" s="15" t="s">
        <v>1782</v>
      </c>
      <c r="AM10" s="1208"/>
      <c r="AN10" s="15" t="s">
        <v>1782</v>
      </c>
      <c r="AO10" s="1208"/>
      <c r="AP10" s="15" t="s">
        <v>1783</v>
      </c>
      <c r="AQ10" s="1208"/>
      <c r="AR10" s="15" t="s">
        <v>1783</v>
      </c>
      <c r="AS10" s="1208"/>
      <c r="AT10" s="1781"/>
      <c r="AU10" s="1781"/>
      <c r="AV10" s="1202"/>
      <c r="AW10" s="1764"/>
      <c r="AX10" s="1202"/>
      <c r="AY10" s="28"/>
      <c r="AZ10" s="28"/>
      <c r="BA10" s="1798" t="s">
        <v>1774</v>
      </c>
      <c r="BB10" s="1799" t="str">
        <f>I9</f>
        <v>地上</v>
      </c>
      <c r="BC10" s="29" t="str">
        <f>K9</f>
        <v>地上</v>
      </c>
      <c r="BD10" s="29" t="str">
        <f>M9</f>
        <v>地上</v>
      </c>
      <c r="BE10" s="29" t="str">
        <f>O9</f>
        <v>地上</v>
      </c>
      <c r="BF10" s="29" t="str">
        <f>Q9</f>
        <v>地下</v>
      </c>
      <c r="BG10" s="29">
        <f>S9</f>
        <v>0</v>
      </c>
      <c r="BH10" s="29">
        <f>U9</f>
        <v>0</v>
      </c>
      <c r="BI10" s="29">
        <f>W9</f>
        <v>0</v>
      </c>
      <c r="BJ10" s="29">
        <f>Y9</f>
        <v>0</v>
      </c>
      <c r="BK10" s="29">
        <f>AA9</f>
        <v>0</v>
      </c>
      <c r="BL10" s="25" t="s">
        <v>1774</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3717</v>
      </c>
      <c r="J11" s="1802"/>
      <c r="K11" s="1801" t="s">
        <v>3719</v>
      </c>
      <c r="L11" s="1802"/>
      <c r="M11" s="1801" t="s">
        <v>3722</v>
      </c>
      <c r="N11" s="1802"/>
      <c r="O11" s="1801" t="s">
        <v>3723</v>
      </c>
      <c r="P11" s="1802"/>
      <c r="Q11" s="1801" t="s">
        <v>3725</v>
      </c>
      <c r="R11" s="1802"/>
      <c r="S11" s="1801"/>
      <c r="T11" s="1802"/>
      <c r="U11" s="1801"/>
      <c r="V11" s="1802"/>
      <c r="W11" s="1801"/>
      <c r="X11" s="1802"/>
      <c r="Y11" s="1801"/>
      <c r="Z11" s="1802"/>
      <c r="AA11" s="1801"/>
      <c r="AB11" s="1802"/>
      <c r="AC11" s="1202"/>
      <c r="AD11" s="1803" t="s">
        <v>1784</v>
      </c>
      <c r="AE11" s="1547"/>
      <c r="AF11" s="1803" t="s">
        <v>1784</v>
      </c>
      <c r="AG11" s="1547"/>
      <c r="AH11" s="1803" t="s">
        <v>1785</v>
      </c>
      <c r="AI11" s="1804"/>
      <c r="AJ11" s="1803" t="s">
        <v>1785</v>
      </c>
      <c r="AK11" s="1547"/>
      <c r="AL11" s="1545"/>
      <c r="AM11" s="1547"/>
      <c r="AN11" s="1545"/>
      <c r="AO11" s="1547"/>
      <c r="AP11" s="1545"/>
      <c r="AQ11" s="1547"/>
      <c r="AR11" s="1545"/>
      <c r="AS11" s="1547"/>
      <c r="AT11" s="1764"/>
      <c r="AU11" s="1781"/>
      <c r="AV11" s="1202"/>
      <c r="AW11" s="1764"/>
      <c r="AX11" s="1202"/>
      <c r="AY11" s="28"/>
      <c r="AZ11" s="28"/>
      <c r="BA11" s="28"/>
      <c r="BB11" s="1786" t="str">
        <f>I10</f>
        <v>住宅</v>
      </c>
      <c r="BC11" s="1786" t="str">
        <f>K10</f>
        <v>住宅</v>
      </c>
      <c r="BD11" s="1786" t="str">
        <f>M10</f>
        <v>住宅</v>
      </c>
      <c r="BE11" s="1786" t="str">
        <f>O10</f>
        <v>商业</v>
      </c>
      <c r="BF11" s="1786" t="str">
        <f>Q10</f>
        <v>车库</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2" t="s">
        <v>1787</v>
      </c>
      <c r="W12" s="11" t="s">
        <v>1786</v>
      </c>
      <c r="X12" s="11" t="s">
        <v>1787</v>
      </c>
      <c r="Y12" s="11" t="s">
        <v>1786</v>
      </c>
      <c r="Z12" s="11" t="s">
        <v>1787</v>
      </c>
      <c r="AA12" s="11" t="s">
        <v>1786</v>
      </c>
      <c r="AB12" s="11" t="s">
        <v>1787</v>
      </c>
      <c r="AC12" s="1808"/>
      <c r="AD12" s="1535"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6" t="s">
        <v>1787</v>
      </c>
      <c r="AT12" s="1809"/>
      <c r="AU12" s="1806"/>
      <c r="AV12" s="31"/>
      <c r="AW12" s="1765"/>
      <c r="AX12" s="31"/>
      <c r="AY12" s="1810"/>
      <c r="AZ12" s="28"/>
      <c r="BA12" s="1798"/>
      <c r="BB12" s="24" t="str">
        <f>I11</f>
        <v>高层住宅</v>
      </c>
      <c r="BC12" s="1811" t="str">
        <f>K11</f>
        <v>小高层住宅</v>
      </c>
      <c r="BD12" s="1811" t="str">
        <f>M11</f>
        <v>洋房</v>
      </c>
      <c r="BE12" s="1786" t="str">
        <f>O11</f>
        <v>底商</v>
      </c>
      <c r="BF12" s="1786" t="str">
        <f>Q11</f>
        <v>车库</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3714</v>
      </c>
      <c r="E13" s="16">
        <f>IF($C$3="是",ROUND($A$3*G13/$B$3,2),ROUND($A$3*(G13-AT13)/$B$3,2))</f>
        <v>31704.19</v>
      </c>
      <c r="F13" s="32"/>
      <c r="G13" s="33">
        <f>H13+AC13+AT13</f>
        <v>102757.79000000001</v>
      </c>
      <c r="H13" s="20">
        <f>SUMIF(I$12:AB$12,"总值",I13:AB13)</f>
        <v>96322.510000000009</v>
      </c>
      <c r="I13" s="1813">
        <f>面积!J18-I14-I15</f>
        <v>0</v>
      </c>
      <c r="J13" s="1813"/>
      <c r="K13" s="1813">
        <f>面积!J19-K15</f>
        <v>40347.130000000005</v>
      </c>
      <c r="L13" s="1813"/>
      <c r="M13" s="1813">
        <f>面积!J20</f>
        <v>5119.12</v>
      </c>
      <c r="N13" s="1813"/>
      <c r="O13" s="1813">
        <f>面积!J21</f>
        <v>15388.85</v>
      </c>
      <c r="P13" s="1813"/>
      <c r="Q13" s="1813">
        <f>面积!K24</f>
        <v>35467.410000000003</v>
      </c>
      <c r="R13" s="1813"/>
      <c r="S13" s="1813"/>
      <c r="T13" s="1813"/>
      <c r="U13" s="1813"/>
      <c r="V13" s="1813"/>
      <c r="W13" s="1813"/>
      <c r="X13" s="1813"/>
      <c r="Y13" s="1813"/>
      <c r="Z13" s="1813"/>
      <c r="AA13" s="1813"/>
      <c r="AB13" s="1813"/>
      <c r="AC13" s="16">
        <f>SUMIF(AD$12:AS$12,"总值",AD13:AS13)</f>
        <v>6435.28</v>
      </c>
      <c r="AD13" s="1814">
        <f>面积!J22</f>
        <v>6435.28</v>
      </c>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31704.18</v>
      </c>
      <c r="AZ13" s="16">
        <f>BA13+BL13</f>
        <v>102757.79000000001</v>
      </c>
      <c r="BA13" s="16">
        <f>SUM(BB13:BK13)</f>
        <v>96322.510000000009</v>
      </c>
      <c r="BB13" s="16">
        <f>IF($D13="是",I13-J13,0)</f>
        <v>0</v>
      </c>
      <c r="BC13" s="16">
        <f>IF($D13="是",K13-L13,0)</f>
        <v>40347.130000000005</v>
      </c>
      <c r="BD13" s="16">
        <f>IF($D13="是",M13-N13,0)</f>
        <v>5119.12</v>
      </c>
      <c r="BE13" s="16">
        <f>IF($D13="是",O13-P13,0)</f>
        <v>15388.85</v>
      </c>
      <c r="BF13" s="16">
        <f>IF($D13="是",Q13-R13,0)</f>
        <v>35467.410000000003</v>
      </c>
      <c r="BG13" s="16">
        <f>IF($D13="是",S13-T13,0)</f>
        <v>0</v>
      </c>
      <c r="BH13" s="16">
        <f>IF($D13="是",U13-V13,0)</f>
        <v>0</v>
      </c>
      <c r="BI13" s="16">
        <f>IF($D13="是",W13-X13,0)</f>
        <v>0</v>
      </c>
      <c r="BJ13" s="16">
        <f>IF($D13="是",Y13-Z13,0)</f>
        <v>0</v>
      </c>
      <c r="BK13" s="16">
        <f>IF($D13="是",AA13-AB13,0)</f>
        <v>0</v>
      </c>
      <c r="BL13" s="16">
        <f>SUM(BM13:BT13)</f>
        <v>6435.28</v>
      </c>
      <c r="BM13" s="16">
        <f>IF($D13="是",AD13-AE13,0)</f>
        <v>6435.28</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t="s">
        <v>3727</v>
      </c>
      <c r="D14" s="1812" t="s">
        <v>3748</v>
      </c>
      <c r="E14" s="16">
        <f>IF($C$3="是",ROUND($A$3*G14/$B$3,2),ROUND($A$3*(G14-AT14)/$B$3,2))</f>
        <v>12398.24</v>
      </c>
      <c r="F14" s="32"/>
      <c r="G14" s="33">
        <f>H14+AC14+AT14</f>
        <v>40184.449999999953</v>
      </c>
      <c r="H14" s="20">
        <f>SUMIF(I$12:AB$12,"总值",I14:AB14)</f>
        <v>40184.449999999953</v>
      </c>
      <c r="I14" s="1813">
        <f>面积!G44+面积!G45+面积!G46</f>
        <v>40184.449999999953</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26-28号楼</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t="s">
        <v>3726</v>
      </c>
      <c r="D15" s="1812" t="s">
        <v>3714</v>
      </c>
      <c r="E15" s="16">
        <f>IF($C$3="是",ROUND($A$3*G15/$B$3,2),ROUND($A$3*(G15-AT15)/$B$3,2))</f>
        <v>1539.34</v>
      </c>
      <c r="F15" s="32"/>
      <c r="G15" s="33">
        <f>H15+AC15+AT15</f>
        <v>4989.2199999999984</v>
      </c>
      <c r="H15" s="20">
        <f>SUMIF(I$12:AB$12,"总值",I15:AB15)</f>
        <v>4989.2199999999984</v>
      </c>
      <c r="I15" s="1813"/>
      <c r="J15" s="1813"/>
      <c r="K15" s="1813">
        <f>面积!G43</f>
        <v>4989.2199999999984</v>
      </c>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t="str">
        <f t="shared" si="6"/>
        <v>25号楼</v>
      </c>
      <c r="AY15" s="1535">
        <f>ROUND($AY$6*AZ15/$AZ$5,2)</f>
        <v>1539.34</v>
      </c>
      <c r="AZ15" s="16">
        <f>BA15+BL15</f>
        <v>4989.2199999999984</v>
      </c>
      <c r="BA15" s="16">
        <f>SUM(BB15:BK15)</f>
        <v>4989.2199999999984</v>
      </c>
      <c r="BB15" s="16">
        <f>IF($D15="是",I15-J15,0)</f>
        <v>0</v>
      </c>
      <c r="BC15" s="16">
        <f>IF($D15="是",K15-L15,0)</f>
        <v>4989.2199999999984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D00-000000000000}">
      <formula1>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7"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1813</v>
      </c>
      <c r="B1" s="1301"/>
      <c r="C1" s="1301"/>
      <c r="D1" s="1301"/>
      <c r="E1" s="1301"/>
      <c r="F1" s="1301"/>
      <c r="G1" s="1301"/>
      <c r="H1" s="1301"/>
      <c r="I1" s="1301"/>
      <c r="J1" s="1301"/>
      <c r="K1" s="1301"/>
      <c r="L1" s="1301"/>
      <c r="M1" s="1301"/>
      <c r="N1" s="1301"/>
      <c r="O1" s="1301"/>
      <c r="P1" s="1301"/>
    </row>
    <row r="2" spans="1:16" ht="15">
      <c r="A2" s="3178" t="s">
        <v>1814</v>
      </c>
      <c r="B2" s="3178"/>
      <c r="C2" s="3178"/>
      <c r="D2" s="904" t="s">
        <v>1790</v>
      </c>
      <c r="E2" s="1826" t="s">
        <v>1791</v>
      </c>
      <c r="F2" s="2887"/>
      <c r="G2" s="2878"/>
      <c r="H2" s="2879"/>
      <c r="I2" s="2549" t="s">
        <v>1815</v>
      </c>
      <c r="J2" s="2887"/>
      <c r="K2" s="2887"/>
      <c r="L2" s="2887"/>
      <c r="M2" s="2887"/>
      <c r="N2" s="2889"/>
      <c r="O2" s="2887"/>
      <c r="P2" s="2887"/>
    </row>
    <row r="3" spans="1:16" ht="15.75" thickBot="1">
      <c r="A3" s="3179" t="s">
        <v>1788</v>
      </c>
      <c r="B3" s="3179"/>
      <c r="C3" s="3179"/>
      <c r="D3" s="46">
        <f>'数据-基础表'!AY6</f>
        <v>33243.519999999997</v>
      </c>
      <c r="E3" s="46">
        <f>'数据-基础表'!AZ5</f>
        <v>107747.01000000001</v>
      </c>
      <c r="F3" s="2887"/>
      <c r="G3" s="1307"/>
      <c r="H3" s="1157" t="s">
        <v>1789</v>
      </c>
      <c r="I3" s="964">
        <f>ROUND('数据-基础表'!B3/'数据-基础表'!A3,2)</f>
        <v>3.24</v>
      </c>
      <c r="J3" s="2887"/>
      <c r="K3" s="2887"/>
      <c r="L3" s="2887"/>
      <c r="M3" s="2887"/>
      <c r="N3" s="2889"/>
      <c r="O3" s="2887"/>
      <c r="P3" s="2887"/>
    </row>
    <row r="4" spans="1:16" ht="15">
      <c r="A4" s="3180"/>
      <c r="B4" s="3181"/>
      <c r="C4" s="3182"/>
      <c r="D4" s="1828" t="s">
        <v>1790</v>
      </c>
      <c r="E4" s="1829" t="s">
        <v>1791</v>
      </c>
      <c r="F4" s="2887"/>
      <c r="G4" s="2880" t="s">
        <v>1816</v>
      </c>
      <c r="H4" s="1157" t="s">
        <v>1796</v>
      </c>
      <c r="I4" s="964">
        <f>ROUND(SUMIF('数据-基础表'!I9:AS9,"地上",'数据-基础表'!I5:AS5)/'数据-基础表'!A3,2)</f>
        <v>2.46</v>
      </c>
      <c r="J4" s="2887"/>
      <c r="K4" s="2887"/>
      <c r="L4" s="2887"/>
      <c r="M4" s="2887"/>
      <c r="N4" s="2889"/>
      <c r="O4" s="2887"/>
      <c r="P4" s="2887"/>
    </row>
    <row r="5" spans="1:16">
      <c r="A5" s="47" t="s">
        <v>1792</v>
      </c>
      <c r="B5" s="3183" t="s">
        <v>1793</v>
      </c>
      <c r="C5" s="3183"/>
      <c r="D5" s="48">
        <f>ROUND($D$3*E5/$E$3,2)</f>
        <v>15567.18</v>
      </c>
      <c r="E5" s="49">
        <f>SUMIF('数据-基础表'!$11:$11,"住宅",'数据-基础表'!$5:$5)</f>
        <v>50455.470000000008</v>
      </c>
      <c r="F5" s="2887"/>
      <c r="G5" s="1307"/>
      <c r="H5" s="1157" t="s">
        <v>1789</v>
      </c>
      <c r="I5" s="964">
        <f>ROUND(E31/D31,2)</f>
        <v>3.24</v>
      </c>
      <c r="J5" s="2887"/>
      <c r="K5" s="2887"/>
      <c r="L5" s="2887"/>
      <c r="M5" s="2887"/>
      <c r="N5" s="2887"/>
      <c r="O5" s="2887"/>
      <c r="P5" s="2887"/>
    </row>
    <row r="6" spans="1:16" ht="15" thickBot="1">
      <c r="A6" s="1831"/>
      <c r="B6" s="3183" t="s">
        <v>1794</v>
      </c>
      <c r="C6" s="3183"/>
      <c r="D6" s="48">
        <f>ROUND($D$3*E6/$E$3,2)</f>
        <v>17676.34</v>
      </c>
      <c r="E6" s="49">
        <f>E3-E5</f>
        <v>57291.54</v>
      </c>
      <c r="F6" s="2887"/>
      <c r="G6" s="2881" t="s">
        <v>1795</v>
      </c>
      <c r="H6" s="1308" t="s">
        <v>1796</v>
      </c>
      <c r="I6" s="2882">
        <f>ROUND(F31/D31,2)</f>
        <v>2.17</v>
      </c>
      <c r="J6" s="2887"/>
      <c r="K6" s="2887"/>
      <c r="L6" s="2887"/>
      <c r="M6" s="2887"/>
      <c r="N6" s="2887"/>
      <c r="O6" s="2887"/>
      <c r="P6" s="2887"/>
    </row>
    <row r="7" spans="1:16" ht="15.75" thickBot="1">
      <c r="A7" s="3175"/>
      <c r="B7" s="3176"/>
      <c r="C7" s="3177"/>
      <c r="D7" s="1828" t="s">
        <v>1790</v>
      </c>
      <c r="E7" s="1832" t="s">
        <v>1797</v>
      </c>
      <c r="F7" s="2887"/>
      <c r="G7" s="2883" t="s">
        <v>1798</v>
      </c>
      <c r="H7" s="2884"/>
      <c r="I7" s="2885"/>
      <c r="J7" s="2887"/>
      <c r="K7" s="2887"/>
      <c r="L7" s="2887"/>
      <c r="M7" s="2887"/>
      <c r="N7" s="2887"/>
      <c r="O7" s="2887"/>
      <c r="P7" s="2887"/>
    </row>
    <row r="8" spans="1:16">
      <c r="A8" s="47" t="s">
        <v>1799</v>
      </c>
      <c r="B8" s="50" t="s">
        <v>1800</v>
      </c>
      <c r="C8" s="48" t="s">
        <v>1801</v>
      </c>
      <c r="D8" s="48">
        <f t="shared" ref="D8:D15" si="0">ROUND($D$3*E8/$E$3,2)</f>
        <v>20315.150000000001</v>
      </c>
      <c r="E8" s="51">
        <f>SUMIF('数据-基础表'!BB10:BK10,"地上",'数据-基础表'!BB5:BK5)</f>
        <v>65844.320000000007</v>
      </c>
      <c r="F8" s="2887"/>
      <c r="G8" s="2888"/>
      <c r="H8" s="2888"/>
      <c r="I8" s="2887"/>
      <c r="J8" s="2887"/>
      <c r="K8" s="2887"/>
      <c r="L8" s="2887"/>
      <c r="M8" s="2887"/>
      <c r="N8" s="2887"/>
      <c r="O8" s="2887"/>
      <c r="P8" s="2887"/>
    </row>
    <row r="9" spans="1:16">
      <c r="A9" s="1833"/>
      <c r="B9" s="1834"/>
      <c r="C9" s="48" t="s">
        <v>1802</v>
      </c>
      <c r="D9" s="48">
        <f t="shared" si="0"/>
        <v>0</v>
      </c>
      <c r="E9" s="52">
        <v>0</v>
      </c>
      <c r="F9" s="2887"/>
      <c r="G9" s="2888"/>
      <c r="H9" s="2888"/>
      <c r="I9" s="2887"/>
      <c r="J9" s="2887"/>
      <c r="K9" s="2887"/>
      <c r="L9" s="2887"/>
      <c r="M9" s="2887"/>
      <c r="N9" s="2887"/>
      <c r="O9" s="2887"/>
      <c r="P9" s="2887"/>
    </row>
    <row r="10" spans="1:16">
      <c r="A10" s="1833"/>
      <c r="B10" s="1834"/>
      <c r="C10" s="48" t="s">
        <v>1811</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3"/>
      <c r="B11" s="1834"/>
      <c r="C11" s="48" t="s">
        <v>1803</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3"/>
      <c r="B12" s="1834"/>
      <c r="C12" s="48" t="s">
        <v>1804</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3"/>
      <c r="B13" s="1834"/>
      <c r="C13" s="48" t="s">
        <v>1805</v>
      </c>
      <c r="D13" s="48">
        <f t="shared" si="0"/>
        <v>10942.87</v>
      </c>
      <c r="E13" s="51">
        <f>SUMPRODUCT(('数据-基础表'!BB10:BK10="地下")*('数据-基础表'!BB11:BK11="车库")*('数据-基础表'!BB5:BK5))</f>
        <v>35467.410000000003</v>
      </c>
      <c r="F13" s="2887"/>
      <c r="G13" s="2888"/>
      <c r="H13" s="2888"/>
      <c r="I13" s="2887"/>
      <c r="J13" s="2887"/>
      <c r="K13" s="2887"/>
      <c r="L13" s="2887"/>
      <c r="M13" s="2887"/>
      <c r="N13" s="2887"/>
      <c r="O13" s="2887"/>
      <c r="P13" s="2887"/>
    </row>
    <row r="14" spans="1:16">
      <c r="A14" s="1833"/>
      <c r="B14" s="1834"/>
      <c r="C14" s="48" t="s">
        <v>1817</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1812</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1"/>
      <c r="B16" s="1834"/>
      <c r="C16" s="50" t="s">
        <v>1806</v>
      </c>
      <c r="D16" s="50">
        <f>SUM(D8:D15)</f>
        <v>31258.020000000004</v>
      </c>
      <c r="E16" s="53">
        <f>SUM(E8:E15)</f>
        <v>101311.73000000001</v>
      </c>
      <c r="F16" s="2887"/>
      <c r="G16" s="2888"/>
      <c r="H16" s="1835" t="s">
        <v>1818</v>
      </c>
      <c r="I16" s="1836"/>
      <c r="J16" s="1301"/>
      <c r="K16" s="3172" t="s">
        <v>1818</v>
      </c>
      <c r="L16" s="3173"/>
      <c r="M16" s="3173"/>
      <c r="N16" s="3173"/>
      <c r="O16" s="3173"/>
      <c r="P16" s="3174"/>
    </row>
    <row r="17" spans="1:19" ht="15">
      <c r="A17" s="1837" t="s">
        <v>1819</v>
      </c>
      <c r="B17" s="1838" t="s">
        <v>1820</v>
      </c>
      <c r="C17" s="1839" t="s">
        <v>1821</v>
      </c>
      <c r="D17" s="1840" t="s">
        <v>1809</v>
      </c>
      <c r="E17" s="1841" t="s">
        <v>1810</v>
      </c>
      <c r="F17" s="1842"/>
      <c r="G17" s="1843"/>
      <c r="H17" s="1844" t="s">
        <v>1822</v>
      </c>
      <c r="I17" s="1845" t="s">
        <v>1807</v>
      </c>
      <c r="J17" s="1301"/>
      <c r="K17" s="3169" t="s">
        <v>1823</v>
      </c>
      <c r="L17" s="3170"/>
      <c r="M17" s="3171"/>
      <c r="N17" s="3169" t="s">
        <v>1824</v>
      </c>
      <c r="O17" s="3170"/>
      <c r="P17" s="3171"/>
      <c r="R17" s="1827" t="s">
        <v>1825</v>
      </c>
      <c r="S17" s="60"/>
    </row>
    <row r="18" spans="1:19" ht="15">
      <c r="A18" s="1833"/>
      <c r="B18" s="1846"/>
      <c r="C18" s="1847"/>
      <c r="D18" s="1848"/>
      <c r="E18" s="1849" t="s">
        <v>1826</v>
      </c>
      <c r="F18" s="1850" t="s">
        <v>1827</v>
      </c>
      <c r="G18" s="1851" t="s">
        <v>1828</v>
      </c>
      <c r="H18" s="1172" t="s">
        <v>1829</v>
      </c>
      <c r="I18" s="1852" t="s">
        <v>1830</v>
      </c>
      <c r="J18" s="1301"/>
      <c r="K18" s="1172" t="s">
        <v>1831</v>
      </c>
      <c r="L18" s="1853" t="s">
        <v>1832</v>
      </c>
      <c r="M18" s="964" t="s">
        <v>1833</v>
      </c>
      <c r="N18" s="1172" t="s">
        <v>1831</v>
      </c>
      <c r="O18" s="1853" t="s">
        <v>1832</v>
      </c>
      <c r="P18" s="964" t="s">
        <v>1833</v>
      </c>
      <c r="R18" s="1157" t="s">
        <v>1834</v>
      </c>
      <c r="S18" s="1157" t="s">
        <v>1835</v>
      </c>
    </row>
    <row r="19" spans="1:19">
      <c r="A19" s="1854"/>
      <c r="B19" s="50" t="s">
        <v>1808</v>
      </c>
      <c r="C19" s="3084" t="s">
        <v>3728</v>
      </c>
      <c r="D19" s="48">
        <f>ROUND($D$3*E19/$E$3,2)</f>
        <v>0</v>
      </c>
      <c r="E19" s="56">
        <f t="shared" ref="E19:E26" si="1">SUM(F19:G19)</f>
        <v>0</v>
      </c>
      <c r="F19" s="3027">
        <f>'数据-基础表'!I13</f>
        <v>0</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0</v>
      </c>
    </row>
    <row r="20" spans="1:19">
      <c r="A20" s="1857"/>
      <c r="B20" s="50" t="s">
        <v>1836</v>
      </c>
      <c r="C20" s="3084" t="s">
        <v>3729</v>
      </c>
      <c r="D20" s="48">
        <f t="shared" ref="D20:D26" si="6">ROUND($D$3*E20/$E$3,2)</f>
        <v>13987.77</v>
      </c>
      <c r="E20" s="56">
        <f t="shared" si="1"/>
        <v>45336.350000000006</v>
      </c>
      <c r="F20" s="3027">
        <f>'数据-基础表'!K13+'数据-基础表'!K15</f>
        <v>45336.350000000006</v>
      </c>
      <c r="G20" s="3028"/>
      <c r="H20" s="679">
        <f t="shared" ref="H20:H26" si="7">ROUND($D$3*I20/$E$3,2)</f>
        <v>1784.05</v>
      </c>
      <c r="I20" s="51">
        <f t="shared" si="2"/>
        <v>5782.37</v>
      </c>
      <c r="J20" s="1301"/>
      <c r="K20" s="1300">
        <f t="shared" si="3"/>
        <v>0</v>
      </c>
      <c r="L20" s="1157">
        <f t="shared" si="4"/>
        <v>5782.37</v>
      </c>
      <c r="M20" s="1312">
        <f t="shared" ref="M20:M26" si="8">K20+L20</f>
        <v>5782.37</v>
      </c>
      <c r="N20" s="1855"/>
      <c r="O20" s="1856"/>
      <c r="P20" s="1312">
        <f t="shared" ref="P20:P26" si="9">N20+O20</f>
        <v>0</v>
      </c>
      <c r="R20" s="1157">
        <f t="shared" si="5"/>
        <v>15771.82</v>
      </c>
      <c r="S20" s="1158">
        <f t="shared" si="5"/>
        <v>51118.720000000008</v>
      </c>
    </row>
    <row r="21" spans="1:19">
      <c r="A21" s="1857"/>
      <c r="B21" s="50" t="s">
        <v>1836</v>
      </c>
      <c r="C21" s="3084" t="s">
        <v>3731</v>
      </c>
      <c r="D21" s="48">
        <f t="shared" si="6"/>
        <v>1579.42</v>
      </c>
      <c r="E21" s="56">
        <f t="shared" si="1"/>
        <v>5119.12</v>
      </c>
      <c r="F21" s="3027">
        <f>'数据-基础表'!M13</f>
        <v>5119.12</v>
      </c>
      <c r="G21" s="3028"/>
      <c r="H21" s="679">
        <f t="shared" si="7"/>
        <v>201.44</v>
      </c>
      <c r="I21" s="51">
        <f t="shared" si="2"/>
        <v>652.91</v>
      </c>
      <c r="J21" s="1301"/>
      <c r="K21" s="1300">
        <f t="shared" si="3"/>
        <v>0</v>
      </c>
      <c r="L21" s="1157">
        <f t="shared" si="4"/>
        <v>652.91</v>
      </c>
      <c r="M21" s="1312">
        <f t="shared" si="8"/>
        <v>652.91</v>
      </c>
      <c r="N21" s="1855"/>
      <c r="O21" s="1856"/>
      <c r="P21" s="1312">
        <f t="shared" si="9"/>
        <v>0</v>
      </c>
      <c r="R21" s="1157">
        <f t="shared" si="5"/>
        <v>1780.8600000000001</v>
      </c>
      <c r="S21" s="1158">
        <f t="shared" si="5"/>
        <v>5772.03</v>
      </c>
    </row>
    <row r="22" spans="1:19">
      <c r="A22" s="1857"/>
      <c r="B22" s="50" t="s">
        <v>1836</v>
      </c>
      <c r="C22" s="3085" t="s">
        <v>3733</v>
      </c>
      <c r="D22" s="48">
        <f t="shared" si="6"/>
        <v>4747.97</v>
      </c>
      <c r="E22" s="56">
        <f t="shared" si="1"/>
        <v>15388.85</v>
      </c>
      <c r="F22" s="3029">
        <f>'数据-基础表'!O13</f>
        <v>15388.85</v>
      </c>
      <c r="G22" s="3030"/>
      <c r="H22" s="679">
        <f t="shared" si="7"/>
        <v>0</v>
      </c>
      <c r="I22" s="51">
        <f t="shared" si="2"/>
        <v>0</v>
      </c>
      <c r="J22" s="1301"/>
      <c r="K22" s="1300">
        <f t="shared" si="3"/>
        <v>0</v>
      </c>
      <c r="L22" s="1157">
        <f t="shared" si="4"/>
        <v>0</v>
      </c>
      <c r="M22" s="1312">
        <f t="shared" si="8"/>
        <v>0</v>
      </c>
      <c r="N22" s="1855"/>
      <c r="O22" s="1856"/>
      <c r="P22" s="1312">
        <f t="shared" si="9"/>
        <v>0</v>
      </c>
      <c r="R22" s="1157">
        <f t="shared" si="5"/>
        <v>4747.97</v>
      </c>
      <c r="S22" s="1158">
        <f t="shared" si="5"/>
        <v>15388.85</v>
      </c>
    </row>
    <row r="23" spans="1:19">
      <c r="A23" s="1857"/>
      <c r="B23" s="50" t="s">
        <v>1836</v>
      </c>
      <c r="C23" s="3085" t="s">
        <v>3759</v>
      </c>
      <c r="D23" s="48">
        <f>ROUND($D$3*E23/$E$3,2)</f>
        <v>10942.87</v>
      </c>
      <c r="E23" s="56">
        <f>SUM(F23:G23)</f>
        <v>35467.410000000003</v>
      </c>
      <c r="F23" s="3029"/>
      <c r="G23" s="3030">
        <f>'数据-基础表'!Q13</f>
        <v>35467.410000000003</v>
      </c>
      <c r="H23" s="679">
        <f>ROUND($D$3*I23/$E$3,2)</f>
        <v>0</v>
      </c>
      <c r="I23" s="51">
        <f t="shared" si="2"/>
        <v>0</v>
      </c>
      <c r="J23" s="1301"/>
      <c r="K23" s="1300">
        <f t="shared" si="3"/>
        <v>0</v>
      </c>
      <c r="L23" s="1157">
        <f t="shared" si="4"/>
        <v>0</v>
      </c>
      <c r="M23" s="1312">
        <f t="shared" si="8"/>
        <v>0</v>
      </c>
      <c r="N23" s="1855"/>
      <c r="O23" s="1856"/>
      <c r="P23" s="1312">
        <f t="shared" si="9"/>
        <v>0</v>
      </c>
      <c r="R23" s="1157">
        <f t="shared" si="5"/>
        <v>10942.87</v>
      </c>
      <c r="S23" s="1158">
        <f t="shared" si="5"/>
        <v>35467.410000000003</v>
      </c>
    </row>
    <row r="24" spans="1:19">
      <c r="A24" s="1857"/>
      <c r="B24" s="50" t="s">
        <v>1836</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1836</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1836</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1837</v>
      </c>
      <c r="D27" s="1302">
        <f>SUM(D19:D26)</f>
        <v>31258.03</v>
      </c>
      <c r="E27" s="1303">
        <f>IF(SUM(E19:E26)='数据-基础表'!BA5,SUM(E19:E26),IF(F27="地上面积有误","面积有误","地下面积有误"))</f>
        <v>101311.73000000001</v>
      </c>
      <c r="F27" s="1302">
        <f>IF(SUM(F19:F26)=E8,SUM(F19:F26),"地上面积有误")</f>
        <v>65844.320000000007</v>
      </c>
      <c r="G27" s="1304">
        <f>SUM(G19:G26)</f>
        <v>35467.410000000003</v>
      </c>
      <c r="H27" s="1305">
        <f>SUM(H19:H26)</f>
        <v>1985.49</v>
      </c>
      <c r="I27" s="1306">
        <f>SUM(I19:I26)</f>
        <v>6435.28</v>
      </c>
      <c r="J27" s="1301"/>
      <c r="K27" s="1309">
        <f>SUM(K19:K26)</f>
        <v>0</v>
      </c>
      <c r="L27" s="1310">
        <f>SUM(L19:L26)</f>
        <v>6435.28</v>
      </c>
      <c r="M27" s="1313">
        <f>SUM(M19:M26)</f>
        <v>6435.28</v>
      </c>
      <c r="N27" s="1309">
        <f t="shared" ref="N27:O27" si="10">SUM(N19:N26)</f>
        <v>0</v>
      </c>
      <c r="O27" s="1310">
        <f t="shared" si="10"/>
        <v>0</v>
      </c>
      <c r="P27" s="1311">
        <f>SUM(P19:P26)</f>
        <v>0</v>
      </c>
      <c r="R27" s="1159">
        <f>IF(SUM(R19:R26)=$D$3,SUM(R19:R26),SUM(R19:R26)&amp;"误差"&amp;ROUND(SUM(R19:R26)-$D$3,2))</f>
        <v>33243.520000000004</v>
      </c>
      <c r="S27" s="1157">
        <f>IF(SUM(S19:S26)=$E$3,SUM(S19:S26),SUM(S19:S26)&amp;"误差"&amp;ROUND(SUM(S19:S26)-E3,2))</f>
        <v>107747.01000000001</v>
      </c>
    </row>
    <row r="28" spans="1:19">
      <c r="A28" s="1857"/>
      <c r="B28" s="50" t="s">
        <v>1838</v>
      </c>
      <c r="C28" s="1169" t="s">
        <v>1839</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1838</v>
      </c>
      <c r="C29" s="1861" t="s">
        <v>1840</v>
      </c>
      <c r="D29" s="48">
        <f>ROUND($D$3*E29/$E$3,2)</f>
        <v>1985.5</v>
      </c>
      <c r="E29" s="56">
        <f>SUM(F29:G29)</f>
        <v>6435.28</v>
      </c>
      <c r="F29" s="62">
        <f>'数据-基础表'!BM5+'数据-基础表'!BO5</f>
        <v>6435.28</v>
      </c>
      <c r="G29" s="63">
        <f>'数据-基础表'!BN5+'数据-基础表'!BP5</f>
        <v>0</v>
      </c>
      <c r="H29" s="2887"/>
      <c r="I29" s="2887"/>
      <c r="J29" s="2887"/>
      <c r="K29" s="2887"/>
      <c r="L29" s="2887"/>
      <c r="M29" s="2887"/>
      <c r="N29" s="2887"/>
      <c r="O29" s="2887"/>
      <c r="P29" s="2887"/>
    </row>
    <row r="30" spans="1:19" ht="15">
      <c r="A30" s="1857"/>
      <c r="B30" s="50"/>
      <c r="C30" s="1862" t="s">
        <v>1837</v>
      </c>
      <c r="D30" s="1302">
        <f>SUM(D28:D29)</f>
        <v>1985.5</v>
      </c>
      <c r="E30" s="1302">
        <f>SUM(E28:E29)</f>
        <v>6435.28</v>
      </c>
      <c r="F30" s="1302">
        <f>SUM(F28:F29)</f>
        <v>6435.28</v>
      </c>
      <c r="G30" s="1304">
        <f>SUM(G28:G29)</f>
        <v>0</v>
      </c>
      <c r="H30" s="2887"/>
      <c r="I30" s="2887"/>
      <c r="J30" s="2887"/>
      <c r="K30" s="2887"/>
      <c r="L30" s="2887"/>
      <c r="M30" s="2887"/>
      <c r="N30" s="2887"/>
      <c r="O30" s="2887"/>
      <c r="P30" s="2887"/>
    </row>
    <row r="31" spans="1:19" ht="15.75" thickBot="1">
      <c r="A31" s="1863"/>
      <c r="B31" s="1864"/>
      <c r="C31" s="944" t="s">
        <v>1841</v>
      </c>
      <c r="D31" s="685">
        <f>D27+D30</f>
        <v>33243.53</v>
      </c>
      <c r="E31" s="685">
        <f>E27+E30</f>
        <v>107747.01000000001</v>
      </c>
      <c r="F31" s="686">
        <f>F27+F30</f>
        <v>72279.600000000006</v>
      </c>
      <c r="G31" s="687">
        <f>G27+G30</f>
        <v>35467.410000000003</v>
      </c>
      <c r="H31" s="2887"/>
      <c r="I31" s="2887"/>
      <c r="J31" s="2887"/>
      <c r="K31" s="2887"/>
      <c r="L31" s="2887"/>
      <c r="M31" s="2887"/>
      <c r="N31" s="2887"/>
      <c r="O31" s="2887"/>
      <c r="P31" s="2887"/>
    </row>
    <row r="32" spans="1:19">
      <c r="A32" s="1830"/>
      <c r="B32" s="1830" t="s">
        <v>1842</v>
      </c>
      <c r="C32" s="1830"/>
      <c r="D32" s="1830"/>
      <c r="E32" s="1184">
        <f>SUMIF(C19:C26,"*住宅*",E19:E26)</f>
        <v>50455.470000000008</v>
      </c>
      <c r="F32" s="1830"/>
      <c r="G32" s="1830"/>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H24" sqref="H24"/>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1843</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0" t="s">
        <v>1844</v>
      </c>
      <c r="B2" s="1176">
        <f>项目基本情况!D3</f>
        <v>44134</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1845</v>
      </c>
      <c r="B4" s="1875"/>
      <c r="C4" s="1876"/>
      <c r="D4" s="1877"/>
      <c r="E4" s="1876" t="s">
        <v>1846</v>
      </c>
      <c r="F4" s="1876"/>
      <c r="G4" s="1876"/>
      <c r="H4" s="1876"/>
      <c r="I4" s="1876"/>
      <c r="J4" s="1878"/>
      <c r="K4" s="1879"/>
      <c r="L4" s="1880"/>
      <c r="M4" s="1876"/>
      <c r="N4" s="1876" t="s">
        <v>1847</v>
      </c>
      <c r="O4" s="1876"/>
      <c r="P4" s="1876"/>
      <c r="Q4" s="1876"/>
      <c r="R4" s="1876"/>
      <c r="S4" s="1878"/>
      <c r="T4" s="2886" t="str">
        <f>'数据-汇总表'!I17</f>
        <v>按面积比例</v>
      </c>
      <c r="U4" s="1875" t="s">
        <v>1848</v>
      </c>
      <c r="V4" s="1876"/>
      <c r="W4" s="1876"/>
      <c r="X4" s="1876"/>
      <c r="Y4" s="1878"/>
      <c r="Z4" s="1839" t="s">
        <v>1849</v>
      </c>
      <c r="AA4" s="1839"/>
      <c r="AB4" s="1839"/>
      <c r="AC4" s="1839"/>
      <c r="AD4" s="1839"/>
      <c r="AE4" s="1837" t="s">
        <v>1850</v>
      </c>
      <c r="AF4" s="1839"/>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2">
      <c r="A5" s="1882" t="s">
        <v>1851</v>
      </c>
      <c r="B5" s="1883" t="s">
        <v>1852</v>
      </c>
      <c r="C5" s="1884" t="s">
        <v>1853</v>
      </c>
      <c r="D5" s="1885" t="s">
        <v>1854</v>
      </c>
      <c r="E5" s="1178" t="s">
        <v>1855</v>
      </c>
      <c r="F5" s="1886" t="s">
        <v>1856</v>
      </c>
      <c r="G5" s="1178" t="s">
        <v>1857</v>
      </c>
      <c r="H5" s="1178" t="s">
        <v>1858</v>
      </c>
      <c r="I5" s="1178" t="s">
        <v>1859</v>
      </c>
      <c r="J5" s="1887" t="s">
        <v>1860</v>
      </c>
      <c r="K5" s="1888" t="s">
        <v>1861</v>
      </c>
      <c r="L5" s="1889" t="s">
        <v>1862</v>
      </c>
      <c r="M5" s="1890" t="s">
        <v>1863</v>
      </c>
      <c r="N5" s="1891" t="s">
        <v>3734</v>
      </c>
      <c r="O5" s="1889" t="s">
        <v>1864</v>
      </c>
      <c r="P5" s="1892" t="s">
        <v>1865</v>
      </c>
      <c r="Q5" s="65" t="s">
        <v>1866</v>
      </c>
      <c r="R5" s="1893" t="s">
        <v>1867</v>
      </c>
      <c r="S5" s="1894" t="s">
        <v>1868</v>
      </c>
      <c r="T5" s="1895" t="s">
        <v>1869</v>
      </c>
      <c r="U5" s="1177" t="s">
        <v>1870</v>
      </c>
      <c r="V5" s="1178" t="s">
        <v>1871</v>
      </c>
      <c r="W5" s="1178" t="s">
        <v>1872</v>
      </c>
      <c r="X5" s="67"/>
      <c r="Y5" s="66" t="s">
        <v>1873</v>
      </c>
      <c r="Z5" s="1896" t="s">
        <v>1870</v>
      </c>
      <c r="AA5" s="1178" t="s">
        <v>1871</v>
      </c>
      <c r="AB5" s="1178" t="s">
        <v>1872</v>
      </c>
      <c r="AC5" s="67"/>
      <c r="AD5" s="67" t="s">
        <v>1873</v>
      </c>
      <c r="AE5" s="1177" t="s">
        <v>1874</v>
      </c>
      <c r="AF5" s="1178" t="s">
        <v>1875</v>
      </c>
      <c r="AG5" s="66" t="s">
        <v>1876</v>
      </c>
      <c r="AH5" s="1177" t="s">
        <v>1877</v>
      </c>
      <c r="AI5" s="1896" t="s">
        <v>1878</v>
      </c>
      <c r="AJ5" s="1896" t="s">
        <v>1879</v>
      </c>
      <c r="AK5" s="1178" t="s">
        <v>1880</v>
      </c>
      <c r="AL5" s="1178" t="s">
        <v>1881</v>
      </c>
      <c r="AM5" s="66" t="s">
        <v>1882</v>
      </c>
      <c r="AN5" s="1897" t="s">
        <v>1883</v>
      </c>
      <c r="AO5" s="1749" t="s">
        <v>1884</v>
      </c>
      <c r="AP5" s="1159" t="s">
        <v>1885</v>
      </c>
      <c r="AQ5" s="1898" t="s">
        <v>1886</v>
      </c>
      <c r="AR5" s="1898" t="s">
        <v>1887</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高层住宅</v>
      </c>
      <c r="B6" s="1900" t="str">
        <f>IF(A6=0,"","经营性")</f>
        <v>经营性</v>
      </c>
      <c r="C6" s="1901" t="s">
        <v>3716</v>
      </c>
      <c r="D6" s="967">
        <f>SUMIF(项目基本情况!D$12:I$12,C6,项目基本情况!D$14:I$14)</f>
        <v>70</v>
      </c>
      <c r="E6" s="966">
        <f>IF(B6="","",SUMIF(项目基本情况!D$12:I$12,C6,项目基本情况!D$13:I$13))</f>
        <v>68375</v>
      </c>
      <c r="F6" s="68">
        <f>SUMIF(项目基本情况!D$12:I$12,C6,项目基本情况!D$15:I$15)</f>
        <v>66.41</v>
      </c>
      <c r="G6" s="69">
        <f>IF(ISERROR(ROUND(POWER(1+H6,D6-F6)*(POWER(1+H6,F6)-1)/(POWER(1+H6,D6)-1),3)),0,ROUND(POWER(1+H6,D6-F6)*(POWER(1+H6,F6)-1)/(POWER(1+H6,D6)-1),3))</f>
        <v>0.99199999999999999</v>
      </c>
      <c r="H6" s="741">
        <v>4.4999999999999998E-2</v>
      </c>
      <c r="I6" s="741">
        <v>0.05</v>
      </c>
      <c r="J6" s="70">
        <v>8.5000000000000006E-2</v>
      </c>
      <c r="K6" s="1161">
        <f>SUMIF('数据-汇总表'!C$19:C$33,A6,'数据-汇总表'!E$19:E$33)</f>
        <v>0</v>
      </c>
      <c r="L6" s="742">
        <f>2500+500</f>
        <v>3000</v>
      </c>
      <c r="M6" s="71">
        <f t="shared" ref="M6:M14" si="0">ROUND(K6*L6/10000,0)</f>
        <v>0</v>
      </c>
      <c r="N6" s="740">
        <v>0.6</v>
      </c>
      <c r="O6" s="71">
        <f>IF($N$5="成新度","——",ROUND(M6*N6,0))</f>
        <v>0</v>
      </c>
      <c r="P6" s="72">
        <f>IF($N$5="成新度","——",M6-O6)</f>
        <v>0</v>
      </c>
      <c r="Q6" s="743">
        <v>0.12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2"/>
      <c r="AO6" s="55" t="e">
        <f ca="1">SUMIF(INDIRECT("'"&amp;AN6&amp;"'"&amp;"!A:A"),"总价",INDIRECT("'"&amp;AN6&amp;"'"&amp;"!B:B"))</f>
        <v>#REF!</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小高层住宅</v>
      </c>
      <c r="B7" s="1900" t="str">
        <f t="shared" ref="B7:B13" si="1">IF(A7=0,"","经营性")</f>
        <v>经营性</v>
      </c>
      <c r="C7" s="1901" t="s">
        <v>3716</v>
      </c>
      <c r="D7" s="967">
        <f>SUMIF(项目基本情况!D$12:I$12,C7,项目基本情况!D$14:I$14)</f>
        <v>70</v>
      </c>
      <c r="E7" s="966">
        <f>IF(B7="","",SUMIF(项目基本情况!D$12:I$12,C7,项目基本情况!D$13:I$13))</f>
        <v>68375</v>
      </c>
      <c r="F7" s="68">
        <f>SUMIF(项目基本情况!D$12:I$12,C7,项目基本情况!D$15:I$15)</f>
        <v>66.41</v>
      </c>
      <c r="G7" s="69">
        <f t="shared" ref="G7:G11" si="2">IF(ISERROR(ROUND(POWER(1+H7,D7-F7)*(POWER(1+H7,F7)-1)/(POWER(1+H7,D7)-1),3)),0,ROUND(POWER(1+H7,D7-F7)*(POWER(1+H7,F7)-1)/(POWER(1+H7,D7)-1),3))</f>
        <v>0.99199999999999999</v>
      </c>
      <c r="H7" s="741">
        <v>4.4999999999999998E-2</v>
      </c>
      <c r="I7" s="741">
        <v>0.05</v>
      </c>
      <c r="J7" s="70">
        <v>8.5000000000000006E-2</v>
      </c>
      <c r="K7" s="1161">
        <f>SUMIF('数据-汇总表'!C$19:C$33,A7,'数据-汇总表'!E$19:E$33)</f>
        <v>45336.350000000006</v>
      </c>
      <c r="L7" s="742">
        <f>L6</f>
        <v>3000</v>
      </c>
      <c r="M7" s="71">
        <f t="shared" si="0"/>
        <v>13601</v>
      </c>
      <c r="N7" s="740">
        <f>面积!M44</f>
        <v>0.62</v>
      </c>
      <c r="O7" s="71">
        <f t="shared" ref="O7:O14" si="3">IF($N$5="成新度","——",ROUND(M7*N7,0))</f>
        <v>8433</v>
      </c>
      <c r="P7" s="72">
        <f t="shared" ref="P7:P14" si="4">IF($N$5="成新度","——",M7-O7)</f>
        <v>5168</v>
      </c>
      <c r="Q7" s="743">
        <f>Q6</f>
        <v>0.12</v>
      </c>
      <c r="R7" s="73">
        <f ca="1">SUMIF('数据-汇总表'!C$19:C$33,A7,'数据-汇总表'!R$19:R$27)</f>
        <v>15771.82</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136009050.00000003</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t="str">
        <f>'数据-汇总表'!C21</f>
        <v>洋房住宅</v>
      </c>
      <c r="B8" s="1900" t="str">
        <f t="shared" si="1"/>
        <v>经营性</v>
      </c>
      <c r="C8" s="1901" t="s">
        <v>3716</v>
      </c>
      <c r="D8" s="967">
        <f>SUMIF(项目基本情况!D$12:I$12,C8,项目基本情况!D$14:I$14)</f>
        <v>70</v>
      </c>
      <c r="E8" s="966">
        <f>IF(B8="","",SUMIF(项目基本情况!D$12:I$12,C8,项目基本情况!D$13:I$13))</f>
        <v>68375</v>
      </c>
      <c r="F8" s="68">
        <f>SUMIF(项目基本情况!D$12:I$12,C8,项目基本情况!D$15:I$15)</f>
        <v>66.41</v>
      </c>
      <c r="G8" s="69">
        <f t="shared" si="2"/>
        <v>0.99199999999999999</v>
      </c>
      <c r="H8" s="741">
        <v>4.4999999999999998E-2</v>
      </c>
      <c r="I8" s="741">
        <v>0.05</v>
      </c>
      <c r="J8" s="70">
        <v>8.5000000000000006E-2</v>
      </c>
      <c r="K8" s="1161">
        <f>SUMIF('数据-汇总表'!C$19:C$33,A8,'数据-汇总表'!E$19:E$33)</f>
        <v>5119.12</v>
      </c>
      <c r="L8" s="742">
        <f>L6</f>
        <v>3000</v>
      </c>
      <c r="M8" s="71">
        <f>ROUND(K8*L8/10000,0)</f>
        <v>1536</v>
      </c>
      <c r="N8" s="740">
        <f>N6</f>
        <v>0.6</v>
      </c>
      <c r="O8" s="71">
        <f t="shared" si="3"/>
        <v>922</v>
      </c>
      <c r="P8" s="72">
        <f t="shared" si="4"/>
        <v>614</v>
      </c>
      <c r="Q8" s="743">
        <f>Q6</f>
        <v>0.12</v>
      </c>
      <c r="R8" s="73">
        <f ca="1">SUMIF('数据-汇总表'!C$19:C$33,A8,'数据-汇总表'!R$19:R$27)</f>
        <v>1780.8600000000001</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2"/>
      <c r="AO8" s="55" t="e">
        <f t="shared" ca="1" si="8"/>
        <v>#REF!</v>
      </c>
      <c r="AP8" s="1903">
        <f t="shared" si="9"/>
        <v>15357360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t="str">
        <f>'数据-汇总表'!C22</f>
        <v>商业用房</v>
      </c>
      <c r="B9" s="1900" t="str">
        <f t="shared" si="1"/>
        <v>经营性</v>
      </c>
      <c r="C9" s="1901" t="s">
        <v>1343</v>
      </c>
      <c r="D9" s="967">
        <f>SUMIF(项目基本情况!D$12:I$12,C9,项目基本情况!D$14:I$14)</f>
        <v>40</v>
      </c>
      <c r="E9" s="966">
        <f>IF(B9="","",SUMIF(项目基本情况!D$12:I$12,C9,项目基本情况!D$13:I$13))</f>
        <v>57418</v>
      </c>
      <c r="F9" s="68">
        <f>SUMIF(项目基本情况!D$12:I$12,C9,项目基本情况!D$15:I$15)</f>
        <v>36.39</v>
      </c>
      <c r="G9" s="69">
        <f t="shared" si="2"/>
        <v>0.96799999999999997</v>
      </c>
      <c r="H9" s="70">
        <v>0.05</v>
      </c>
      <c r="I9" s="70">
        <v>5.5E-2</v>
      </c>
      <c r="J9" s="70">
        <v>8.5000000000000006E-2</v>
      </c>
      <c r="K9" s="1161">
        <f>SUMIF('数据-汇总表'!C$19:C$33,A9,'数据-汇总表'!E$19:E$33)</f>
        <v>15388.85</v>
      </c>
      <c r="L9" s="742">
        <v>2500</v>
      </c>
      <c r="M9" s="71">
        <f t="shared" si="0"/>
        <v>3847</v>
      </c>
      <c r="N9" s="740">
        <f>商业面积!J144</f>
        <v>0.87</v>
      </c>
      <c r="O9" s="71">
        <f t="shared" si="3"/>
        <v>3347</v>
      </c>
      <c r="P9" s="72">
        <f t="shared" si="4"/>
        <v>500</v>
      </c>
      <c r="Q9" s="86">
        <v>0.15</v>
      </c>
      <c r="R9" s="73">
        <f ca="1">SUMIF('数据-汇总表'!C$19:C$33,A9,'数据-汇总表'!R$19:R$27)</f>
        <v>4747.97</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t="str">
        <f>'数据-汇总表'!C23</f>
        <v>地下车库</v>
      </c>
      <c r="B10" s="1900" t="str">
        <f t="shared" si="1"/>
        <v>经营性</v>
      </c>
      <c r="C10" s="1901" t="s">
        <v>3725</v>
      </c>
      <c r="D10" s="967">
        <f>SUMIF(项目基本情况!D$12:I$12,C10,项目基本情况!D$14:I$14)</f>
        <v>50</v>
      </c>
      <c r="E10" s="966">
        <f>IF(B10="","",SUMIF(项目基本情况!D$12:I$12,C10,项目基本情况!D$13:I$13))</f>
        <v>61070</v>
      </c>
      <c r="F10" s="68">
        <f>SUMIF(项目基本情况!D$12:I$12,C10,项目基本情况!D$15:I$15)</f>
        <v>46.4</v>
      </c>
      <c r="G10" s="69">
        <f t="shared" si="2"/>
        <v>0</v>
      </c>
      <c r="H10" s="70"/>
      <c r="I10" s="70">
        <v>0.05</v>
      </c>
      <c r="J10" s="70">
        <v>8.5000000000000006E-2</v>
      </c>
      <c r="K10" s="1161">
        <f>SUMIF('数据-汇总表'!C$19:C$33,A10,'数据-汇总表'!E$19:E$33)</f>
        <v>35467.410000000003</v>
      </c>
      <c r="L10" s="742">
        <v>2000</v>
      </c>
      <c r="M10" s="71">
        <f t="shared" si="0"/>
        <v>7093</v>
      </c>
      <c r="N10" s="740">
        <v>0.95</v>
      </c>
      <c r="O10" s="71">
        <f t="shared" si="3"/>
        <v>6738</v>
      </c>
      <c r="P10" s="72">
        <f t="shared" si="4"/>
        <v>355</v>
      </c>
      <c r="Q10" s="86">
        <v>0.05</v>
      </c>
      <c r="R10" s="73">
        <f ca="1">SUMIF('数据-汇总表'!C$19:C$33,A10,'数据-汇总表'!R$19:R$27)</f>
        <v>10942.87</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1888</v>
      </c>
      <c r="B14" s="1900" t="s">
        <v>1889</v>
      </c>
      <c r="C14" s="1905" t="s">
        <v>1888</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1890</v>
      </c>
      <c r="B15" s="1900" t="s">
        <v>1889</v>
      </c>
      <c r="C15" s="1905" t="s">
        <v>1891</v>
      </c>
      <c r="D15" s="967"/>
      <c r="E15" s="966"/>
      <c r="F15" s="68"/>
      <c r="G15" s="69"/>
      <c r="H15" s="1160"/>
      <c r="I15" s="1160"/>
      <c r="J15" s="1160"/>
      <c r="K15" s="1161">
        <f>SUMIF('数据-汇总表'!C$19:C$33,A15,'数据-汇总表'!E$19:E$33)</f>
        <v>6435.28</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1892</v>
      </c>
      <c r="B16" s="93"/>
      <c r="C16" s="942"/>
      <c r="D16" s="1907"/>
      <c r="E16" s="93"/>
      <c r="F16" s="93"/>
      <c r="G16" s="94">
        <f>ROUND(SUMPRODUCT(G6:G13,K6:K13)/SUMPRODUCT((G6:G13&gt;0)*(K6:K13)),3)</f>
        <v>0.98599999999999999</v>
      </c>
      <c r="H16" s="95">
        <f>ROUND(SUMPRODUCT(H6:H13,K6:K13)/SUMPRODUCT((H6:H13&gt;0)*(K6:K13)),3)</f>
        <v>4.5999999999999999E-2</v>
      </c>
      <c r="I16" s="96"/>
      <c r="J16" s="96"/>
      <c r="K16" s="97">
        <f>SUM(K6:K15)</f>
        <v>107747.01000000001</v>
      </c>
      <c r="L16" s="98">
        <f>ROUND(M16*10000/SUM(K6:K14),0)</f>
        <v>2574</v>
      </c>
      <c r="M16" s="98">
        <f>SUM(M6:M14)</f>
        <v>26077</v>
      </c>
      <c r="N16" s="99">
        <f>ROUND(SUMPRODUCT(M6:M14,N6:N14)/M16,3)</f>
        <v>0.745</v>
      </c>
      <c r="O16" s="98">
        <f>SUM(O6:O14)</f>
        <v>19440</v>
      </c>
      <c r="P16" s="98">
        <f>SUM(P6:P14)</f>
        <v>6637</v>
      </c>
      <c r="Q16" s="100">
        <f>ROUND(SUMPRODUCT(Q6:Q13,K6:K13)/SUMPRODUCT((Q6:Q13&gt;0)*(K6:K13)),2)</f>
        <v>0.1</v>
      </c>
      <c r="R16" s="1165">
        <f ca="1">SUM(R6:R13)</f>
        <v>33243.520000000004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1893</v>
      </c>
      <c r="B18" s="2915"/>
      <c r="C18" s="2903"/>
      <c r="D18" s="2906"/>
      <c r="E18" s="2903"/>
      <c r="F18" s="2903"/>
      <c r="G18" s="2903"/>
      <c r="H18" s="2903"/>
      <c r="I18" s="2903"/>
      <c r="J18" s="2903"/>
      <c r="K18" s="2902"/>
      <c r="L18" s="2902"/>
      <c r="M18" s="2901" t="s">
        <v>3760</v>
      </c>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1894</v>
      </c>
      <c r="B19" s="108">
        <v>0</v>
      </c>
      <c r="C19" s="3031" t="s">
        <v>3048</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1895</v>
      </c>
      <c r="B20" s="109">
        <v>2</v>
      </c>
      <c r="C20" s="3032" t="s">
        <v>3046</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1896</v>
      </c>
      <c r="B21" s="109">
        <v>1.5</v>
      </c>
      <c r="C21" s="2903"/>
      <c r="D21" s="2906"/>
      <c r="E21" s="2903"/>
      <c r="F21" s="2903"/>
      <c r="G21" s="2903"/>
      <c r="H21" s="2903"/>
      <c r="I21" s="2903">
        <f>B20*N16</f>
        <v>1.49</v>
      </c>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1897</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1898</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1899</v>
      </c>
      <c r="B24" s="111">
        <f>B20-B21</f>
        <v>0.5</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1900</v>
      </c>
      <c r="B26" s="1913" t="s">
        <v>1901</v>
      </c>
      <c r="C26" s="2907" t="s">
        <v>1902</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1903</v>
      </c>
      <c r="B27" s="112">
        <v>290</v>
      </c>
      <c r="C27" s="3033" t="s">
        <v>3050</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1904</v>
      </c>
      <c r="B28" s="115">
        <v>320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1905</v>
      </c>
      <c r="B29" s="117">
        <f>ROUND(面积!S6-面积!T7,0)</f>
        <v>935</v>
      </c>
      <c r="C29" s="3034" t="s">
        <v>3036</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1906</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1907</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1908</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1909</v>
      </c>
      <c r="B33" s="682">
        <v>0.05</v>
      </c>
      <c r="C33" s="3035" t="s">
        <v>3037</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1910</v>
      </c>
      <c r="B34" s="118">
        <v>0.08</v>
      </c>
      <c r="C34" s="3035" t="s">
        <v>3038</v>
      </c>
      <c r="D34" s="2914" t="s">
        <v>3047</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1911</v>
      </c>
      <c r="B35" s="115">
        <v>200</v>
      </c>
      <c r="C35" s="3035" t="s">
        <v>3039</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1912</v>
      </c>
      <c r="B36" s="119">
        <v>1.4999999999999999E-2</v>
      </c>
      <c r="C36" s="3035" t="s">
        <v>3040</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1913</v>
      </c>
      <c r="B37" s="120">
        <v>0.03</v>
      </c>
      <c r="C37" s="3035" t="s">
        <v>3041</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1914</v>
      </c>
      <c r="B38" s="118">
        <v>0.03</v>
      </c>
      <c r="C38" s="3035" t="s">
        <v>3041</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1915</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1916</v>
      </c>
      <c r="B40" s="1210">
        <f ca="1">存贷款利率!G1</f>
        <v>4.7500000000000001E-2</v>
      </c>
      <c r="C40" s="3035" t="s">
        <v>3042</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1917</v>
      </c>
      <c r="B41" s="121">
        <f>B42+B43</f>
        <v>5.6500000000000002E-2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1918</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1919</v>
      </c>
      <c r="B43" s="123">
        <f>B42*(B44+B45+B46)+B47</f>
        <v>6.5000000000000006E-3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1920</v>
      </c>
      <c r="B44" s="124">
        <v>7.0000000000000007E-2</v>
      </c>
      <c r="C44" s="3035" t="s">
        <v>3051</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1921</v>
      </c>
      <c r="B45" s="122">
        <v>0.03</v>
      </c>
      <c r="C45" s="3034" t="s">
        <v>3043</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1922</v>
      </c>
      <c r="B46" s="122">
        <v>0.02</v>
      </c>
      <c r="C46" s="3034" t="s">
        <v>3044</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1923</v>
      </c>
      <c r="B47" s="125">
        <v>5.0000000000000001E-4</v>
      </c>
      <c r="C47" s="3037" t="s">
        <v>3052</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1924</v>
      </c>
      <c r="B48" s="126">
        <v>0.03</v>
      </c>
      <c r="C48" s="3034" t="s">
        <v>3043</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1925</v>
      </c>
      <c r="B49" s="122">
        <v>5.0000000000000001E-4</v>
      </c>
      <c r="C49" s="3034" t="s">
        <v>3045</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1926</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1927</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1928</v>
      </c>
      <c r="B52" s="129">
        <f>SUMIF(A54:A63,B53,B54:B63)</f>
        <v>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1929</v>
      </c>
      <c r="B53" s="1925" t="s">
        <v>212</v>
      </c>
      <c r="C53" s="2889" t="s">
        <v>1930</v>
      </c>
      <c r="D53" s="3036" t="s">
        <v>3049</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1931</v>
      </c>
      <c r="B54" s="80">
        <v>5</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1932</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1933</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1934</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1935</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1936</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1937</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1938</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1939</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1940</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9" customWidth="1"/>
    <col min="3" max="3" width="24.5" style="2737" customWidth="1"/>
    <col min="4" max="4" width="2.625" style="2737" customWidth="1"/>
    <col min="5" max="5" width="5.875" style="2737" customWidth="1"/>
    <col min="6" max="6" width="27" style="1759"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84" t="s">
        <v>3028</v>
      </c>
      <c r="B1" s="3185"/>
      <c r="C1" s="3185"/>
      <c r="D1" s="3185"/>
      <c r="E1" s="3185"/>
      <c r="F1" s="3185"/>
      <c r="G1" s="3185"/>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3023</v>
      </c>
      <c r="D2" s="2688"/>
      <c r="E2" s="2685"/>
      <c r="F2" s="2689"/>
      <c r="G2" s="2687" t="s">
        <v>3024</v>
      </c>
      <c r="H2" s="907"/>
      <c r="I2" s="907"/>
      <c r="J2" s="907"/>
      <c r="K2" s="907"/>
      <c r="L2" s="907"/>
      <c r="M2" s="907"/>
      <c r="N2" s="907"/>
      <c r="O2" s="907"/>
      <c r="P2" s="907"/>
      <c r="Q2" s="907"/>
      <c r="R2" s="907"/>
    </row>
    <row r="3" spans="1:29" ht="48">
      <c r="A3" s="2668" t="s">
        <v>3025</v>
      </c>
      <c r="B3" s="2690" t="s">
        <v>2994</v>
      </c>
      <c r="C3" s="2691" t="s">
        <v>3026</v>
      </c>
      <c r="D3" s="2692"/>
      <c r="E3" s="2669" t="s">
        <v>3025</v>
      </c>
      <c r="F3" s="2693" t="s">
        <v>2995</v>
      </c>
      <c r="G3" s="2694" t="s">
        <v>3027</v>
      </c>
      <c r="H3" s="907"/>
      <c r="I3" s="907"/>
      <c r="J3" s="907"/>
      <c r="K3" s="907"/>
      <c r="L3" s="907"/>
      <c r="M3" s="907"/>
      <c r="N3" s="907"/>
      <c r="O3" s="907"/>
      <c r="P3" s="907"/>
      <c r="Q3" s="907"/>
      <c r="R3" s="907"/>
    </row>
    <row r="4" spans="1:29" ht="36.75">
      <c r="A4" s="2669"/>
      <c r="B4" s="329" t="s">
        <v>2996</v>
      </c>
      <c r="C4" s="2695" t="s">
        <v>2997</v>
      </c>
      <c r="D4" s="2692"/>
      <c r="E4" s="2696"/>
      <c r="F4" s="1559" t="s">
        <v>2998</v>
      </c>
      <c r="G4" s="2697" t="s">
        <v>2999</v>
      </c>
      <c r="H4" s="907"/>
      <c r="I4" s="907"/>
      <c r="J4" s="907"/>
      <c r="K4" s="907"/>
      <c r="L4" s="907"/>
      <c r="M4" s="907"/>
      <c r="N4" s="907"/>
      <c r="O4" s="907"/>
      <c r="P4" s="907"/>
      <c r="Q4" s="907"/>
      <c r="R4" s="907"/>
    </row>
    <row r="5" spans="1:29" ht="36.75">
      <c r="A5" s="2669"/>
      <c r="B5" s="329" t="s">
        <v>3000</v>
      </c>
      <c r="C5" s="2695" t="s">
        <v>3001</v>
      </c>
      <c r="D5" s="2692"/>
      <c r="E5" s="2696"/>
      <c r="F5" s="329" t="s">
        <v>3002</v>
      </c>
      <c r="G5" s="2697" t="s">
        <v>3003</v>
      </c>
      <c r="H5" s="907"/>
      <c r="I5" s="907"/>
      <c r="J5" s="907"/>
      <c r="K5" s="907"/>
      <c r="L5" s="907"/>
      <c r="M5" s="907"/>
      <c r="N5" s="907"/>
      <c r="O5" s="907"/>
      <c r="P5" s="907"/>
      <c r="Q5" s="907"/>
      <c r="R5" s="907"/>
    </row>
    <row r="6" spans="1:29" ht="36">
      <c r="A6" s="2669"/>
      <c r="B6" s="329" t="s">
        <v>3004</v>
      </c>
      <c r="C6" s="2697" t="s">
        <v>2999</v>
      </c>
      <c r="D6" s="2692"/>
      <c r="E6" s="2696"/>
      <c r="F6" s="329" t="s">
        <v>3005</v>
      </c>
      <c r="G6" s="2697" t="s">
        <v>3006</v>
      </c>
      <c r="H6" s="907"/>
      <c r="I6" s="907"/>
      <c r="J6" s="907"/>
      <c r="K6" s="907"/>
      <c r="L6" s="907"/>
      <c r="M6" s="907"/>
      <c r="N6" s="907"/>
      <c r="O6" s="907"/>
      <c r="P6" s="907"/>
      <c r="Q6" s="907"/>
      <c r="R6" s="907"/>
    </row>
    <row r="7" spans="1:29" ht="24.75" thickBot="1">
      <c r="A7" s="2669"/>
      <c r="B7" s="329" t="s">
        <v>3002</v>
      </c>
      <c r="C7" s="2697" t="s">
        <v>3003</v>
      </c>
      <c r="D7" s="2698"/>
      <c r="E7" s="2699"/>
      <c r="F7" s="2700" t="s">
        <v>3007</v>
      </c>
      <c r="G7" s="2701" t="s">
        <v>3008</v>
      </c>
      <c r="H7" s="907"/>
      <c r="I7" s="907"/>
      <c r="J7" s="907"/>
      <c r="K7" s="907"/>
      <c r="L7" s="907"/>
      <c r="M7" s="907"/>
      <c r="N7" s="907"/>
      <c r="O7" s="907"/>
      <c r="P7" s="907"/>
      <c r="Q7" s="907"/>
      <c r="R7" s="907"/>
    </row>
    <row r="8" spans="1:29">
      <c r="A8" s="2669"/>
      <c r="B8" s="329" t="s">
        <v>3005</v>
      </c>
      <c r="C8" s="2697" t="s">
        <v>3006</v>
      </c>
      <c r="D8" s="2698"/>
      <c r="E8" s="2698"/>
      <c r="F8" s="2702"/>
      <c r="G8" s="2702"/>
      <c r="H8" s="907"/>
      <c r="I8" s="907"/>
      <c r="J8" s="907"/>
      <c r="K8" s="907"/>
      <c r="L8" s="907"/>
      <c r="M8" s="907"/>
      <c r="N8" s="907"/>
      <c r="O8" s="907"/>
      <c r="P8" s="907"/>
      <c r="Q8" s="907"/>
      <c r="R8" s="907"/>
    </row>
    <row r="9" spans="1:29" ht="24">
      <c r="A9" s="2669"/>
      <c r="B9" s="329" t="s">
        <v>3009</v>
      </c>
      <c r="C9" s="2695" t="s">
        <v>3010</v>
      </c>
      <c r="D9" s="2692"/>
      <c r="E9" s="2698"/>
      <c r="F9" s="2702"/>
      <c r="G9" s="2702"/>
      <c r="H9" s="907"/>
      <c r="I9" s="907"/>
      <c r="J9" s="907"/>
      <c r="K9" s="907"/>
      <c r="L9" s="907"/>
      <c r="M9" s="907"/>
      <c r="N9" s="907"/>
      <c r="O9" s="907"/>
      <c r="P9" s="907"/>
      <c r="Q9" s="907"/>
      <c r="R9" s="907"/>
    </row>
    <row r="10" spans="1:29" s="2708" customFormat="1" ht="15" thickBot="1">
      <c r="A10" s="2670"/>
      <c r="B10" s="2703" t="s">
        <v>3011</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3029</v>
      </c>
      <c r="B13" s="2711"/>
      <c r="C13" s="2711"/>
      <c r="D13" s="2709"/>
      <c r="E13" s="2711"/>
      <c r="F13" s="2711"/>
      <c r="G13" s="2711"/>
    </row>
    <row r="14" spans="1:29" ht="15" thickBot="1">
      <c r="A14" s="2721"/>
      <c r="B14" s="2721"/>
      <c r="C14" s="2722" t="s">
        <v>3012</v>
      </c>
      <c r="D14" s="2692"/>
      <c r="E14" s="2723"/>
      <c r="F14" s="2723"/>
      <c r="G14" s="2687" t="s">
        <v>3013</v>
      </c>
    </row>
    <row r="15" spans="1:29" ht="51">
      <c r="A15" s="2671" t="s">
        <v>3014</v>
      </c>
      <c r="B15" s="2724" t="s">
        <v>2994</v>
      </c>
      <c r="C15" s="2725" t="str">
        <f>C3</f>
        <v>估价对象周边居住用地比例、居住小区规模和社区发展完善程度，综合评价居住社区成熟度一般</v>
      </c>
      <c r="D15" s="2692"/>
      <c r="E15" s="2672" t="s">
        <v>3015</v>
      </c>
      <c r="F15" s="2724" t="s">
        <v>3016</v>
      </c>
      <c r="G15" s="2726" t="str">
        <f>G3</f>
        <v>估价对象位于XX开发区，园区建设成熟度XX，产业集聚程度XX</v>
      </c>
    </row>
    <row r="16" spans="1:29" ht="38.25">
      <c r="A16" s="2673"/>
      <c r="B16" s="2727" t="s">
        <v>2996</v>
      </c>
      <c r="C16" s="2728" t="str">
        <f>C4</f>
        <v>估价对象位于XX商圈，周边商业氛围成熟，人流量大，商业繁华度好</v>
      </c>
      <c r="D16" s="2692"/>
      <c r="E16" s="2674"/>
      <c r="F16" s="2729" t="s">
        <v>2998</v>
      </c>
      <c r="G16" s="2730" t="str">
        <f>G4</f>
        <v>估价对象周边道路状况、公共交通通达情况、停车便捷程度，综合评价交通便捷度较好</v>
      </c>
    </row>
    <row r="17" spans="1:18" ht="38.25">
      <c r="A17" s="2673"/>
      <c r="B17" s="2727" t="s">
        <v>3000</v>
      </c>
      <c r="C17" s="2728" t="str">
        <f>C5</f>
        <v>估价对象位于XX商圈，周边办公楼项目较多，入驻率高，办公集聚程度较好</v>
      </c>
      <c r="D17" s="2698"/>
      <c r="E17" s="2674"/>
      <c r="F17" s="2729" t="s">
        <v>3017</v>
      </c>
      <c r="G17" s="2731"/>
    </row>
    <row r="18" spans="1:18" ht="38.25">
      <c r="A18" s="2673"/>
      <c r="B18" s="2729" t="s">
        <v>3004</v>
      </c>
      <c r="C18" s="2730" t="str">
        <f>C6</f>
        <v>估价对象周边道路状况、公共交通通达情况、停车便捷程度，综合评价交通便捷度较好</v>
      </c>
      <c r="D18" s="2698"/>
      <c r="E18" s="2674"/>
      <c r="F18" s="2729" t="s">
        <v>3007</v>
      </c>
      <c r="G18" s="2730" t="str">
        <f>G7</f>
        <v>该园区内是否有污染型企业，绿化情况，卫生条件，整体环境状况判断</v>
      </c>
    </row>
    <row r="19" spans="1:18" ht="25.5">
      <c r="A19" s="2673"/>
      <c r="B19" s="2729" t="s">
        <v>3018</v>
      </c>
      <c r="C19" s="2731"/>
      <c r="D19" s="2692"/>
      <c r="E19" s="2674"/>
      <c r="F19" s="329" t="s">
        <v>3002</v>
      </c>
      <c r="G19" s="2730" t="str">
        <f>G5</f>
        <v>估价对象所在区域公共配套设施齐备情况</v>
      </c>
    </row>
    <row r="20" spans="1:18" ht="25.5">
      <c r="A20" s="2673"/>
      <c r="B20" s="2729" t="s">
        <v>3019</v>
      </c>
      <c r="C20" s="2728" t="str">
        <f>C9</f>
        <v>区域自然环境：；人文环境；综合评价环境状况一般</v>
      </c>
      <c r="D20" s="2698"/>
      <c r="E20" s="2674"/>
      <c r="F20" s="329" t="s">
        <v>3005</v>
      </c>
      <c r="G20" s="2730" t="str">
        <f>G6</f>
        <v>估价对象所在区域基础设施水平</v>
      </c>
    </row>
    <row r="21" spans="1:18" ht="25.5">
      <c r="A21" s="2673"/>
      <c r="B21" s="329" t="s">
        <v>3002</v>
      </c>
      <c r="C21" s="2730" t="str">
        <f>C7</f>
        <v>估价对象所在区域公共配套设施齐备情况</v>
      </c>
      <c r="D21" s="2692"/>
      <c r="E21" s="2674"/>
      <c r="F21" s="2729" t="s">
        <v>3020</v>
      </c>
      <c r="G21" s="2732"/>
    </row>
    <row r="22" spans="1:18" ht="13.5" customHeight="1">
      <c r="A22" s="2673"/>
      <c r="B22" s="329" t="s">
        <v>3005</v>
      </c>
      <c r="C22" s="2730" t="str">
        <f>C8</f>
        <v>估价对象所在区域基础设施水平</v>
      </c>
      <c r="D22" s="2692"/>
      <c r="E22" s="2674"/>
      <c r="F22" s="2729" t="s">
        <v>3011</v>
      </c>
      <c r="G22" s="2731"/>
    </row>
    <row r="23" spans="1:18" s="907" customFormat="1" ht="15" thickBot="1">
      <c r="A23" s="2673"/>
      <c r="B23" s="2729" t="s">
        <v>3020</v>
      </c>
      <c r="C23" s="2732"/>
      <c r="D23" s="1928"/>
      <c r="E23" s="2675"/>
      <c r="F23" s="2733" t="s">
        <v>3021</v>
      </c>
      <c r="G23" s="2734"/>
      <c r="H23" s="2718"/>
      <c r="I23" s="2719"/>
      <c r="J23" s="2718"/>
      <c r="K23" s="2718"/>
      <c r="L23" s="2719"/>
      <c r="M23" s="2718"/>
      <c r="N23" s="2718"/>
      <c r="O23" s="2719"/>
      <c r="P23" s="2718"/>
      <c r="Q23" s="2718"/>
      <c r="R23" s="2720"/>
    </row>
    <row r="24" spans="1:18" s="907" customFormat="1" ht="15" thickBot="1">
      <c r="A24" s="2676"/>
      <c r="B24" s="2733" t="s">
        <v>3022</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zoomScale="80" zoomScaleNormal="80" zoomScaleSheetLayoutView="80" workbookViewId="0">
      <selection activeCell="D14" sqref="D14"/>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306568.26</v>
      </c>
      <c r="C1" s="2916"/>
      <c r="D1" s="2916"/>
      <c r="E1" s="2916"/>
      <c r="F1" s="2916"/>
      <c r="G1" s="2917"/>
      <c r="H1" s="2918"/>
      <c r="I1" s="2918"/>
      <c r="J1" s="2918"/>
      <c r="K1" s="2918"/>
    </row>
    <row r="2" spans="1:11" ht="16.5">
      <c r="A2" s="2739" t="s">
        <v>1319</v>
      </c>
      <c r="B2" s="2739">
        <f>SUM(C14:C23)</f>
        <v>94586.459999999992</v>
      </c>
      <c r="C2" s="2916"/>
      <c r="D2" s="2916"/>
      <c r="E2" s="2916"/>
      <c r="F2" s="2916"/>
      <c r="G2" s="2917"/>
      <c r="H2" s="2918"/>
      <c r="I2" s="2918"/>
      <c r="J2" s="2918"/>
      <c r="K2" s="2918"/>
    </row>
    <row r="3" spans="1:11" ht="16.5">
      <c r="A3" s="2739" t="s">
        <v>1328</v>
      </c>
      <c r="B3" s="2741">
        <f>项目基本情况!D3</f>
        <v>44134</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328861</v>
      </c>
      <c r="C5" s="2739">
        <f ca="1">ROUND(B5*10000/$B$1,0)</f>
        <v>10727</v>
      </c>
      <c r="D5" s="2739">
        <f ca="1">ROUND(B5*10000/$B$2,0)</f>
        <v>34768</v>
      </c>
      <c r="E5" s="2916"/>
      <c r="F5" s="2917"/>
      <c r="G5" s="2917"/>
      <c r="H5" s="2918"/>
      <c r="I5" s="2918"/>
      <c r="J5" s="2918"/>
      <c r="K5" s="2918"/>
    </row>
    <row r="6" spans="1:11" ht="16.5">
      <c r="A6" s="2739" t="s">
        <v>1322</v>
      </c>
      <c r="B6" s="2739">
        <f ca="1">SUM(G14:G23)</f>
        <v>328861</v>
      </c>
      <c r="C6" s="2739">
        <f ca="1">ROUND(B6*10000/$B$1,0)</f>
        <v>10727</v>
      </c>
      <c r="D6" s="2739">
        <f ca="1">ROUND(B6*10000/$B$2,0)</f>
        <v>34768</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107747.01000000001</v>
      </c>
      <c r="C14" s="2745">
        <f>结果表!C118</f>
        <v>33243.519999999997</v>
      </c>
      <c r="D14" s="2745">
        <f ca="1">结果表!H118</f>
        <v>139851</v>
      </c>
      <c r="E14" s="2745">
        <f ca="1">ROUND(D14*10000/B14,0)</f>
        <v>12980</v>
      </c>
      <c r="F14" s="2745">
        <f ca="1">ROUND(D14*10000/C14,0)</f>
        <v>42069</v>
      </c>
      <c r="G14" s="2745">
        <f ca="1">结果表!D122</f>
        <v>139851</v>
      </c>
      <c r="H14" s="2745" t="str">
        <f>结果表!D124</f>
        <v>——</v>
      </c>
      <c r="I14" s="2745" t="str">
        <f>结果表!D126</f>
        <v>——</v>
      </c>
      <c r="J14" s="2917"/>
      <c r="K14" s="2918"/>
    </row>
    <row r="15" spans="1:11" ht="16.5">
      <c r="A15" s="2744" t="s">
        <v>1315</v>
      </c>
      <c r="B15" s="2746">
        <f>[2]系统读取表!$B$14</f>
        <v>198821.25</v>
      </c>
      <c r="C15" s="2746">
        <f>[2]系统读取表!$C$14</f>
        <v>61342.94</v>
      </c>
      <c r="D15" s="2746">
        <f ca="1">[2]系统读取表!$D$14</f>
        <v>189010</v>
      </c>
      <c r="E15" s="2745">
        <f t="shared" ref="E15:E23" ca="1" si="0">ROUND(D15*10000/B15,0)</f>
        <v>9507</v>
      </c>
      <c r="F15" s="2745">
        <f t="shared" ref="F15:F23" ca="1" si="1">ROUND(D15*10000/C15,0)</f>
        <v>30812</v>
      </c>
      <c r="G15" s="1502">
        <f ca="1">[2]系统读取表!$G$14</f>
        <v>189010</v>
      </c>
      <c r="H15" s="1502"/>
      <c r="I15" s="2746"/>
      <c r="J15" s="2917"/>
      <c r="K15" s="2918"/>
    </row>
    <row r="16" spans="1:11" ht="16.5">
      <c r="A16" s="2744" t="s">
        <v>1314</v>
      </c>
      <c r="B16" s="2746"/>
      <c r="C16" s="2746"/>
      <c r="D16" s="2746"/>
      <c r="E16" s="2745" t="e">
        <f t="shared" si="0"/>
        <v>#DIV/0!</v>
      </c>
      <c r="F16" s="2745" t="e">
        <f t="shared" si="1"/>
        <v>#DIV/0!</v>
      </c>
      <c r="G16" s="1502"/>
      <c r="H16" s="1502"/>
      <c r="I16" s="2746"/>
      <c r="J16" s="2918"/>
      <c r="K16" s="2918"/>
    </row>
    <row r="17" spans="1:11" ht="16.5">
      <c r="A17" s="2744" t="s">
        <v>1313</v>
      </c>
      <c r="B17" s="2746"/>
      <c r="C17" s="2746"/>
      <c r="D17" s="2746"/>
      <c r="E17" s="2745" t="e">
        <f t="shared" si="0"/>
        <v>#DIV/0!</v>
      </c>
      <c r="F17" s="2745" t="e">
        <f t="shared" si="1"/>
        <v>#DIV/0!</v>
      </c>
      <c r="G17" s="1502"/>
      <c r="H17" s="1502"/>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7" t="str">
        <f>项目基本情况!B1</f>
        <v>房地产抵押价值预评估</v>
      </c>
      <c r="C37" s="3087"/>
      <c r="D37" s="3087"/>
      <c r="E37" s="3087"/>
      <c r="F37" s="3087"/>
      <c r="G37" s="3087"/>
      <c r="H37" s="3087"/>
      <c r="I37" s="3087"/>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1946</v>
      </c>
      <c r="B1" s="1934"/>
      <c r="C1" s="1935"/>
      <c r="D1" s="1934"/>
      <c r="E1" s="1934"/>
      <c r="F1" s="1936" t="s">
        <v>1947</v>
      </c>
      <c r="G1" s="1748"/>
      <c r="H1" s="1937" t="str">
        <f>IF(G1="现房","——","估价对象范围")</f>
        <v>估价对象范围</v>
      </c>
      <c r="I1" s="1938"/>
    </row>
    <row r="2" spans="1:12" ht="21.75" customHeight="1" thickBot="1">
      <c r="A2" s="3220" t="str">
        <f>项目基本情况!S2</f>
        <v>房地产</v>
      </c>
      <c r="B2" s="3221"/>
      <c r="C2" s="3221"/>
      <c r="D2" s="3221"/>
      <c r="E2" s="3221"/>
      <c r="F2" s="3221"/>
      <c r="G2" s="3221"/>
      <c r="H2" s="3221"/>
      <c r="I2" s="3222"/>
    </row>
    <row r="3" spans="1:12" ht="12.75">
      <c r="A3" s="3224" t="s">
        <v>1948</v>
      </c>
      <c r="B3" s="3225"/>
      <c r="C3" s="3225"/>
      <c r="D3" s="3225"/>
      <c r="E3" s="3225"/>
      <c r="F3" s="3225"/>
      <c r="G3" s="3225"/>
      <c r="H3" s="3225"/>
      <c r="I3" s="3225"/>
    </row>
    <row r="4" spans="1:12" ht="14.25">
      <c r="A4" s="1941" t="s">
        <v>1949</v>
      </c>
      <c r="B4" s="1942" t="s">
        <v>1950</v>
      </c>
      <c r="C4" s="1943" t="s">
        <v>3744</v>
      </c>
      <c r="D4" s="1943" t="s">
        <v>3745</v>
      </c>
      <c r="E4" s="3226" t="s">
        <v>1951</v>
      </c>
      <c r="F4" s="3227"/>
      <c r="G4" s="3227"/>
      <c r="H4" s="3227"/>
      <c r="I4" s="322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00" t="s">
        <v>1952</v>
      </c>
      <c r="B5" s="3187">
        <v>25</v>
      </c>
      <c r="C5" s="3203"/>
      <c r="D5" s="3223"/>
      <c r="E5" s="136" t="s">
        <v>1953</v>
      </c>
      <c r="F5" s="1944"/>
      <c r="G5" s="1944"/>
      <c r="H5" s="1944"/>
      <c r="I5" s="1559"/>
    </row>
    <row r="6" spans="1:12" ht="12.75">
      <c r="A6" s="3200"/>
      <c r="B6" s="3187"/>
      <c r="C6" s="3204"/>
      <c r="D6" s="3223"/>
      <c r="E6" s="136" t="s">
        <v>1954</v>
      </c>
      <c r="F6" s="1944"/>
      <c r="G6" s="1944"/>
      <c r="H6" s="1944"/>
      <c r="I6" s="1559"/>
    </row>
    <row r="7" spans="1:12" ht="12.75">
      <c r="A7" s="3200"/>
      <c r="B7" s="3187"/>
      <c r="C7" s="3205"/>
      <c r="D7" s="3223"/>
      <c r="E7" s="136" t="s">
        <v>1955</v>
      </c>
      <c r="F7" s="1944"/>
      <c r="G7" s="1944"/>
      <c r="H7" s="1944"/>
      <c r="I7" s="1559"/>
    </row>
    <row r="8" spans="1:12" ht="12.75">
      <c r="A8" s="3200" t="s">
        <v>1956</v>
      </c>
      <c r="B8" s="3187">
        <v>15</v>
      </c>
      <c r="C8" s="3203"/>
      <c r="D8" s="3223"/>
      <c r="E8" s="136" t="s">
        <v>1957</v>
      </c>
      <c r="F8" s="1944"/>
      <c r="G8" s="1944"/>
      <c r="H8" s="1944"/>
      <c r="I8" s="1559"/>
    </row>
    <row r="9" spans="1:12" ht="12.75">
      <c r="A9" s="3200"/>
      <c r="B9" s="3187"/>
      <c r="C9" s="3205"/>
      <c r="D9" s="3223"/>
      <c r="E9" s="136" t="s">
        <v>1958</v>
      </c>
      <c r="F9" s="1944"/>
      <c r="G9" s="1944"/>
      <c r="H9" s="1944"/>
      <c r="I9" s="1559"/>
    </row>
    <row r="10" spans="1:12" ht="12.75">
      <c r="A10" s="3200" t="s">
        <v>1959</v>
      </c>
      <c r="B10" s="3187">
        <v>15</v>
      </c>
      <c r="C10" s="3203"/>
      <c r="D10" s="3223"/>
      <c r="E10" s="136" t="s">
        <v>1960</v>
      </c>
      <c r="F10" s="1944"/>
      <c r="G10" s="1944"/>
      <c r="H10" s="1944"/>
      <c r="I10" s="1559"/>
    </row>
    <row r="11" spans="1:12" ht="12.75">
      <c r="A11" s="3200"/>
      <c r="B11" s="3187"/>
      <c r="C11" s="3205"/>
      <c r="D11" s="3223"/>
      <c r="E11" s="136" t="s">
        <v>1961</v>
      </c>
      <c r="F11" s="1944"/>
      <c r="G11" s="1944"/>
      <c r="H11" s="1944"/>
      <c r="I11" s="1559"/>
    </row>
    <row r="12" spans="1:12" ht="12.75">
      <c r="A12" s="3200" t="s">
        <v>1962</v>
      </c>
      <c r="B12" s="3187">
        <v>15</v>
      </c>
      <c r="C12" s="3203"/>
      <c r="D12" s="3223"/>
      <c r="E12" s="136" t="s">
        <v>1963</v>
      </c>
      <c r="F12" s="1944"/>
      <c r="G12" s="1944"/>
      <c r="H12" s="1944"/>
      <c r="I12" s="1559"/>
    </row>
    <row r="13" spans="1:12" ht="12.75">
      <c r="A13" s="3200"/>
      <c r="B13" s="3187"/>
      <c r="C13" s="3205"/>
      <c r="D13" s="3223"/>
      <c r="E13" s="136" t="s">
        <v>1964</v>
      </c>
      <c r="F13" s="1944"/>
      <c r="G13" s="1944"/>
      <c r="H13" s="1944"/>
      <c r="I13" s="1559"/>
    </row>
    <row r="14" spans="1:12" ht="12.75">
      <c r="A14" s="3200" t="s">
        <v>1965</v>
      </c>
      <c r="B14" s="3187">
        <v>30</v>
      </c>
      <c r="C14" s="3203">
        <v>5</v>
      </c>
      <c r="D14" s="3223">
        <v>5</v>
      </c>
      <c r="E14" s="136" t="s">
        <v>1966</v>
      </c>
      <c r="F14" s="1944"/>
      <c r="G14" s="1944"/>
      <c r="H14" s="1944"/>
      <c r="I14" s="1559"/>
    </row>
    <row r="15" spans="1:12" ht="12.75">
      <c r="A15" s="3200"/>
      <c r="B15" s="3187"/>
      <c r="C15" s="3204"/>
      <c r="D15" s="3223"/>
      <c r="E15" s="136" t="s">
        <v>1967</v>
      </c>
      <c r="F15" s="1944"/>
      <c r="G15" s="1944"/>
      <c r="H15" s="1944"/>
      <c r="I15" s="1559"/>
    </row>
    <row r="16" spans="1:12" ht="12.75">
      <c r="A16" s="3200"/>
      <c r="B16" s="3187"/>
      <c r="C16" s="3205"/>
      <c r="D16" s="3223"/>
      <c r="E16" s="136" t="s">
        <v>1968</v>
      </c>
      <c r="F16" s="1944"/>
      <c r="G16" s="1944"/>
      <c r="H16" s="1944"/>
      <c r="I16" s="1559"/>
    </row>
    <row r="17" spans="1:36" ht="15">
      <c r="A17" s="1945" t="s">
        <v>1969</v>
      </c>
      <c r="B17" s="60"/>
      <c r="C17" s="137">
        <f>SUM(C5:C16)</f>
        <v>5</v>
      </c>
      <c r="D17" s="137">
        <f>SUM(D5:D16)</f>
        <v>5</v>
      </c>
      <c r="E17" s="134"/>
      <c r="F17" s="134"/>
      <c r="G17" s="134"/>
      <c r="H17" s="134"/>
      <c r="I17" s="134"/>
      <c r="K17" s="308"/>
      <c r="L17" s="308" t="s">
        <v>1970</v>
      </c>
      <c r="M17" s="308" t="s">
        <v>1971</v>
      </c>
    </row>
    <row r="18" spans="1:36" ht="31.9" customHeight="1" thickBot="1">
      <c r="A18" s="1946" t="s">
        <v>1972</v>
      </c>
      <c r="B18" s="1947"/>
      <c r="C18" s="138">
        <f>ROUND(C17/SUM(C17:D17),2)</f>
        <v>0.5</v>
      </c>
      <c r="D18" s="138">
        <f>1-C18</f>
        <v>0.5</v>
      </c>
      <c r="E18" s="3210" t="s">
        <v>2869</v>
      </c>
      <c r="F18" s="3211"/>
      <c r="G18" s="3211"/>
      <c r="H18" s="3211"/>
      <c r="I18" s="3211"/>
      <c r="K18" s="308" t="s">
        <v>1973</v>
      </c>
      <c r="L18" s="308">
        <f>IF(C1="",'数据-汇总表'!E3,SUMIF(项目类型,C1,'数据-汇总表'!E17:E26)+SUMIF(项目类型,C1,'数据-汇总表'!I17:I26))</f>
        <v>107747.01000000001</v>
      </c>
      <c r="M18" s="308">
        <f>IF(C1="",'数据-汇总表'!E3,SUMIF(项目类型,C1,'数据-汇总表'!E17:E26))</f>
        <v>107747.01000000001</v>
      </c>
    </row>
    <row r="19" spans="1:36" ht="15">
      <c r="A19" s="1948" t="s">
        <v>1974</v>
      </c>
      <c r="B19" s="1949" t="s">
        <v>1975</v>
      </c>
      <c r="C19" s="139">
        <f ca="1">SUMIF(INDIRECT("'"&amp;C4&amp;"'"&amp;"!A:A"),结果表!B19,INDIRECT("'"&amp;C4&amp;"'"&amp;"!B:B"))</f>
        <v>149862</v>
      </c>
      <c r="D19" s="140">
        <f ca="1">SUMIF(INDIRECT("'"&amp;D4&amp;"'"&amp;"!A:A"),结果表!B19,INDIRECT("'"&amp;D4&amp;"'"&amp;"!B:B"))</f>
        <v>129840</v>
      </c>
      <c r="E19" s="1948" t="s">
        <v>1976</v>
      </c>
      <c r="F19" s="1949" t="s">
        <v>1975</v>
      </c>
      <c r="G19" s="141">
        <f ca="1">ROUND(C19*$C$18+D19*$D$18,0)</f>
        <v>139851</v>
      </c>
      <c r="H19" s="1950" t="s">
        <v>1977</v>
      </c>
      <c r="I19" s="134"/>
      <c r="K19" s="308" t="s">
        <v>1978</v>
      </c>
      <c r="L19" s="308">
        <f>IF(C1="",'数据-汇总表'!D3,SUMIF(项目类型,C1,'数据-汇总表'!D17:D26)+SUMIF(项目类型,C1,'数据-汇总表'!H17:H27))</f>
        <v>33243.519999999997</v>
      </c>
      <c r="M19" s="308">
        <f>IF(C1="",'数据-汇总表'!D3,SUMIF(项目类型,C1,'数据-汇总表'!D17:D26))</f>
        <v>33243.519999999997</v>
      </c>
    </row>
    <row r="20" spans="1:36" ht="15">
      <c r="A20" s="1951"/>
      <c r="B20" s="1157" t="s">
        <v>1979</v>
      </c>
      <c r="C20" s="142">
        <f ca="1">SUMIF(INDIRECT("'"&amp;C4&amp;"'"&amp;"!A:A"),结果表!B20,INDIRECT("'"&amp;C4&amp;"'"&amp;"!B:B"))</f>
        <v>13909</v>
      </c>
      <c r="D20" s="143">
        <f ca="1">SUMIF(INDIRECT("'"&amp;D4&amp;"'"&amp;"!A:A"),结果表!B20,INDIRECT("'"&amp;D4&amp;"'"&amp;"!B:B"))</f>
        <v>12050</v>
      </c>
      <c r="E20" s="1951"/>
      <c r="F20" s="1157" t="s">
        <v>1979</v>
      </c>
      <c r="G20" s="144">
        <f ca="1">ROUND(C20*$C$18+D20*$D$18,0)</f>
        <v>12980</v>
      </c>
      <c r="H20" s="917" t="s">
        <v>1980</v>
      </c>
      <c r="I20" s="134"/>
    </row>
    <row r="21" spans="1:36" ht="15" customHeight="1" thickBot="1">
      <c r="A21" s="937"/>
      <c r="B21" s="1952" t="s">
        <v>1981</v>
      </c>
      <c r="C21" s="728">
        <f ca="1">ROUND(C19*10000/L19,0)</f>
        <v>45080</v>
      </c>
      <c r="D21" s="729">
        <f ca="1">ROUND(D19*10000/L19,0)</f>
        <v>39057</v>
      </c>
      <c r="E21" s="937"/>
      <c r="F21" s="1952" t="s">
        <v>1981</v>
      </c>
      <c r="G21" s="145">
        <f ca="1">ROUND(G19*10000/L19,0)</f>
        <v>42069</v>
      </c>
      <c r="H21" s="1953" t="s">
        <v>1980</v>
      </c>
      <c r="I21" s="134"/>
    </row>
    <row r="22" spans="1:36" ht="15" thickBot="1">
      <c r="A22" s="1875" t="s">
        <v>1982</v>
      </c>
      <c r="B22" s="1954"/>
      <c r="C22" s="1955"/>
      <c r="D22" s="730">
        <f ca="1">IF(C19&lt;D19,D19/C19-1,C19/D19-1)</f>
        <v>0.15420517560073943</v>
      </c>
      <c r="E22" s="134"/>
      <c r="F22" s="134"/>
      <c r="G22" s="134"/>
      <c r="H22" s="134"/>
      <c r="I22" s="134"/>
    </row>
    <row r="23" spans="1:36" ht="13.5" thickBot="1">
      <c r="A23" s="1934"/>
      <c r="B23" s="1934"/>
      <c r="C23" s="1934"/>
      <c r="D23" s="1934"/>
      <c r="E23" s="134"/>
      <c r="F23" s="134"/>
      <c r="G23" s="134"/>
      <c r="H23" s="134"/>
      <c r="I23" s="134"/>
    </row>
    <row r="24" spans="1:36" ht="14.25">
      <c r="A24" s="3194" t="s">
        <v>1983</v>
      </c>
      <c r="B24" s="1949" t="s">
        <v>1975</v>
      </c>
      <c r="C24" s="141">
        <f>IF(B30=0,0,D30)</f>
        <v>0</v>
      </c>
      <c r="D24" s="1956"/>
      <c r="E24" s="134"/>
      <c r="F24" s="134"/>
      <c r="G24" s="134"/>
      <c r="H24" s="134"/>
      <c r="I24" s="134"/>
    </row>
    <row r="25" spans="1:36" ht="14.25">
      <c r="A25" s="3195"/>
      <c r="B25" s="1157" t="s">
        <v>1979</v>
      </c>
      <c r="C25" s="146">
        <f>IF(B30=0,0,C30)</f>
        <v>0</v>
      </c>
      <c r="D25" s="1957"/>
      <c r="E25" s="134"/>
      <c r="F25" s="134"/>
      <c r="G25" s="134"/>
      <c r="H25" s="134"/>
      <c r="I25" s="134"/>
    </row>
    <row r="26" spans="1:36" ht="13.5" customHeight="1">
      <c r="A26" s="1958" t="s">
        <v>1984</v>
      </c>
      <c r="B26" s="147" t="s">
        <v>1985</v>
      </c>
      <c r="C26" s="147" t="s">
        <v>1986</v>
      </c>
      <c r="D26" s="148" t="s">
        <v>1987</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1988</v>
      </c>
      <c r="B30" s="147"/>
      <c r="C30" s="147"/>
      <c r="D30" s="147"/>
      <c r="E30" s="2522" t="s">
        <v>2870</v>
      </c>
      <c r="F30" s="134"/>
      <c r="G30" s="134"/>
      <c r="H30" s="134"/>
      <c r="I30" s="134"/>
    </row>
    <row r="31" spans="1:36" s="2528" customFormat="1" ht="26.45" customHeight="1" thickTop="1" thickBot="1">
      <c r="A31" s="2523"/>
      <c r="B31" s="2524"/>
      <c r="C31" s="2524"/>
      <c r="D31" s="2524"/>
      <c r="E31" s="2524"/>
      <c r="F31" s="2524"/>
      <c r="G31" s="2524"/>
      <c r="H31" s="2524"/>
      <c r="I31" s="2525" t="s">
        <v>2871</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1989</v>
      </c>
      <c r="B32" s="1961"/>
      <c r="C32" s="149">
        <f ca="1">IF(D32="总价",G19-C24,G20-C25)</f>
        <v>139851</v>
      </c>
      <c r="D32" s="1962" t="s">
        <v>3746</v>
      </c>
      <c r="E32" s="134"/>
      <c r="F32" s="134"/>
      <c r="G32" s="134"/>
      <c r="H32" s="134"/>
      <c r="I32" s="134"/>
    </row>
    <row r="33" spans="1:15" ht="15">
      <c r="A33" s="894" t="s">
        <v>1990</v>
      </c>
      <c r="B33" s="1963"/>
      <c r="C33" s="1964" t="s">
        <v>3747</v>
      </c>
      <c r="D33" s="1965" t="s">
        <v>3744</v>
      </c>
      <c r="E33" s="1966" t="s">
        <v>1991</v>
      </c>
      <c r="F33" s="1967" t="str">
        <f>IF(D32="楼面单价","取值（单价）","取值（总价）")</f>
        <v>取值（总价）</v>
      </c>
      <c r="G33" s="134"/>
      <c r="H33" s="134"/>
      <c r="I33" s="134"/>
    </row>
    <row r="34" spans="1:15" ht="15">
      <c r="A34" s="1968"/>
      <c r="B34" s="1969" t="s">
        <v>1992</v>
      </c>
      <c r="C34" s="153">
        <f ca="1">IF(C33="自定义",F34,C32-C35)</f>
        <v>112300</v>
      </c>
      <c r="D34" s="970">
        <f ca="1">IF(C33="自定义",ROUND(C34/C32,3),IF(C33="收益比率",SUMIF(INDIRECT("'"&amp;D33&amp;"'"&amp;"!b:b"),"土地收益比率",INDIRECT("'"&amp;D33&amp;"'"&amp;"!c:c")),SUMIF(INDIRECT("'"&amp;D33&amp;"'"&amp;"!b:b"),"土地成本比率",INDIRECT("'"&amp;D33&amp;"'"&amp;"!c:c"))))</f>
        <v>0.80299999999999994</v>
      </c>
      <c r="E34" s="1970" t="s">
        <v>1993</v>
      </c>
      <c r="F34" s="1500"/>
      <c r="G34" s="134"/>
      <c r="H34" s="134"/>
      <c r="I34" s="134"/>
    </row>
    <row r="35" spans="1:15" ht="15.75" thickBot="1">
      <c r="A35" s="1971"/>
      <c r="B35" s="1972" t="s">
        <v>1994</v>
      </c>
      <c r="C35" s="1332">
        <f ca="1">IF(C33="自定义",F35,ROUND(C32*D35,0))</f>
        <v>27551</v>
      </c>
      <c r="D35" s="1333">
        <f ca="1">IF(C33="自定义",ROUND(C35/C32,3),IF(C33="收益比率",SUMIF(INDIRECT("'"&amp;D33&amp;"'"&amp;"!b:b"),"建筑物收益比率",INDIRECT("'"&amp;D33&amp;"'"&amp;"!c:c")),SUMIF(INDIRECT("'"&amp;D33&amp;"'"&amp;"!b:b"),"建筑物成本比率",INDIRECT("'"&amp;D33&amp;"'"&amp;"!c:c"))))</f>
        <v>0.19700000000000001</v>
      </c>
      <c r="E35" s="1973" t="s">
        <v>1995</v>
      </c>
      <c r="F35" s="159"/>
      <c r="G35" s="134"/>
      <c r="H35" s="134"/>
      <c r="I35" s="134"/>
    </row>
    <row r="36" spans="1:15" ht="15.75" thickBot="1">
      <c r="A36" s="3214" t="s">
        <v>1996</v>
      </c>
      <c r="B36" s="1974" t="s">
        <v>1997</v>
      </c>
      <c r="C36" s="150"/>
      <c r="D36" s="1975"/>
      <c r="E36" s="1976"/>
      <c r="F36" s="1977"/>
      <c r="G36" s="134"/>
      <c r="H36" s="134"/>
      <c r="I36" s="134"/>
    </row>
    <row r="37" spans="1:15" ht="15.75" thickBot="1">
      <c r="A37" s="3215"/>
      <c r="B37" s="1861" t="s">
        <v>1998</v>
      </c>
      <c r="C37" s="152"/>
      <c r="D37" s="1301"/>
      <c r="E37" s="1301"/>
      <c r="F37" s="1977"/>
      <c r="G37" s="134"/>
      <c r="H37" s="134"/>
      <c r="I37" s="134"/>
    </row>
    <row r="38" spans="1:15" ht="15.75" thickBot="1">
      <c r="A38" s="3216"/>
      <c r="B38" s="1978" t="s">
        <v>1999</v>
      </c>
      <c r="C38" s="683"/>
      <c r="D38" s="1979" t="s">
        <v>2000</v>
      </c>
      <c r="E38" s="1301"/>
      <c r="F38" s="1977"/>
      <c r="G38" s="134"/>
      <c r="H38" s="134"/>
      <c r="I38" s="134"/>
    </row>
    <row r="39" spans="1:15" ht="15">
      <c r="A39" s="1951" t="s">
        <v>2001</v>
      </c>
      <c r="B39" s="1980" t="s">
        <v>2002</v>
      </c>
      <c r="C39" s="1981" t="s">
        <v>2003</v>
      </c>
      <c r="D39" s="1981" t="s">
        <v>2004</v>
      </c>
      <c r="E39" s="1982" t="s">
        <v>2005</v>
      </c>
      <c r="F39" s="1977"/>
      <c r="G39" s="134"/>
      <c r="H39" s="134"/>
      <c r="I39" s="134"/>
    </row>
    <row r="40" spans="1:15" ht="14.25">
      <c r="A40" s="1983" t="s">
        <v>2006</v>
      </c>
      <c r="B40" s="154"/>
      <c r="C40" s="155"/>
      <c r="D40" s="155"/>
      <c r="E40" s="156"/>
      <c r="F40" s="1977"/>
      <c r="G40" s="134"/>
      <c r="H40" s="134"/>
      <c r="I40" s="134"/>
    </row>
    <row r="41" spans="1:15" ht="14.25">
      <c r="A41" s="1983" t="s">
        <v>2007</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2008</v>
      </c>
      <c r="B44" s="1988"/>
      <c r="C44" s="1988"/>
      <c r="D44" s="1989"/>
      <c r="E44" s="1989"/>
      <c r="F44" s="1990"/>
      <c r="G44" s="1990"/>
      <c r="H44" s="1990"/>
      <c r="I44" s="1990"/>
      <c r="J44" s="1991" t="s">
        <v>2009</v>
      </c>
      <c r="K44" s="1992"/>
      <c r="L44" s="1992"/>
      <c r="M44" s="1992"/>
      <c r="N44" s="1992"/>
      <c r="O44" s="1992"/>
    </row>
    <row r="45" spans="1:15" ht="14.25" customHeight="1" thickBot="1">
      <c r="A45" s="3191" t="s">
        <v>2010</v>
      </c>
      <c r="B45" s="3192"/>
      <c r="C45" s="3193"/>
      <c r="D45" s="160">
        <f ca="1">ROUND(H101*F45,0)</f>
        <v>139851</v>
      </c>
      <c r="E45" s="161" t="s">
        <v>2011</v>
      </c>
      <c r="F45" s="162">
        <v>1</v>
      </c>
      <c r="G45" s="163" t="s">
        <v>2012</v>
      </c>
      <c r="H45" s="134"/>
      <c r="I45" s="134"/>
      <c r="J45" s="3272" t="s">
        <v>2013</v>
      </c>
      <c r="K45" s="3272"/>
      <c r="L45" s="3272"/>
      <c r="M45" s="3272"/>
      <c r="N45" s="3272"/>
      <c r="O45" s="3272"/>
    </row>
    <row r="46" spans="1:15" ht="14.25" customHeight="1">
      <c r="A46" s="3188" t="s">
        <v>2014</v>
      </c>
      <c r="B46" s="3189"/>
      <c r="C46" s="3189"/>
      <c r="D46" s="3189"/>
      <c r="E46" s="3189"/>
      <c r="F46" s="3189"/>
      <c r="G46" s="3190"/>
      <c r="H46" s="1993"/>
      <c r="I46" s="164"/>
      <c r="J46" s="2750">
        <v>1</v>
      </c>
      <c r="K46" s="3253" t="s">
        <v>2015</v>
      </c>
      <c r="L46" s="3253"/>
      <c r="M46" s="3273"/>
      <c r="N46" s="3273"/>
      <c r="O46" s="3273"/>
    </row>
    <row r="47" spans="1:15" ht="12" customHeight="1">
      <c r="A47" s="165" t="s">
        <v>2016</v>
      </c>
      <c r="B47" s="166"/>
      <c r="C47" s="167"/>
      <c r="D47" s="1247" t="s">
        <v>2017</v>
      </c>
      <c r="E47" s="308" t="s">
        <v>2018</v>
      </c>
      <c r="F47" s="168" t="s">
        <v>2019</v>
      </c>
      <c r="G47" s="2773" t="s">
        <v>2020</v>
      </c>
      <c r="H47" s="2774"/>
      <c r="I47" s="164"/>
      <c r="J47" s="2750">
        <v>2</v>
      </c>
      <c r="K47" s="3253" t="s">
        <v>2021</v>
      </c>
      <c r="L47" s="3253"/>
      <c r="M47" s="3274">
        <f>'数据-取费表'!B2</f>
        <v>44134</v>
      </c>
      <c r="N47" s="3274"/>
      <c r="O47" s="3274"/>
    </row>
    <row r="48" spans="1:15" ht="25.5">
      <c r="A48" s="3219" t="s">
        <v>2022</v>
      </c>
      <c r="B48" s="3202"/>
      <c r="C48" s="3202"/>
      <c r="D48" s="2548" t="b">
        <f>IF(H48="情况1",0,IF(H48="情况2",D52,IF(H48="情况3",D53,IF(H48="情况4",D54))))</f>
        <v>0</v>
      </c>
      <c r="E48" s="2558" t="str">
        <f>IF(H48="情况4","(销售额-原购置价)×税（费）率","销售额×税（费）率")</f>
        <v>销售额×税（费）率</v>
      </c>
      <c r="F48" s="2775">
        <f>IF(H48="情况1","免征",'数据-取费表'!B41)</f>
        <v>5.6500000000000002E-2</v>
      </c>
      <c r="G48" s="2776" t="s">
        <v>2023</v>
      </c>
      <c r="H48" s="2777"/>
      <c r="I48" s="1993"/>
      <c r="J48" s="2750">
        <v>3</v>
      </c>
      <c r="K48" s="3253" t="s">
        <v>2024</v>
      </c>
      <c r="L48" s="3253"/>
      <c r="M48" s="3275">
        <f ca="1">H101</f>
        <v>139851</v>
      </c>
      <c r="N48" s="3275"/>
      <c r="O48" s="3275"/>
    </row>
    <row r="49" spans="1:35" ht="25.5" customHeight="1">
      <c r="A49" s="2557" t="s">
        <v>2025</v>
      </c>
      <c r="B49" s="3186" t="s">
        <v>2026</v>
      </c>
      <c r="C49" s="3186"/>
      <c r="D49" s="1777">
        <v>0</v>
      </c>
      <c r="E49" s="330" t="s">
        <v>2027</v>
      </c>
      <c r="F49" s="2651" t="s">
        <v>34</v>
      </c>
      <c r="G49" s="3259"/>
      <c r="H49" s="2529" t="s">
        <v>2872</v>
      </c>
      <c r="I49" s="2530"/>
      <c r="J49" s="2750">
        <v>4</v>
      </c>
      <c r="K49" s="3253" t="str">
        <f>IF(项目基本情况!E8="房地产抵押价值","房地产抵押价值","抵押担保权已注销时的房地产抵押价值")</f>
        <v>抵押担保权已注销时的房地产抵押价值</v>
      </c>
      <c r="L49" s="3253"/>
      <c r="M49" s="3275" t="str">
        <f>IF(项目基本情况!E8="房地产抵押价值",H107,H109)</f>
        <v>——</v>
      </c>
      <c r="N49" s="3275"/>
      <c r="O49" s="3275"/>
    </row>
    <row r="50" spans="1:35" ht="25.5" customHeight="1">
      <c r="A50" s="2778"/>
      <c r="B50" s="3186" t="s">
        <v>2028</v>
      </c>
      <c r="C50" s="3186"/>
      <c r="D50" s="2779"/>
      <c r="E50" s="338"/>
      <c r="F50" s="2651"/>
      <c r="G50" s="3260"/>
      <c r="H50" s="2531" t="s">
        <v>2873</v>
      </c>
      <c r="I50" s="2530"/>
      <c r="J50" s="3272" t="s">
        <v>2029</v>
      </c>
      <c r="K50" s="3272"/>
      <c r="L50" s="3272"/>
      <c r="M50" s="3272"/>
      <c r="N50" s="3272"/>
      <c r="O50" s="3272"/>
    </row>
    <row r="51" spans="1:35" ht="20.45" customHeight="1">
      <c r="A51" s="2780"/>
      <c r="B51" s="3186" t="s">
        <v>2030</v>
      </c>
      <c r="C51" s="3186"/>
      <c r="D51" s="1247"/>
      <c r="E51" s="333"/>
      <c r="F51" s="2651"/>
      <c r="G51" s="3261"/>
      <c r="H51" s="2531" t="s">
        <v>2874</v>
      </c>
      <c r="I51" s="2530"/>
      <c r="J51" s="2751" t="s">
        <v>2031</v>
      </c>
      <c r="K51" s="3253" t="s">
        <v>2032</v>
      </c>
      <c r="L51" s="3253"/>
      <c r="M51" s="2751" t="s">
        <v>2033</v>
      </c>
      <c r="N51" s="2751" t="s">
        <v>2034</v>
      </c>
      <c r="O51" s="2751" t="s">
        <v>2035</v>
      </c>
    </row>
    <row r="52" spans="1:35" ht="24" customHeight="1">
      <c r="A52" s="2559" t="s">
        <v>2036</v>
      </c>
      <c r="B52" s="3186" t="s">
        <v>2037</v>
      </c>
      <c r="C52" s="3186"/>
      <c r="D52" s="1247">
        <f ca="1">ROUND(D45*'数据-取费表'!B41/(1+'数据-取费表'!C42),0)</f>
        <v>7525</v>
      </c>
      <c r="E52" s="2558" t="s">
        <v>2038</v>
      </c>
      <c r="F52" s="2781">
        <f>'数据-取费表'!B41</f>
        <v>5.6500000000000002E-2</v>
      </c>
      <c r="G52" s="2782"/>
      <c r="H52" s="2771"/>
      <c r="I52" s="1994"/>
      <c r="J52" s="2750">
        <v>1</v>
      </c>
      <c r="K52" s="3254" t="s">
        <v>2039</v>
      </c>
      <c r="L52" s="3254"/>
      <c r="M52" s="2752" t="b">
        <f>D48</f>
        <v>0</v>
      </c>
      <c r="N52" s="2750" t="str">
        <f>E48</f>
        <v>销售额×税（费）率</v>
      </c>
      <c r="O52" s="2753">
        <f>F48</f>
        <v>5.6500000000000002E-2</v>
      </c>
    </row>
    <row r="53" spans="1:35" ht="12" customHeight="1">
      <c r="A53" s="2559" t="s">
        <v>2040</v>
      </c>
      <c r="B53" s="3212" t="s">
        <v>3033</v>
      </c>
      <c r="C53" s="3213"/>
      <c r="D53" s="1247">
        <f ca="1">ROUND(D45*'数据-取费表'!B41/(1+'数据-取费表'!C42),0)</f>
        <v>7525</v>
      </c>
      <c r="E53" s="2558" t="s">
        <v>2038</v>
      </c>
      <c r="F53" s="2781">
        <f>'数据-取费表'!B41</f>
        <v>5.6500000000000002E-2</v>
      </c>
      <c r="G53" s="2782"/>
      <c r="H53" s="2771"/>
      <c r="I53" s="1994"/>
      <c r="J53" s="2750">
        <v>2</v>
      </c>
      <c r="K53" s="3254" t="s">
        <v>2041</v>
      </c>
      <c r="L53" s="3254"/>
      <c r="M53" s="2752">
        <f t="shared" ref="M53:O54" ca="1" si="0">D55</f>
        <v>70</v>
      </c>
      <c r="N53" s="2750" t="str">
        <f t="shared" si="0"/>
        <v>销售额×税（费）率</v>
      </c>
      <c r="O53" s="2753" t="str">
        <f t="shared" si="0"/>
        <v>免征</v>
      </c>
    </row>
    <row r="54" spans="1:35" ht="12" customHeight="1">
      <c r="A54" s="2559" t="s">
        <v>2042</v>
      </c>
      <c r="B54" s="3212" t="s">
        <v>3034</v>
      </c>
      <c r="C54" s="3213"/>
      <c r="D54" s="1247">
        <f ca="1">C68</f>
        <v>7525</v>
      </c>
      <c r="E54" s="333" t="s">
        <v>2043</v>
      </c>
      <c r="F54" s="2781">
        <f>'数据-取费表'!B41</f>
        <v>5.6500000000000002E-2</v>
      </c>
      <c r="G54" s="2782"/>
      <c r="H54" s="2783"/>
      <c r="I54" s="1994"/>
      <c r="J54" s="2750">
        <v>3</v>
      </c>
      <c r="K54" s="3254" t="s">
        <v>2044</v>
      </c>
      <c r="L54" s="3254"/>
      <c r="M54" s="2752">
        <f t="shared" ca="1" si="0"/>
        <v>79092</v>
      </c>
      <c r="N54" s="2750" t="str">
        <f t="shared" si="0"/>
        <v>增值额×税（费）率</v>
      </c>
      <c r="O54" s="2754" t="str">
        <f t="shared" si="0"/>
        <v>免征</v>
      </c>
    </row>
    <row r="55" spans="1:35" ht="24" customHeight="1">
      <c r="A55" s="3201" t="s">
        <v>2045</v>
      </c>
      <c r="B55" s="3202"/>
      <c r="C55" s="3202"/>
      <c r="D55" s="2548">
        <f ca="1">IF(H55="个人住宅",0,ROUND(D45*I55,0))</f>
        <v>70</v>
      </c>
      <c r="E55" s="2558" t="s">
        <v>2046</v>
      </c>
      <c r="F55" s="2781" t="str">
        <f>IF(H55="正常",I55,"免征")</f>
        <v>免征</v>
      </c>
      <c r="G55" s="2782"/>
      <c r="H55" s="2777"/>
      <c r="I55" s="170">
        <f>'数据-取费表'!B49</f>
        <v>5.0000000000000001E-4</v>
      </c>
      <c r="J55" s="2750">
        <f>IF(H59="非个人房产","",4)</f>
        <v>4</v>
      </c>
      <c r="K55" s="3254" t="str">
        <f>IF(H59="非个人房产","——","个人所得税")</f>
        <v>个人所得税</v>
      </c>
      <c r="L55" s="3254"/>
      <c r="M55" s="2755">
        <f ca="1">D59</f>
        <v>1332</v>
      </c>
      <c r="N55" s="2229" t="str">
        <f>E59</f>
        <v>差额计税</v>
      </c>
      <c r="O55" s="2756">
        <f>F59</f>
        <v>0.01</v>
      </c>
    </row>
    <row r="56" spans="1:35" ht="24.75">
      <c r="A56" s="3201" t="s">
        <v>2047</v>
      </c>
      <c r="B56" s="3202"/>
      <c r="C56" s="3202"/>
      <c r="D56" s="2548">
        <f ca="1">IF(H56="个人住宅",D57,D58)</f>
        <v>79092</v>
      </c>
      <c r="E56" s="2558" t="s">
        <v>2048</v>
      </c>
      <c r="F56" s="2781" t="str">
        <f>IF(H56="正常",F58,"免征")</f>
        <v>免征</v>
      </c>
      <c r="G56" s="2784" t="s">
        <v>2049</v>
      </c>
      <c r="H56" s="2785"/>
      <c r="I56" s="1995"/>
      <c r="J56" s="2750" t="str">
        <f>IF(项目基本情况!K6="上海银行",IF(J55="",4,J55+1),"")</f>
        <v/>
      </c>
      <c r="K56" s="3277" t="str">
        <f>IF(项目基本情况!K6="上海银行","其他处置费用","")</f>
        <v/>
      </c>
      <c r="L56" s="3278"/>
      <c r="M56" s="2752" t="str">
        <f>IF(项目基本情况!K6="上海银行",M69,"")</f>
        <v/>
      </c>
      <c r="N56" s="3277" t="str">
        <f>IF(项目基本情况!K6="上海银行","包含处置中涉及的律师、诉讼、拍卖、评估等费用","")</f>
        <v/>
      </c>
      <c r="O56" s="3280"/>
    </row>
    <row r="57" spans="1:35" ht="12.75">
      <c r="A57" s="2559" t="s">
        <v>2025</v>
      </c>
      <c r="B57" s="3212" t="s">
        <v>2050</v>
      </c>
      <c r="C57" s="3213"/>
      <c r="D57" s="1777">
        <v>0</v>
      </c>
      <c r="E57" s="330" t="s">
        <v>2027</v>
      </c>
      <c r="F57" s="308"/>
      <c r="G57" s="2782"/>
      <c r="H57" s="2786"/>
      <c r="I57" s="1995"/>
      <c r="J57" s="3254">
        <f>IF(AND(J55="",J56=""),4,IF(项目基本情况!K6="上海银行",结果表!J56+1,结果表!J55+1))</f>
        <v>5</v>
      </c>
      <c r="K57" s="3254" t="s">
        <v>2051</v>
      </c>
      <c r="L57" s="2757" t="s">
        <v>2052</v>
      </c>
      <c r="M57" s="2758"/>
      <c r="N57" s="2759">
        <f ca="1">SUMIF(M52:M56,"&lt;9e307")</f>
        <v>80494</v>
      </c>
      <c r="O57" s="2760"/>
      <c r="P57" s="2920" t="e">
        <f ca="1">N57/M49</f>
        <v>#VALUE!</v>
      </c>
    </row>
    <row r="58" spans="1:35" ht="24.75">
      <c r="A58" s="2559" t="s">
        <v>2036</v>
      </c>
      <c r="B58" s="3212" t="s">
        <v>2053</v>
      </c>
      <c r="C58" s="3186"/>
      <c r="D58" s="2548">
        <f ca="1">IF(H58="转让取得",C81,C97)</f>
        <v>79092</v>
      </c>
      <c r="E58" s="2558" t="s">
        <v>2048</v>
      </c>
      <c r="F58" s="308" t="s">
        <v>34</v>
      </c>
      <c r="G58" s="2782"/>
      <c r="H58" s="2785"/>
      <c r="I58" s="1995"/>
      <c r="J58" s="3254"/>
      <c r="K58" s="3254"/>
      <c r="L58" s="2757" t="s">
        <v>2054</v>
      </c>
      <c r="M58" s="2761"/>
      <c r="N58" s="2762" t="str">
        <f ca="1">NUMBERSTRING(INT(N57*10000),2)&amp;"元整"</f>
        <v>捌亿零肆佰玖拾肆万元整</v>
      </c>
      <c r="O58" s="2763"/>
    </row>
    <row r="59" spans="1:35" ht="24.75" thickBot="1">
      <c r="A59" s="3257" t="s">
        <v>2055</v>
      </c>
      <c r="B59" s="3258"/>
      <c r="C59" s="3258"/>
      <c r="D59" s="2787">
        <f ca="1">IF(H59="非个人房产","——",IF(H59="个人住宅（满五唯一有凭证）",0,IF(H59="个人其他（无凭证）",ROUND(D45*F59,0),ROUND(C67*F59,0))))</f>
        <v>1332</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2049</v>
      </c>
      <c r="H59" s="2533"/>
      <c r="I59" s="2532" t="s">
        <v>2875</v>
      </c>
      <c r="J59" s="3255">
        <f>J57+1</f>
        <v>6</v>
      </c>
      <c r="K59" s="3254" t="s">
        <v>2056</v>
      </c>
      <c r="L59" s="2750" t="s">
        <v>2052</v>
      </c>
      <c r="M59" s="2764"/>
      <c r="N59" s="2765" t="e">
        <f ca="1">M49-N57</f>
        <v>#VALUE!</v>
      </c>
      <c r="O59" s="2766"/>
    </row>
    <row r="60" spans="1:35" ht="12" customHeight="1">
      <c r="A60" s="1996"/>
      <c r="B60" s="1934"/>
      <c r="C60" s="1934"/>
      <c r="D60" s="1934"/>
      <c r="E60" s="1765"/>
      <c r="F60" s="1995"/>
      <c r="G60" s="1995"/>
      <c r="H60" s="1997"/>
      <c r="I60" s="134"/>
      <c r="J60" s="3256"/>
      <c r="K60" s="3254"/>
      <c r="L60" s="2757" t="s">
        <v>2054</v>
      </c>
      <c r="M60" s="2761"/>
      <c r="N60" s="2762" t="e">
        <f ca="1">NUMBERSTRING(INT(N59*10000),2)&amp;"元整"</f>
        <v>#VALUE!</v>
      </c>
      <c r="O60" s="2763"/>
    </row>
    <row r="61" spans="1:35" ht="13.5" thickBot="1">
      <c r="A61" s="3199" t="s">
        <v>2057</v>
      </c>
      <c r="B61" s="3199"/>
      <c r="C61" s="3199"/>
      <c r="D61" s="3199"/>
      <c r="E61" s="3199"/>
      <c r="F61" s="1995"/>
      <c r="G61" s="1995"/>
      <c r="H61" s="1997"/>
      <c r="I61" s="134"/>
      <c r="J61" s="2750">
        <f>J59+1</f>
        <v>7</v>
      </c>
      <c r="K61" s="3254" t="s">
        <v>2058</v>
      </c>
      <c r="L61" s="3254"/>
      <c r="M61" s="2767"/>
      <c r="N61" s="2768" t="e">
        <f ca="1">ROUND(N59*10000/'数据-汇总表'!E3,0)</f>
        <v>#VALUE!</v>
      </c>
      <c r="O61" s="2769"/>
    </row>
    <row r="62" spans="1:35" ht="12.75">
      <c r="A62" s="3217" t="s">
        <v>2059</v>
      </c>
      <c r="B62" s="3218"/>
      <c r="C62" s="2210"/>
      <c r="D62" s="2210" t="s">
        <v>2060</v>
      </c>
      <c r="E62" s="171" t="s">
        <v>2061</v>
      </c>
      <c r="F62" s="1995"/>
      <c r="G62" s="1995"/>
      <c r="H62" s="1997"/>
      <c r="I62" s="134"/>
    </row>
    <row r="63" spans="1:35" ht="12.75">
      <c r="A63" s="178" t="s">
        <v>775</v>
      </c>
      <c r="B63" s="172" t="s">
        <v>2062</v>
      </c>
      <c r="C63" s="2791">
        <f ca="1">ROUND((C64+C65)/(1+'数据-取费表'!C42),0)</f>
        <v>133191</v>
      </c>
      <c r="D63" s="172"/>
      <c r="E63" s="173"/>
      <c r="F63" s="1995"/>
      <c r="G63" s="1995"/>
      <c r="H63" s="1997"/>
      <c r="I63" s="134"/>
      <c r="J63" s="3279" t="s">
        <v>2063</v>
      </c>
      <c r="K63" s="1503" t="s">
        <v>2064</v>
      </c>
      <c r="L63" s="1503" t="e">
        <f>IF(M49&gt;10000,M49*0.5%,IF(AND(M49&gt;1000,M49&lt;=10000),M49*1%,IF(AND(M49&gt;100,M49&lt;=1000),M49*3%,IF(AND(M49&gt;10,M49&lt;=100),M49*5%,M49*8%))))</f>
        <v>#VALUE!</v>
      </c>
      <c r="M63" s="308" t="e">
        <f>ROUND(L63,1)</f>
        <v>#VALUE!</v>
      </c>
      <c r="N63" s="2770"/>
      <c r="Z63" s="1939"/>
      <c r="AI63" s="1940"/>
    </row>
    <row r="64" spans="1:35" ht="14.25" customHeight="1">
      <c r="A64" s="174" t="s">
        <v>770</v>
      </c>
      <c r="B64" s="175" t="s">
        <v>2065</v>
      </c>
      <c r="C64" s="2792">
        <f ca="1">D45</f>
        <v>139851</v>
      </c>
      <c r="D64" s="175" t="s">
        <v>32</v>
      </c>
      <c r="E64" s="177"/>
      <c r="F64" s="1995"/>
      <c r="G64" s="1995"/>
      <c r="H64" s="1997"/>
      <c r="I64" s="134"/>
      <c r="J64" s="3279"/>
      <c r="K64" s="1503" t="s">
        <v>2066</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1" t="s">
        <v>2067</v>
      </c>
      <c r="Z64" s="1939"/>
      <c r="AI64" s="1940"/>
    </row>
    <row r="65" spans="1:35" ht="14.25" customHeight="1">
      <c r="A65" s="174" t="s">
        <v>771</v>
      </c>
      <c r="B65" s="175" t="s">
        <v>2068</v>
      </c>
      <c r="C65" s="2793"/>
      <c r="D65" s="175"/>
      <c r="E65" s="177"/>
      <c r="F65" s="1995"/>
      <c r="G65" s="1995"/>
      <c r="H65" s="1997"/>
      <c r="I65" s="134"/>
      <c r="J65" s="3279"/>
      <c r="K65" s="1503" t="s">
        <v>2069</v>
      </c>
      <c r="L65" s="1503" t="e">
        <f>IF(M49&gt;1000,M49*0.1%,IF(AND(M49&gt;500,M49&lt;=1000),M49*0.5%,IF(AND(M49&gt;50,M49&lt;=500),M49*1%,IF(AND(M49&gt;1,M49&lt;=50),M49*1.5%))))</f>
        <v>#VALUE!</v>
      </c>
      <c r="M65" s="308" t="e">
        <f t="shared" si="1"/>
        <v>#VALUE!</v>
      </c>
      <c r="N65" s="2771" t="s">
        <v>2067</v>
      </c>
      <c r="Z65" s="1939"/>
      <c r="AI65" s="1940"/>
    </row>
    <row r="66" spans="1:35" ht="14.25" customHeight="1">
      <c r="A66" s="178" t="s">
        <v>772</v>
      </c>
      <c r="B66" s="179" t="s">
        <v>2070</v>
      </c>
      <c r="C66" s="2794"/>
      <c r="D66" s="179" t="s">
        <v>32</v>
      </c>
      <c r="E66" s="1511" t="s">
        <v>1337</v>
      </c>
      <c r="F66" s="1995"/>
      <c r="G66" s="1995"/>
      <c r="H66" s="1997"/>
      <c r="I66" s="134"/>
      <c r="J66" s="3279"/>
      <c r="K66" s="1503" t="s">
        <v>2071</v>
      </c>
      <c r="L66" s="1503" t="e">
        <f>M49*0.5%</f>
        <v>#VALUE!</v>
      </c>
      <c r="M66" s="308" t="e">
        <f>IF(L66&gt;0.5,0.5,ROUND(L66,0))</f>
        <v>#VALUE!</v>
      </c>
      <c r="N66" s="2771" t="s">
        <v>2072</v>
      </c>
      <c r="Z66" s="1939"/>
      <c r="AI66" s="1940"/>
    </row>
    <row r="67" spans="1:35" ht="14.25" customHeight="1">
      <c r="A67" s="178" t="s">
        <v>773</v>
      </c>
      <c r="B67" s="179" t="s">
        <v>2073</v>
      </c>
      <c r="C67" s="2795">
        <f ca="1">C63-C66</f>
        <v>133191</v>
      </c>
      <c r="D67" s="175" t="s">
        <v>32</v>
      </c>
      <c r="E67" s="177"/>
      <c r="F67" s="1995"/>
      <c r="G67" s="1995"/>
      <c r="H67" s="1997"/>
      <c r="I67" s="134"/>
      <c r="J67" s="3279"/>
      <c r="K67" s="1503" t="s">
        <v>2074</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0"/>
      <c r="Z67" s="1939"/>
      <c r="AI67" s="1940"/>
    </row>
    <row r="68" spans="1:35" ht="14.25" customHeight="1" thickBot="1">
      <c r="A68" s="181" t="s">
        <v>774</v>
      </c>
      <c r="B68" s="182" t="s">
        <v>2075</v>
      </c>
      <c r="C68" s="2796">
        <f ca="1">IF(C67&lt;=0,0,ROUND(C67*D68,0))</f>
        <v>7525</v>
      </c>
      <c r="D68" s="2797">
        <f>'数据-取费表'!B41</f>
        <v>5.6500000000000002E-2</v>
      </c>
      <c r="E68" s="184"/>
      <c r="F68" s="1995"/>
      <c r="G68" s="1995"/>
      <c r="H68" s="1997"/>
      <c r="I68" s="134"/>
      <c r="J68" s="3279"/>
      <c r="K68" s="1503" t="s">
        <v>2076</v>
      </c>
      <c r="L68" s="1503" t="e">
        <f>IF(M49&gt;10000,M49*0.5%,IF(AND(M49&gt;5000,M49&lt;=10000),M49*1%,IF(AND(M49&gt;1000,M49&lt;=5000),M49*2%,IF(AND(M49&gt;200,M49&lt;=1000),M49*3%,M49*5%))))</f>
        <v>#VALUE!</v>
      </c>
      <c r="M68" s="308" t="e">
        <f>ROUND(L68,1)</f>
        <v>#VALUE!</v>
      </c>
      <c r="N68" s="2770"/>
      <c r="Z68" s="1939"/>
      <c r="AI68" s="1940"/>
    </row>
    <row r="69" spans="1:35" s="1959" customFormat="1" ht="16.5" customHeight="1">
      <c r="A69" s="1998"/>
      <c r="B69" s="1999"/>
      <c r="C69" s="2000"/>
      <c r="D69" s="2001"/>
      <c r="E69" s="2002"/>
      <c r="F69" s="1765"/>
      <c r="G69" s="1765"/>
      <c r="H69" s="1764"/>
      <c r="I69" s="1934"/>
      <c r="J69" s="3279"/>
      <c r="K69" s="1503" t="s">
        <v>2077</v>
      </c>
      <c r="L69" s="1503"/>
      <c r="M69" s="308" t="e">
        <f>ROUND(SUM(M63:M68),0)</f>
        <v>#VALUE!</v>
      </c>
      <c r="N69" s="2772" t="e">
        <f>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8" t="s">
        <v>2078</v>
      </c>
      <c r="B70" s="3239"/>
      <c r="C70" s="3239"/>
      <c r="D70" s="3239"/>
      <c r="E70" s="3239"/>
      <c r="F70" s="3239"/>
      <c r="G70" s="3239"/>
      <c r="H70" s="3239"/>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17" t="s">
        <v>2059</v>
      </c>
      <c r="B71" s="3218"/>
      <c r="C71" s="2210"/>
      <c r="D71" s="2210" t="s">
        <v>2060</v>
      </c>
      <c r="E71" s="185" t="s">
        <v>2061</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2079</v>
      </c>
      <c r="C72" s="2795">
        <f ca="1">ROUND(D45/(1+'数据-取费表'!C42),0)</f>
        <v>133191</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2080</v>
      </c>
      <c r="C73" s="2795">
        <f ca="1">C74+C78</f>
        <v>866</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2081</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2082</v>
      </c>
      <c r="C75" s="2798"/>
      <c r="D75" s="175" t="s">
        <v>32</v>
      </c>
      <c r="E75" s="190" t="s">
        <v>2083</v>
      </c>
      <c r="F75" s="2799"/>
      <c r="G75" s="190" t="s">
        <v>2084</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2085</v>
      </c>
      <c r="C76" s="175">
        <f>IF(F75="购房发票",ROUND(C75*H75*D76,0),0)</f>
        <v>0</v>
      </c>
      <c r="D76" s="2801">
        <v>0.05</v>
      </c>
      <c r="E76" s="3212" t="s">
        <v>2086</v>
      </c>
      <c r="F76" s="3186"/>
      <c r="G76" s="3186"/>
      <c r="H76" s="3237"/>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2087</v>
      </c>
      <c r="C77" s="175">
        <f>ROUND(IF(G77="个人住宅",0,IF(G77="2016年5月1日前购买",C75*D77,C75*D77/(1+'数据-取费表'!C42))),0)</f>
        <v>0</v>
      </c>
      <c r="D77" s="2802">
        <f>'数据-取费表'!B48+'数据-取费表'!B49</f>
        <v>3.0499999999999999E-2</v>
      </c>
      <c r="E77" s="2548" t="s">
        <v>2088</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2089</v>
      </c>
      <c r="C78" s="2803">
        <f ca="1">ROUND(D45*D78/(1+'数据-取费表'!C42),0)</f>
        <v>866</v>
      </c>
      <c r="D78" s="2804">
        <f>'数据-取费表'!B43</f>
        <v>6.5000000000000006E-3</v>
      </c>
      <c r="E78" s="3196" t="s">
        <v>2090</v>
      </c>
      <c r="F78" s="3197"/>
      <c r="G78" s="3197"/>
      <c r="H78" s="3206"/>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2091</v>
      </c>
      <c r="C79" s="2795">
        <f ca="1">C72-C73</f>
        <v>132325</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2092</v>
      </c>
      <c r="C80" s="2805">
        <f ca="1">IF(C79&lt;=0,0,C79/C73)</f>
        <v>152.80023094688221</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2093</v>
      </c>
      <c r="C81" s="2806">
        <f ca="1">ROUND(IF(C79&lt;=0,0,IF(C80&gt;=200%,C79*60%-C73*35%,IF(C80&gt;=100%,C79*50%-C73*15%,IF(C80&gt;=50%,C79*40%-C73*5%,IF(C80&lt;50%,C79*30%,0))))),0)</f>
        <v>79092</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8" t="s">
        <v>2094</v>
      </c>
      <c r="B83" s="3239"/>
      <c r="C83" s="3239"/>
      <c r="D83" s="3239"/>
      <c r="E83" s="3239"/>
      <c r="F83" s="3239"/>
      <c r="G83" s="3239"/>
      <c r="H83" s="3239"/>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17" t="s">
        <v>2059</v>
      </c>
      <c r="B84" s="3218"/>
      <c r="C84" s="2210"/>
      <c r="D84" s="2210" t="s">
        <v>2060</v>
      </c>
      <c r="E84" s="185" t="s">
        <v>2061</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2079</v>
      </c>
      <c r="C85" s="2795">
        <f ca="1">ROUND(D45/(1+'数据-取费表'!C42),0)</f>
        <v>133191</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2080</v>
      </c>
      <c r="C86" s="2795">
        <f ca="1">IF(H88="仅含出让金",C87+C90+C91+C92+C93+C94,C87+C91+C92+C93+C94)</f>
        <v>866</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2095</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2096</v>
      </c>
      <c r="C88" s="2809"/>
      <c r="D88" s="2804"/>
      <c r="E88" s="199" t="s">
        <v>2097</v>
      </c>
      <c r="F88" s="2551"/>
      <c r="G88" s="200" t="s">
        <v>2098</v>
      </c>
      <c r="H88" s="2011"/>
      <c r="I88" s="2008"/>
      <c r="J88" s="2748" t="s">
        <v>3030</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2087</v>
      </c>
      <c r="C89" s="2803">
        <f>ROUND(C88*D89,0)</f>
        <v>0</v>
      </c>
      <c r="D89" s="2804">
        <f>'数据-取费表'!B48+'数据-取费表'!B49</f>
        <v>3.0499999999999999E-2</v>
      </c>
      <c r="E89" s="199" t="s">
        <v>2099</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2100</v>
      </c>
      <c r="C90" s="2809"/>
      <c r="D90" s="2804"/>
      <c r="E90" s="199" t="str">
        <f>IF(H88="-","土地取得成本中已包含该笔费用"," ")</f>
        <v xml:space="preserve"> </v>
      </c>
      <c r="F90" s="2551"/>
      <c r="G90" s="3281" t="s">
        <v>2867</v>
      </c>
      <c r="H90" s="3282"/>
      <c r="I90" s="2008"/>
      <c r="J90" s="2748" t="s">
        <v>3031</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2101</v>
      </c>
      <c r="B91" s="175" t="s">
        <v>2102</v>
      </c>
      <c r="C91" s="2803">
        <f>IF(H91="——",成本法!C33,I91)</f>
        <v>0</v>
      </c>
      <c r="D91" s="2804"/>
      <c r="E91" s="3196" t="s">
        <v>2103</v>
      </c>
      <c r="F91" s="3197"/>
      <c r="G91" s="3197"/>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2104</v>
      </c>
      <c r="B92" s="175" t="s">
        <v>2105</v>
      </c>
      <c r="C92" s="2803">
        <f>ROUND((C87+C90+C91)*D92,0)</f>
        <v>0</v>
      </c>
      <c r="D92" s="2810"/>
      <c r="E92" s="3196" t="s">
        <v>2106</v>
      </c>
      <c r="F92" s="3197"/>
      <c r="G92" s="3197"/>
      <c r="H92" s="3206"/>
      <c r="I92" s="2008"/>
      <c r="J92" s="2749" t="s">
        <v>3032</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2107</v>
      </c>
      <c r="B93" s="175" t="s">
        <v>2089</v>
      </c>
      <c r="C93" s="2803">
        <f ca="1">ROUND(D45*D93/(1+'数据-取费表'!C42),0)</f>
        <v>866</v>
      </c>
      <c r="D93" s="2804">
        <f>'数据-取费表'!B43</f>
        <v>6.5000000000000006E-3</v>
      </c>
      <c r="E93" s="3196" t="s">
        <v>2090</v>
      </c>
      <c r="F93" s="3197"/>
      <c r="G93" s="3197"/>
      <c r="H93" s="3206"/>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2108</v>
      </c>
      <c r="B94" s="175" t="s">
        <v>2109</v>
      </c>
      <c r="C94" s="2809">
        <f>ROUND((C87+C90+C91)*D94,0)</f>
        <v>0</v>
      </c>
      <c r="D94" s="2804">
        <v>0.2</v>
      </c>
      <c r="E94" s="3207" t="s">
        <v>2110</v>
      </c>
      <c r="F94" s="3208"/>
      <c r="G94" s="3208"/>
      <c r="H94" s="3209"/>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2091</v>
      </c>
      <c r="C95" s="2795">
        <f ca="1">ROUND(C85-C86,0)</f>
        <v>132325</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2092</v>
      </c>
      <c r="C96" s="2805">
        <f ca="1">IF(C95&lt;=0,0,C95/C86)</f>
        <v>152.80023094688221</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2093</v>
      </c>
      <c r="C97" s="2806">
        <f ca="1">ROUND(IF(C95&lt;=0,0,IF(C96&gt;=200%,C95*60%-C86*35%,IF(C96&gt;=100%,C95*50%-C86*15%,IF(C96&gt;=50%,C95*40%-C86*5%,IF(C96&lt;50%,C95*30%,0))))),0)</f>
        <v>79092</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2111</v>
      </c>
      <c r="B99" s="1934"/>
      <c r="C99" s="1934"/>
      <c r="D99" s="1934"/>
      <c r="E99" s="1765"/>
      <c r="F99" s="1765"/>
      <c r="G99" s="1765"/>
      <c r="H99" s="1764"/>
      <c r="I99" s="134"/>
    </row>
    <row r="100" spans="1:35" ht="18.75" customHeight="1">
      <c r="A100" s="3180" t="s">
        <v>2112</v>
      </c>
      <c r="B100" s="3181"/>
      <c r="C100" s="3181"/>
      <c r="D100" s="3198"/>
      <c r="E100" s="3181" t="s">
        <v>2113</v>
      </c>
      <c r="F100" s="3181"/>
      <c r="G100" s="3181"/>
      <c r="H100" s="3198"/>
      <c r="I100" s="134"/>
    </row>
    <row r="101" spans="1:35" ht="18.75" customHeight="1">
      <c r="A101" s="3262" t="s">
        <v>2114</v>
      </c>
      <c r="B101" s="3263"/>
      <c r="C101" s="2812" t="str">
        <f>C4</f>
        <v>成本法</v>
      </c>
      <c r="D101" s="2813" t="str">
        <f>D4</f>
        <v>假设开发法</v>
      </c>
      <c r="E101" s="3276" t="s">
        <v>2115</v>
      </c>
      <c r="F101" s="3230"/>
      <c r="G101" s="2014" t="s">
        <v>2116</v>
      </c>
      <c r="H101" s="2822">
        <f ca="1">H118</f>
        <v>139851</v>
      </c>
      <c r="I101" s="134"/>
    </row>
    <row r="102" spans="1:35" ht="18.75" customHeight="1">
      <c r="A102" s="3232" t="s">
        <v>2117</v>
      </c>
      <c r="B102" s="2811" t="s">
        <v>2116</v>
      </c>
      <c r="C102" s="2812">
        <f ca="1">C19</f>
        <v>149862</v>
      </c>
      <c r="D102" s="2813">
        <f ca="1">D19</f>
        <v>129840</v>
      </c>
      <c r="E102" s="3276"/>
      <c r="F102" s="3230"/>
      <c r="G102" s="2014" t="s">
        <v>2118</v>
      </c>
      <c r="H102" s="2782">
        <f ca="1">I118</f>
        <v>12980</v>
      </c>
      <c r="I102" s="134"/>
    </row>
    <row r="103" spans="1:35" ht="42.75" customHeight="1">
      <c r="A103" s="3232"/>
      <c r="B103" s="2811" t="s">
        <v>2118</v>
      </c>
      <c r="C103" s="2814">
        <f ca="1">C20</f>
        <v>13909</v>
      </c>
      <c r="D103" s="2815">
        <f ca="1">D20</f>
        <v>12050</v>
      </c>
      <c r="E103" s="3270" t="s">
        <v>2119</v>
      </c>
      <c r="F103" s="3271"/>
      <c r="G103" s="2015" t="s">
        <v>2120</v>
      </c>
      <c r="H103" s="2822">
        <f>IF(D36="正常操作",H104+H105+H106,H105+H106)</f>
        <v>0</v>
      </c>
      <c r="I103" s="134"/>
    </row>
    <row r="104" spans="1:35" ht="18.75" customHeight="1">
      <c r="A104" s="3232" t="s">
        <v>2121</v>
      </c>
      <c r="B104" s="2816" t="s">
        <v>2116</v>
      </c>
      <c r="C104" s="2817">
        <f ca="1">H118</f>
        <v>139851</v>
      </c>
      <c r="D104" s="2818"/>
      <c r="E104" s="1861" t="s">
        <v>2122</v>
      </c>
      <c r="F104" s="1853"/>
      <c r="G104" s="2015" t="s">
        <v>2120</v>
      </c>
      <c r="H104" s="2823">
        <f>IF(D36="同一抵押权人同一抵押物续贷",C36&amp;"（续贷，未扣减，详见特别提示）",C36)</f>
        <v>0</v>
      </c>
      <c r="I104" s="134"/>
    </row>
    <row r="105" spans="1:35" ht="18.75" customHeight="1" thickBot="1">
      <c r="A105" s="3233"/>
      <c r="B105" s="2819" t="s">
        <v>2118</v>
      </c>
      <c r="C105" s="2820">
        <f ca="1">I118</f>
        <v>12980</v>
      </c>
      <c r="D105" s="2821"/>
      <c r="E105" s="1861" t="s">
        <v>2123</v>
      </c>
      <c r="F105" s="1853"/>
      <c r="G105" s="2015" t="s">
        <v>2120</v>
      </c>
      <c r="H105" s="2824">
        <f>C37</f>
        <v>0</v>
      </c>
      <c r="I105" s="134"/>
    </row>
    <row r="106" spans="1:35" ht="18.75" customHeight="1">
      <c r="A106" s="1934" t="s">
        <v>2124</v>
      </c>
      <c r="B106" s="1934"/>
      <c r="C106" s="1934"/>
      <c r="D106" s="1934"/>
      <c r="E106" s="2016" t="s">
        <v>2125</v>
      </c>
      <c r="F106" s="1853"/>
      <c r="G106" s="2015" t="s">
        <v>2120</v>
      </c>
      <c r="H106" s="2824">
        <f>C38</f>
        <v>0</v>
      </c>
      <c r="I106" s="134"/>
    </row>
    <row r="107" spans="1:35" ht="18.75" customHeight="1">
      <c r="A107" s="134"/>
      <c r="B107" s="134"/>
      <c r="C107" s="134"/>
      <c r="D107" s="134"/>
      <c r="E107" s="3229" t="str">
        <f>IF(项目基本情况!E8="已注销","——","3.房地产抵押价值")</f>
        <v>3.房地产抵押价值</v>
      </c>
      <c r="F107" s="3230"/>
      <c r="G107" s="2014" t="s">
        <v>2116</v>
      </c>
      <c r="H107" s="2822">
        <f ca="1">IF(E107="——","——",H101-H103)</f>
        <v>139851</v>
      </c>
      <c r="I107" s="134"/>
    </row>
    <row r="108" spans="1:35" ht="18.75" customHeight="1">
      <c r="A108" s="134"/>
      <c r="B108" s="134"/>
      <c r="C108" s="134"/>
      <c r="D108" s="134"/>
      <c r="E108" s="3229"/>
      <c r="F108" s="3230"/>
      <c r="G108" s="2014" t="s">
        <v>2118</v>
      </c>
      <c r="H108" s="2782">
        <f ca="1">ROUND(H107*10000/'数据-汇总表'!E3,0)</f>
        <v>12980</v>
      </c>
      <c r="I108" s="134"/>
    </row>
    <row r="109" spans="1:35" ht="18.75" customHeight="1">
      <c r="A109" s="134"/>
      <c r="B109" s="134"/>
      <c r="C109" s="134"/>
      <c r="D109" s="134"/>
      <c r="E109" s="3229" t="str">
        <f>IF(项目基本情况!E8="已注销及未注销","4.抵押担保权已注销时的房地产抵押价值",IF(项目基本情况!E8="已注销","3.抵押担保权已注销时的房地产抵押价值","——"))</f>
        <v>——</v>
      </c>
      <c r="F109" s="3230"/>
      <c r="G109" s="2014" t="s">
        <v>2116</v>
      </c>
      <c r="H109" s="2825" t="str">
        <f>IF(E109="——","——",H101-H105-H106)</f>
        <v>——</v>
      </c>
      <c r="I109" s="134"/>
    </row>
    <row r="110" spans="1:35" ht="18.75" customHeight="1">
      <c r="A110" s="134"/>
      <c r="B110" s="134"/>
      <c r="C110" s="134"/>
      <c r="D110" s="134"/>
      <c r="E110" s="3229"/>
      <c r="F110" s="3230"/>
      <c r="G110" s="2014" t="s">
        <v>2118</v>
      </c>
      <c r="H110" s="2782" t="str">
        <f>IF(H109="——","——",ROUND(H109*10000/'数据-汇总表'!E3,0))</f>
        <v>——</v>
      </c>
      <c r="I110" s="134"/>
    </row>
    <row r="111" spans="1:35" ht="18.75" customHeight="1">
      <c r="A111" s="134"/>
      <c r="B111" s="134"/>
      <c r="C111" s="134"/>
      <c r="D111" s="134"/>
      <c r="E111" s="3264" t="str">
        <f>IF(项目基本情况!E9="抵押净值",IF(OR(项目基本情况!E8="已注销",项目基本情况!E8="房地产抵押价值"),"4.抵押净值","5.抵押净值"),"——")</f>
        <v>——</v>
      </c>
      <c r="F111" s="3231"/>
      <c r="G111" s="2014" t="s">
        <v>2116</v>
      </c>
      <c r="H111" s="2822" t="str">
        <f>IF(E111="——","——",N59)</f>
        <v>——</v>
      </c>
      <c r="I111" s="134"/>
    </row>
    <row r="112" spans="1:35" ht="18.75" customHeight="1" thickBot="1">
      <c r="A112" s="134"/>
      <c r="B112" s="134"/>
      <c r="C112" s="134"/>
      <c r="D112" s="134"/>
      <c r="E112" s="3265"/>
      <c r="F112" s="3266"/>
      <c r="G112" s="2017" t="s">
        <v>2118</v>
      </c>
      <c r="H112" s="2826" t="str">
        <f>IF(E111="——","——",N61)</f>
        <v>——</v>
      </c>
      <c r="I112" s="134"/>
    </row>
    <row r="113" spans="1:27" ht="18.75" customHeight="1">
      <c r="A113" s="134"/>
      <c r="B113" s="134"/>
      <c r="C113" s="134"/>
      <c r="D113" s="134"/>
      <c r="E113" s="3234" t="s">
        <v>2124</v>
      </c>
      <c r="F113" s="3234"/>
      <c r="G113" s="3234"/>
      <c r="H113" s="3234"/>
      <c r="I113" s="134"/>
    </row>
    <row r="114" spans="1:27" ht="3.75" customHeight="1">
      <c r="A114" s="1934"/>
      <c r="B114" s="1934"/>
      <c r="C114" s="1934"/>
      <c r="D114" s="1934"/>
      <c r="E114" s="1996"/>
      <c r="F114" s="1996"/>
      <c r="G114" s="1996"/>
      <c r="H114" s="1996"/>
      <c r="I114" s="1934"/>
    </row>
    <row r="115" spans="1:27" ht="18.75" customHeight="1">
      <c r="A115" s="3247" t="s">
        <v>2126</v>
      </c>
      <c r="B115" s="3248"/>
      <c r="C115" s="3248"/>
      <c r="D115" s="3248"/>
      <c r="E115" s="3248"/>
      <c r="F115" s="3248"/>
      <c r="G115" s="3248"/>
      <c r="H115" s="3248"/>
      <c r="I115" s="3249"/>
    </row>
    <row r="116" spans="1:27" ht="27" customHeight="1">
      <c r="A116" s="3200" t="s">
        <v>2127</v>
      </c>
      <c r="B116" s="3235" t="s">
        <v>2128</v>
      </c>
      <c r="C116" s="3235" t="s">
        <v>2129</v>
      </c>
      <c r="D116" s="3251" t="s">
        <v>2130</v>
      </c>
      <c r="E116" s="3252"/>
      <c r="F116" s="3243" t="s">
        <v>2131</v>
      </c>
      <c r="G116" s="3243"/>
      <c r="H116" s="3200" t="s">
        <v>2132</v>
      </c>
      <c r="I116" s="3200"/>
    </row>
    <row r="117" spans="1:27" ht="18.75" customHeight="1">
      <c r="A117" s="3200"/>
      <c r="B117" s="3236"/>
      <c r="C117" s="3236"/>
      <c r="D117" s="2553" t="s">
        <v>2133</v>
      </c>
      <c r="E117" s="2553" t="s">
        <v>2134</v>
      </c>
      <c r="F117" s="2553" t="s">
        <v>2133</v>
      </c>
      <c r="G117" s="2553" t="s">
        <v>2135</v>
      </c>
      <c r="H117" s="2553" t="s">
        <v>2133</v>
      </c>
      <c r="I117" s="2553" t="s">
        <v>2135</v>
      </c>
    </row>
    <row r="118" spans="1:27" ht="24.75" customHeight="1">
      <c r="A118" s="2827" t="str">
        <f>项目基本情况!S2</f>
        <v>房地产</v>
      </c>
      <c r="B118" s="2553">
        <f>M18</f>
        <v>107747.01000000001</v>
      </c>
      <c r="C118" s="2553">
        <f>M19</f>
        <v>33243.519999999997</v>
      </c>
      <c r="D118" s="2553">
        <f ca="1">ROUND(IF(D32="总价",C34,E118*B118/10000),0)</f>
        <v>112300</v>
      </c>
      <c r="E118" s="2553">
        <f ca="1">ROUND(IF(C33="自定义",IF(D32="楼面单价",C34,D118*10000/B118),I118-G118),0)</f>
        <v>10423</v>
      </c>
      <c r="F118" s="2553">
        <f ca="1">ROUND(IF(D32="总价",C35,G118*B118/10000),0)</f>
        <v>27551</v>
      </c>
      <c r="G118" s="2553">
        <f ca="1">ROUND(IF(D32="楼面单价",C35,F118*10000/B118),0)</f>
        <v>2557</v>
      </c>
      <c r="H118" s="2553">
        <f ca="1">ROUND(IF(D32="总价",C32,I118*B118/10000),0)</f>
        <v>139851</v>
      </c>
      <c r="I118" s="2553">
        <f ca="1">ROUND(IF(D32="楼面单价",C32,H118*10000/B118),0)</f>
        <v>12980</v>
      </c>
    </row>
    <row r="119" spans="1:27" ht="18.75" customHeight="1">
      <c r="A119" s="3200" t="s">
        <v>2136</v>
      </c>
      <c r="B119" s="3200"/>
      <c r="C119" s="3200"/>
      <c r="D119" s="3240" t="str">
        <f ca="1">NUMBERSTRING(INT(D118*10000),2)&amp;"元整"</f>
        <v>壹拾壹亿贰仟叁佰万元整</v>
      </c>
      <c r="E119" s="3242"/>
      <c r="F119" s="3240" t="str">
        <f ca="1">NUMBERSTRING(INT(F118*10000),2)&amp;"元整"</f>
        <v>贰亿柒仟伍佰伍拾壹万元整</v>
      </c>
      <c r="G119" s="3242"/>
      <c r="H119" s="3240" t="str">
        <f ca="1">NUMBERSTRING(INT(H118*10000),2)&amp;"元整"</f>
        <v>壹拾叁亿玖仟捌佰伍拾壹万元整</v>
      </c>
      <c r="I119" s="3242"/>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44" t="s">
        <v>2136</v>
      </c>
      <c r="B121" s="3245"/>
      <c r="C121" s="3246"/>
      <c r="D121" s="3240" t="str">
        <f>IF(D120=0,"零元整",NUMBERSTRING(INT(D120*10000),2)&amp;"元整")</f>
        <v>零元整</v>
      </c>
      <c r="E121" s="3241"/>
      <c r="F121" s="3241"/>
      <c r="G121" s="3241"/>
      <c r="H121" s="3241"/>
      <c r="I121" s="3242"/>
      <c r="AA121" s="734"/>
    </row>
    <row r="122" spans="1:27" ht="18.75" customHeight="1">
      <c r="A122" s="3231" t="str">
        <f>IF(项目基本情况!B9="房地产市场价值","",MID(E107,3,LEN(E107)-2))</f>
        <v>房地产抵押价值</v>
      </c>
      <c r="B122" s="3231"/>
      <c r="C122" s="3231"/>
      <c r="D122" s="3267">
        <f ca="1">H107</f>
        <v>139851</v>
      </c>
      <c r="E122" s="3268"/>
      <c r="F122" s="3268"/>
      <c r="G122" s="3268"/>
      <c r="H122" s="3268"/>
      <c r="I122" s="3269"/>
      <c r="AA122" s="734"/>
    </row>
    <row r="123" spans="1:27" ht="18.75" customHeight="1">
      <c r="A123" s="3200" t="s">
        <v>2136</v>
      </c>
      <c r="B123" s="3200"/>
      <c r="C123" s="3200"/>
      <c r="D123" s="3240" t="str">
        <f ca="1">NUMBERSTRING(INT(D122*10000),2)&amp;"元整"</f>
        <v>壹拾叁亿玖仟捌佰伍拾壹万元整</v>
      </c>
      <c r="E123" s="3241"/>
      <c r="F123" s="3241"/>
      <c r="G123" s="3241"/>
      <c r="H123" s="3241"/>
      <c r="I123" s="3242"/>
      <c r="AA123" s="734"/>
    </row>
    <row r="124" spans="1:27" ht="18.75" customHeight="1">
      <c r="A124" s="3231" t="str">
        <f>IF(项目基本情况!B9="房地产市场价值","",MID(E109,3,LEN(E109)-2))</f>
        <v/>
      </c>
      <c r="B124" s="3231"/>
      <c r="C124" s="3231"/>
      <c r="D124" s="3267" t="str">
        <f>H109</f>
        <v>——</v>
      </c>
      <c r="E124" s="3268"/>
      <c r="F124" s="3268"/>
      <c r="G124" s="3268"/>
      <c r="H124" s="3268"/>
      <c r="I124" s="3269"/>
      <c r="AA124" s="734"/>
    </row>
    <row r="125" spans="1:27" ht="18.75" customHeight="1">
      <c r="A125" s="3200" t="s">
        <v>2136</v>
      </c>
      <c r="B125" s="3200"/>
      <c r="C125" s="3200"/>
      <c r="D125" s="3240" t="e">
        <f>NUMBERSTRING(INT(D124*10000),2)&amp;"元整"</f>
        <v>#VALUE!</v>
      </c>
      <c r="E125" s="3241"/>
      <c r="F125" s="3241"/>
      <c r="G125" s="3241"/>
      <c r="H125" s="3241"/>
      <c r="I125" s="3242"/>
      <c r="AA125" s="734"/>
    </row>
    <row r="126" spans="1:27" ht="18.75" customHeight="1">
      <c r="A126" s="3231" t="str">
        <f>IF(项目基本情况!B9="房地产市场价值","",MID(E111,3,LEN(E111)-2))</f>
        <v/>
      </c>
      <c r="B126" s="3231"/>
      <c r="C126" s="3231"/>
      <c r="D126" s="3267" t="str">
        <f>H111</f>
        <v>——</v>
      </c>
      <c r="E126" s="3268"/>
      <c r="F126" s="3268"/>
      <c r="G126" s="3268"/>
      <c r="H126" s="3268"/>
      <c r="I126" s="3269"/>
      <c r="AA126" s="734"/>
    </row>
    <row r="127" spans="1:27" ht="18.75" customHeight="1">
      <c r="A127" s="3200" t="s">
        <v>2136</v>
      </c>
      <c r="B127" s="3200"/>
      <c r="C127" s="3200"/>
      <c r="D127" s="3240" t="e">
        <f>NUMBERSTRING(INT(D126*10000),2)&amp;"元整"</f>
        <v>#VALUE!</v>
      </c>
      <c r="E127" s="3241"/>
      <c r="F127" s="3241"/>
      <c r="G127" s="3241"/>
      <c r="H127" s="3241"/>
      <c r="I127" s="3242"/>
      <c r="AA127" s="734"/>
    </row>
    <row r="128" spans="1:27" ht="21.75" customHeight="1">
      <c r="A128" s="3250" t="s">
        <v>2137</v>
      </c>
      <c r="B128" s="3250"/>
      <c r="C128" s="3250"/>
      <c r="D128" s="3250"/>
      <c r="E128" s="3250"/>
      <c r="F128" s="3250"/>
      <c r="G128" s="3250"/>
      <c r="H128" s="3250"/>
      <c r="I128" s="3250"/>
      <c r="AA128" s="734"/>
    </row>
    <row r="129" spans="1:35" ht="21.75" customHeight="1">
      <c r="A129" s="2018" t="s">
        <v>2138</v>
      </c>
      <c r="B129" s="2019"/>
      <c r="C129" s="2020" t="s">
        <v>2139</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2140</v>
      </c>
      <c r="G135" s="2035"/>
      <c r="H135" s="2035"/>
      <c r="I135" s="2036" t="s">
        <v>2141</v>
      </c>
    </row>
    <row r="136" spans="1:35" ht="21.75" customHeight="1">
      <c r="A136" s="734"/>
      <c r="B136" s="2037"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2143</v>
      </c>
    </row>
    <row r="139" spans="1:35" ht="21.75" customHeight="1">
      <c r="A139" s="734"/>
      <c r="B139" s="2037" t="s">
        <v>2144</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2143</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H10" sqref="H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c r="C1" s="204"/>
      <c r="D1" s="204"/>
      <c r="E1" s="204"/>
      <c r="F1" s="204"/>
      <c r="G1" s="1288">
        <f>MATCH(B1,'数据-取费表'!A6:A16,0)+5</f>
        <v>11</v>
      </c>
    </row>
    <row r="2" spans="1:9" s="206" customFormat="1" ht="18" customHeight="1">
      <c r="A2" s="207" t="s">
        <v>2146</v>
      </c>
      <c r="B2" s="208">
        <f ca="1">IF(D2="——",C52,C52-E2)</f>
        <v>149862</v>
      </c>
      <c r="C2" s="205" t="s">
        <v>2147</v>
      </c>
      <c r="D2" s="2040" t="s">
        <v>70</v>
      </c>
      <c r="E2" s="1331" t="e">
        <f ca="1">SUMIF(INDIRECT("'"&amp;G2&amp;"'"&amp;"!A:A"),"承租人权益价值",INDIRECT("'"&amp;G2&amp;"'"&amp;"!c:c"))</f>
        <v>#REF!</v>
      </c>
      <c r="F2" s="2041" t="s">
        <v>2147</v>
      </c>
      <c r="G2" s="2042"/>
    </row>
    <row r="3" spans="1:9" s="206" customFormat="1" ht="18" customHeight="1" thickBot="1">
      <c r="A3" s="209" t="s">
        <v>2148</v>
      </c>
      <c r="B3" s="210">
        <f ca="1">ROUND(B2*10000/(IF(B1="",'数据-汇总表'!E3,INDIRECT("'数据-取费表'!k"&amp;$G$1))),0)</f>
        <v>13909</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C6+C7+C8</f>
        <v>93025</v>
      </c>
      <c r="D5" s="217" t="s">
        <v>2153</v>
      </c>
      <c r="E5" s="218" t="s">
        <v>2154</v>
      </c>
      <c r="F5" s="218" t="s">
        <v>2155</v>
      </c>
      <c r="G5" s="219"/>
    </row>
    <row r="6" spans="1:9" s="220" customFormat="1" ht="13.5" customHeight="1">
      <c r="A6" s="886" t="s">
        <v>2156</v>
      </c>
      <c r="B6" s="221" t="s">
        <v>2157</v>
      </c>
      <c r="C6" s="222">
        <f>ROUND('[2]比较法-住宅、综合'!$C$49*'数据-汇总表'!F27/10000,0)</f>
        <v>89364</v>
      </c>
      <c r="D6" s="223"/>
      <c r="E6" s="224"/>
      <c r="F6" s="224"/>
      <c r="G6" s="225"/>
    </row>
    <row r="7" spans="1:9" s="220" customFormat="1" ht="13.5" customHeight="1">
      <c r="A7" s="886" t="s">
        <v>2158</v>
      </c>
      <c r="B7" s="221" t="s">
        <v>2159</v>
      </c>
      <c r="C7" s="226">
        <f>ROUND(C6*F7,0)</f>
        <v>2726</v>
      </c>
      <c r="D7" s="226"/>
      <c r="E7" s="224"/>
      <c r="F7" s="227">
        <f>IF(项目基本情况!B8="出让",0,'数据-取费表'!B48+'数据-取费表'!B49)</f>
        <v>3.0499999999999999E-2</v>
      </c>
      <c r="G7" s="225"/>
    </row>
    <row r="8" spans="1:9" s="229" customFormat="1">
      <c r="A8" s="886" t="s">
        <v>2160</v>
      </c>
      <c r="B8" s="221" t="s">
        <v>2161</v>
      </c>
      <c r="C8" s="226">
        <f>IF(G8="已包含在土地购买价格中","0",IF(B1="",'数据-取费表'!B29,IF(G9="全部缴纳",C9+C10,H9)))</f>
        <v>935</v>
      </c>
      <c r="D8" s="228"/>
      <c r="E8" s="226"/>
      <c r="F8" s="227"/>
      <c r="G8" s="2043" t="s">
        <v>3735</v>
      </c>
    </row>
    <row r="9" spans="1:9" s="220" customFormat="1" ht="13.5" customHeight="1">
      <c r="A9" s="887" t="s">
        <v>800</v>
      </c>
      <c r="B9" s="230" t="s">
        <v>2162</v>
      </c>
      <c r="C9" s="231">
        <f ca="1">ROUND(D9*E9/10000,0)</f>
        <v>1463</v>
      </c>
      <c r="D9" s="954">
        <f ca="1">IF(B1="",'数据-汇总表'!E5,IF(INDIRECT("'数据-取费表'!c"&amp;$G$1)="住宅",INDIRECT("'数据-取费表'!k"&amp;$G$1),0))</f>
        <v>50455.470000000008</v>
      </c>
      <c r="E9" s="231">
        <f>'数据-取费表'!B27</f>
        <v>290</v>
      </c>
      <c r="F9" s="227"/>
      <c r="G9" s="2044" t="s">
        <v>3758</v>
      </c>
      <c r="H9" s="1299">
        <v>935</v>
      </c>
      <c r="I9" s="2045" t="s">
        <v>2163</v>
      </c>
    </row>
    <row r="10" spans="1:9" s="220" customFormat="1" ht="13.5" customHeight="1">
      <c r="A10" s="887" t="s">
        <v>801</v>
      </c>
      <c r="B10" s="230" t="s">
        <v>2164</v>
      </c>
      <c r="C10" s="231">
        <f ca="1">ROUND(D10*E10/10000,0)</f>
        <v>1833</v>
      </c>
      <c r="D10" s="954">
        <f ca="1">IF(B1="",'数据-汇总表'!E6,IF(INDIRECT("'数据-取费表'!c"&amp;$G$1)="住宅",INDIRECT("'数据-取费表'!s"&amp;$G$1),INDIRECT("'数据-取费表'!k"&amp;$G$1)+INDIRECT("'数据-取费表'!s"&amp;$G$1)))</f>
        <v>57291.54</v>
      </c>
      <c r="E10" s="231">
        <f>'数据-取费表'!B28</f>
        <v>320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107747.01000000001</v>
      </c>
      <c r="E19" s="217">
        <f>'数据-取费表'!B31</f>
        <v>200</v>
      </c>
      <c r="F19" s="237"/>
      <c r="G19" s="2043" t="s">
        <v>3736</v>
      </c>
    </row>
    <row r="20" spans="1:7" s="220" customFormat="1" ht="13.5" customHeight="1">
      <c r="A20" s="261" t="s">
        <v>2177</v>
      </c>
      <c r="B20" s="216" t="s">
        <v>2178</v>
      </c>
      <c r="C20" s="238">
        <f>ROUND((C5+C19)*F20,0)</f>
        <v>2791</v>
      </c>
      <c r="D20" s="238"/>
      <c r="E20" s="238"/>
      <c r="F20" s="239">
        <f>'数据-取费表'!B37</f>
        <v>0.03</v>
      </c>
      <c r="G20" s="240" t="s">
        <v>2179</v>
      </c>
    </row>
    <row r="21" spans="1:7" s="220" customFormat="1" ht="13.5" customHeight="1">
      <c r="A21" s="261" t="s">
        <v>2180</v>
      </c>
      <c r="B21" s="216" t="s">
        <v>2181</v>
      </c>
      <c r="C21" s="241">
        <f>F21</f>
        <v>0.03</v>
      </c>
      <c r="D21" s="242" t="s">
        <v>2182</v>
      </c>
      <c r="E21" s="238"/>
      <c r="F21" s="239">
        <f>'数据-取费表'!B38</f>
        <v>0.03</v>
      </c>
      <c r="G21" s="240" t="s">
        <v>2183</v>
      </c>
    </row>
    <row r="22" spans="1:7" s="220" customFormat="1" ht="13.5" customHeight="1">
      <c r="A22" s="261" t="s">
        <v>2184</v>
      </c>
      <c r="B22" s="216" t="s">
        <v>2185</v>
      </c>
      <c r="C22" s="1264">
        <f ca="1">ROUND(SUM(C23:C25),0)</f>
        <v>6805</v>
      </c>
      <c r="D22" s="241">
        <f ca="1">C26</f>
        <v>1.1000000000000001E-3</v>
      </c>
      <c r="E22" s="242" t="s">
        <v>2182</v>
      </c>
      <c r="F22" s="243">
        <f ca="1">'数据-取费表'!B40</f>
        <v>4.7500000000000001E-2</v>
      </c>
      <c r="G22" s="240" t="str">
        <f>IF('数据-取费表'!B22&lt;=1,"单利计息","复利计息")</f>
        <v>复利计息</v>
      </c>
    </row>
    <row r="23" spans="1:7" s="220" customFormat="1" ht="13.5" customHeight="1">
      <c r="A23" s="888" t="s">
        <v>2186</v>
      </c>
      <c r="B23" s="221" t="s">
        <v>2187</v>
      </c>
      <c r="C23" s="1265">
        <f ca="1">ROUND(IF('数据-取费表'!B22&lt;=1,C5*F22*'数据-取费表'!B23,C5*(POWER((1+F22),'数据-取费表'!B23)-1)),0)</f>
        <v>6706</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99</v>
      </c>
      <c r="D25" s="244"/>
      <c r="E25" s="247"/>
      <c r="F25" s="245"/>
      <c r="G25" s="248" t="s">
        <v>2194</v>
      </c>
    </row>
    <row r="26" spans="1:7" s="220" customFormat="1">
      <c r="A26" s="888" t="s">
        <v>795</v>
      </c>
      <c r="B26" s="221" t="s">
        <v>2195</v>
      </c>
      <c r="C26" s="244">
        <f ca="1">ROUND(IF('数据-取费表'!B22&lt;=1,F21*F22*'数据-取费表'!B23/2,F21*(POWER((1+F22),'数据-取费表'!B23/2)-1)),4)</f>
        <v>1.1000000000000001E-3</v>
      </c>
      <c r="D26" s="244"/>
      <c r="E26" s="247"/>
      <c r="F26" s="245"/>
      <c r="G26" s="249"/>
    </row>
    <row r="27" spans="1:7" s="220" customFormat="1" ht="24.75">
      <c r="A27" s="261" t="s">
        <v>2196</v>
      </c>
      <c r="B27" s="250" t="s">
        <v>2197</v>
      </c>
      <c r="C27" s="251">
        <f ca="1">C28</f>
        <v>7186</v>
      </c>
      <c r="D27" s="241">
        <f ca="1">C29</f>
        <v>2.3E-3</v>
      </c>
      <c r="E27" s="242" t="s">
        <v>2198</v>
      </c>
      <c r="F27" s="252">
        <f ca="1">IF(B1="",'数据-取费表'!Q16,INDIRECT("'数据-取费表'!q"&amp;$G$1))</f>
        <v>0.1</v>
      </c>
      <c r="G27" s="253" t="s">
        <v>2199</v>
      </c>
    </row>
    <row r="28" spans="1:7" s="220" customFormat="1" ht="13.5" customHeight="1">
      <c r="A28" s="888" t="s">
        <v>791</v>
      </c>
      <c r="B28" s="254" t="s">
        <v>2200</v>
      </c>
      <c r="C28" s="255">
        <f ca="1">ROUND((C5+C19+C20)*F27*'数据-取费表'!B21/'数据-取费表'!B20,0)</f>
        <v>7186</v>
      </c>
      <c r="D28" s="241"/>
      <c r="E28" s="242"/>
      <c r="F28" s="252"/>
      <c r="G28" s="253"/>
    </row>
    <row r="29" spans="1:7" s="220" customFormat="1" ht="13.5" customHeight="1">
      <c r="A29" s="888" t="s">
        <v>792</v>
      </c>
      <c r="B29" s="254" t="s">
        <v>2201</v>
      </c>
      <c r="C29" s="244">
        <f ca="1">ROUND(C21*F27*'数据-取费表'!B21/'数据-取费表'!B20,4)</f>
        <v>2.3E-3</v>
      </c>
      <c r="D29" s="241"/>
      <c r="E29" s="242"/>
      <c r="F29" s="252"/>
      <c r="G29" s="253"/>
    </row>
    <row r="30" spans="1:7" s="220" customFormat="1" ht="13.5" customHeight="1">
      <c r="A30" s="261" t="s">
        <v>2202</v>
      </c>
      <c r="B30" s="216" t="s">
        <v>2203</v>
      </c>
      <c r="C30" s="241">
        <f>ROUND(F30/(1+'数据-取费表'!C42),4)</f>
        <v>5.3800000000000001E-2</v>
      </c>
      <c r="D30" s="242" t="s">
        <v>2198</v>
      </c>
      <c r="E30" s="247"/>
      <c r="F30" s="243">
        <f>'数据-取费表'!B41</f>
        <v>5.6500000000000002E-2</v>
      </c>
      <c r="G30" s="240" t="s">
        <v>2204</v>
      </c>
    </row>
    <row r="31" spans="1:7" ht="16.5" customHeight="1">
      <c r="A31" s="215">
        <v>1</v>
      </c>
      <c r="B31" s="216" t="s">
        <v>2205</v>
      </c>
      <c r="C31" s="217">
        <f ca="1">ROUND((C5+C19+C20+C22+C27)/(1-C21-D22-D27-C30),0)</f>
        <v>120297</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23057</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19440</v>
      </c>
      <c r="D34" s="223"/>
      <c r="E34" s="226"/>
      <c r="F34" s="263">
        <f ca="1">IF('数据-取费表'!B24=0,1,IF(B1="",'数据-取费表'!N16,INDIRECT("'数据-取费表'!n"&amp;$G$1)))</f>
        <v>0.745</v>
      </c>
      <c r="G34" s="225" t="s">
        <v>2210</v>
      </c>
    </row>
    <row r="35" spans="1:7" ht="13.5" customHeight="1">
      <c r="A35" s="888" t="s">
        <v>796</v>
      </c>
      <c r="B35" s="221" t="s">
        <v>2211</v>
      </c>
      <c r="C35" s="226">
        <f ca="1">ROUND(C34*F35,0)</f>
        <v>972</v>
      </c>
      <c r="D35" s="226"/>
      <c r="E35" s="226"/>
      <c r="F35" s="265">
        <f>'数据-取费表'!B33</f>
        <v>0.05</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748</v>
      </c>
      <c r="D36" s="226"/>
      <c r="E36" s="226"/>
      <c r="F36" s="265">
        <f>'数据-取费表'!B34</f>
        <v>0.08</v>
      </c>
      <c r="G36" s="266" t="s">
        <v>2214</v>
      </c>
    </row>
    <row r="37" spans="1:7" s="264" customFormat="1" ht="13.5" customHeight="1">
      <c r="A37" s="888" t="s">
        <v>798</v>
      </c>
      <c r="B37" s="221" t="s">
        <v>2215</v>
      </c>
      <c r="C37" s="255">
        <f ca="1">ROUND(E37*D37*F34/10000,0)</f>
        <v>1605</v>
      </c>
      <c r="D37" s="223">
        <f ca="1">D19</f>
        <v>107747.01000000001</v>
      </c>
      <c r="E37" s="255">
        <f>'数据-取费表'!B35</f>
        <v>200</v>
      </c>
      <c r="F37" s="265"/>
      <c r="G37" s="267" t="s">
        <v>2216</v>
      </c>
    </row>
    <row r="38" spans="1:7" ht="13.5" customHeight="1">
      <c r="A38" s="888" t="s">
        <v>799</v>
      </c>
      <c r="B38" s="221" t="s">
        <v>2217</v>
      </c>
      <c r="C38" s="226">
        <f ca="1">ROUND(C34*F38,0)</f>
        <v>292</v>
      </c>
      <c r="D38" s="226"/>
      <c r="E38" s="226"/>
      <c r="F38" s="265">
        <f>'数据-取费表'!B36</f>
        <v>1.4999999999999999E-2</v>
      </c>
      <c r="G38" s="225" t="s">
        <v>2212</v>
      </c>
    </row>
    <row r="39" spans="1:7" s="220" customFormat="1" ht="13.5" customHeight="1">
      <c r="A39" s="261" t="s">
        <v>2218</v>
      </c>
      <c r="B39" s="216" t="s">
        <v>2219</v>
      </c>
      <c r="C39" s="238">
        <f ca="1">ROUND(C33*F20,0)</f>
        <v>692</v>
      </c>
      <c r="D39" s="238"/>
      <c r="E39" s="238"/>
      <c r="F39" s="2536">
        <f>F20</f>
        <v>0.03</v>
      </c>
      <c r="G39" s="240" t="s">
        <v>2220</v>
      </c>
    </row>
    <row r="40" spans="1:7" s="220" customFormat="1" ht="13.5" customHeight="1">
      <c r="A40" s="261" t="s">
        <v>2221</v>
      </c>
      <c r="B40" s="216" t="s">
        <v>2222</v>
      </c>
      <c r="C40" s="1497">
        <f>F21</f>
        <v>0.03</v>
      </c>
      <c r="D40" s="242" t="s">
        <v>2223</v>
      </c>
      <c r="E40" s="238"/>
      <c r="F40" s="2536">
        <f>F21</f>
        <v>0.03</v>
      </c>
      <c r="G40" s="240" t="s">
        <v>2224</v>
      </c>
    </row>
    <row r="41" spans="1:7" s="220" customFormat="1" ht="13.5" customHeight="1">
      <c r="A41" s="261" t="s">
        <v>2225</v>
      </c>
      <c r="B41" s="216" t="s">
        <v>2226</v>
      </c>
      <c r="C41" s="238">
        <f ca="1">ROUND(SUM(C42:C43),0)</f>
        <v>842</v>
      </c>
      <c r="D41" s="241">
        <f ca="1">C44</f>
        <v>1.1000000000000001E-3</v>
      </c>
      <c r="E41" s="242" t="s">
        <v>2223</v>
      </c>
      <c r="F41" s="2537">
        <f ca="1">F22</f>
        <v>4.7500000000000001E-2</v>
      </c>
      <c r="G41" s="240" t="str">
        <f>IF('数据-取费表'!B22&lt;=1,"单利计息","复利计息")</f>
        <v>复利计息</v>
      </c>
    </row>
    <row r="42" spans="1:7" ht="13.5" customHeight="1">
      <c r="A42" s="888" t="s">
        <v>791</v>
      </c>
      <c r="B42" s="221" t="s">
        <v>2227</v>
      </c>
      <c r="C42" s="244">
        <f ca="1">ROUND(IF('数据-取费表'!B22&lt;=1,C33*F22*'数据-取费表'!B21/2,C33*(POWER((1+F22),'数据-取费表'!B21/2)-1)),0)</f>
        <v>817</v>
      </c>
      <c r="D42" s="244"/>
      <c r="E42" s="244"/>
      <c r="F42" s="245"/>
      <c r="G42" s="3283" t="s">
        <v>2228</v>
      </c>
    </row>
    <row r="43" spans="1:7" ht="13.5" customHeight="1">
      <c r="A43" s="888" t="s">
        <v>792</v>
      </c>
      <c r="B43" s="221" t="s">
        <v>2229</v>
      </c>
      <c r="C43" s="244">
        <f ca="1">ROUND(IF('数据-取费表'!B22&lt;=1,C39*F22*'数据-取费表'!B21/2,C39*(POWER((1+F22),'数据-取费表'!B21/2)-1)),0)</f>
        <v>25</v>
      </c>
      <c r="D43" s="244"/>
      <c r="E43" s="244"/>
      <c r="F43" s="245"/>
      <c r="G43" s="3284"/>
    </row>
    <row r="44" spans="1:7" ht="13.5" customHeight="1">
      <c r="A44" s="888" t="s">
        <v>793</v>
      </c>
      <c r="B44" s="221" t="s">
        <v>2230</v>
      </c>
      <c r="C44" s="244">
        <f ca="1">ROUND(IF('数据-取费表'!B22&lt;=1,C40*F22*'数据-取费表'!B21/2,C40*(POWER((1+F22),'数据-取费表'!B21/2)-1)),4)</f>
        <v>1.1000000000000001E-3</v>
      </c>
      <c r="D44" s="244"/>
      <c r="E44" s="244"/>
      <c r="F44" s="245"/>
      <c r="G44" s="3285"/>
    </row>
    <row r="45" spans="1:7" s="220" customFormat="1" ht="13.5" customHeight="1">
      <c r="A45" s="261" t="s">
        <v>2231</v>
      </c>
      <c r="B45" s="250" t="s">
        <v>2197</v>
      </c>
      <c r="C45" s="251">
        <f ca="1">C46</f>
        <v>2375</v>
      </c>
      <c r="D45" s="241">
        <f ca="1">C47</f>
        <v>3.0000000000000001E-3</v>
      </c>
      <c r="E45" s="242" t="s">
        <v>2223</v>
      </c>
      <c r="F45" s="2538">
        <f ca="1">F27</f>
        <v>0.1</v>
      </c>
      <c r="G45" s="253" t="s">
        <v>2232</v>
      </c>
    </row>
    <row r="46" spans="1:7" s="220" customFormat="1" ht="13.5" customHeight="1">
      <c r="A46" s="888" t="s">
        <v>791</v>
      </c>
      <c r="B46" s="254" t="s">
        <v>2233</v>
      </c>
      <c r="C46" s="255">
        <f ca="1">ROUND((C33+C39)*F27,0)</f>
        <v>2375</v>
      </c>
      <c r="D46" s="269"/>
      <c r="E46" s="242"/>
      <c r="F46" s="252"/>
      <c r="G46" s="253"/>
    </row>
    <row r="47" spans="1:7" s="220" customFormat="1" ht="13.5" customHeight="1">
      <c r="A47" s="888" t="s">
        <v>792</v>
      </c>
      <c r="B47" s="254" t="s">
        <v>2234</v>
      </c>
      <c r="C47" s="244">
        <f ca="1">ROUND(C40*F27,4)</f>
        <v>3.0000000000000001E-3</v>
      </c>
      <c r="D47" s="269"/>
      <c r="E47" s="242"/>
      <c r="F47" s="252"/>
      <c r="G47" s="253"/>
    </row>
    <row r="48" spans="1:7" s="220" customFormat="1" ht="13.5" customHeight="1">
      <c r="A48" s="261" t="s">
        <v>2196</v>
      </c>
      <c r="B48" s="216" t="s">
        <v>2235</v>
      </c>
      <c r="C48" s="1497">
        <f>ROUND(F30/(1+'数据-取费表'!C42),4)</f>
        <v>5.3800000000000001E-2</v>
      </c>
      <c r="D48" s="242" t="s">
        <v>2223</v>
      </c>
      <c r="E48" s="238"/>
      <c r="F48" s="2537">
        <f>F30</f>
        <v>5.6500000000000002E-2</v>
      </c>
      <c r="G48" s="240" t="s">
        <v>2236</v>
      </c>
    </row>
    <row r="49" spans="1:7" ht="16.5" customHeight="1">
      <c r="A49" s="261" t="s">
        <v>2202</v>
      </c>
      <c r="B49" s="216" t="s">
        <v>2237</v>
      </c>
      <c r="C49" s="238">
        <f ca="1">ROUND((C33+C39+C41+C45)/(1-C40-D41-D45-C48),0)</f>
        <v>29565</v>
      </c>
      <c r="D49" s="238"/>
      <c r="E49" s="238"/>
      <c r="F49" s="270"/>
      <c r="G49" s="240" t="s">
        <v>2238</v>
      </c>
    </row>
    <row r="50" spans="1:7" s="264" customFormat="1" ht="24">
      <c r="A50" s="261" t="s">
        <v>2239</v>
      </c>
      <c r="B50" s="216" t="s">
        <v>2240</v>
      </c>
      <c r="C50" s="238"/>
      <c r="D50" s="238"/>
      <c r="E50" s="238"/>
      <c r="F50" s="270">
        <f>IF('数据-取费表'!B24=0,'数据-取费表'!N16,1)</f>
        <v>1</v>
      </c>
      <c r="G50" s="253" t="s">
        <v>2241</v>
      </c>
    </row>
    <row r="51" spans="1:7" ht="16.5" customHeight="1">
      <c r="A51" s="261" t="s">
        <v>2242</v>
      </c>
      <c r="B51" s="216" t="s">
        <v>2243</v>
      </c>
      <c r="C51" s="238">
        <f ca="1">ROUND(C49*F50,0)</f>
        <v>29565</v>
      </c>
      <c r="D51" s="238"/>
      <c r="E51" s="238"/>
      <c r="F51" s="270"/>
      <c r="G51" s="240" t="s">
        <v>2244</v>
      </c>
    </row>
    <row r="52" spans="1:7" s="214" customFormat="1" ht="16.5" thickBot="1">
      <c r="A52" s="271" t="s">
        <v>2245</v>
      </c>
      <c r="B52" s="272"/>
      <c r="C52" s="273">
        <f ca="1">C31+C51</f>
        <v>149862</v>
      </c>
      <c r="D52" s="272"/>
      <c r="E52" s="272"/>
      <c r="F52" s="272"/>
      <c r="G52" s="274"/>
    </row>
    <row r="55" spans="1:7" ht="15">
      <c r="B55" s="276" t="s">
        <v>2246</v>
      </c>
      <c r="C55" s="277"/>
    </row>
    <row r="56" spans="1:7">
      <c r="B56" s="279" t="s">
        <v>1478</v>
      </c>
      <c r="C56" s="281">
        <f ca="1">1-C57</f>
        <v>0.80299999999999994</v>
      </c>
    </row>
    <row r="57" spans="1:7">
      <c r="B57" s="279" t="s">
        <v>1479</v>
      </c>
      <c r="C57" s="280">
        <f ca="1">ROUND(C51/C52,3)</f>
        <v>0.19700000000000001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6" t="s">
        <v>2247</v>
      </c>
      <c r="D1" s="204"/>
      <c r="E1" s="204"/>
      <c r="F1" s="204"/>
      <c r="G1" s="1288">
        <f>MATCH(B1,'数据-取费表'!A6:A16,0)+5</f>
        <v>11</v>
      </c>
      <c r="H1" s="1192" t="str">
        <f>IF(ISERROR(FIND("住宅",B1)),"非住宅","住宅")</f>
        <v>非住宅</v>
      </c>
    </row>
    <row r="2" spans="1:8" s="206" customFormat="1" ht="18" customHeight="1">
      <c r="A2" s="207" t="s">
        <v>2146</v>
      </c>
      <c r="B2" s="208">
        <f ca="1">ROUND(IF(D2="——",C52/10000,C52/10000-E2),0)</f>
        <v>47727</v>
      </c>
      <c r="C2" s="205" t="s">
        <v>2147</v>
      </c>
      <c r="D2" s="2040" t="s">
        <v>70</v>
      </c>
      <c r="E2" s="1331" t="e">
        <f ca="1">SUMIF(INDIRECT("'"&amp;G2&amp;"'"&amp;"!A:A"),"承租人权益价值",INDIRECT("'"&amp;G2&amp;"'"&amp;"!c:c"))</f>
        <v>#REF!</v>
      </c>
      <c r="F2" s="2041" t="s">
        <v>2147</v>
      </c>
      <c r="G2" s="2042"/>
    </row>
    <row r="3" spans="1:8" s="206" customFormat="1" ht="18" customHeight="1" thickBot="1">
      <c r="A3" s="209" t="s">
        <v>2148</v>
      </c>
      <c r="B3" s="210">
        <f ca="1">ROUND(B2*10000/(IF(B1="",'数据-汇总表'!E3,INDIRECT("'数据-取费表'!k"&amp;$G$1))),0)</f>
        <v>4430</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32965379</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32965379</v>
      </c>
      <c r="D8" s="228"/>
      <c r="E8" s="226"/>
      <c r="F8" s="227"/>
      <c r="G8" s="2043"/>
    </row>
    <row r="9" spans="1:8" s="220" customFormat="1" ht="13.5" customHeight="1">
      <c r="A9" s="887" t="s">
        <v>800</v>
      </c>
      <c r="B9" s="230" t="s">
        <v>2162</v>
      </c>
      <c r="C9" s="231">
        <f ca="1">ROUND(D9*E9,0)</f>
        <v>14632086</v>
      </c>
      <c r="D9" s="954">
        <f ca="1">IF(B1="",'数据-汇总表'!E5,IF(INDIRECT("'数据-取费表'!c"&amp;$G$1)="住宅",INDIRECT("'数据-取费表'!k"&amp;$G$1),0))</f>
        <v>50455.470000000008</v>
      </c>
      <c r="E9" s="231">
        <f>'数据-取费表'!B27</f>
        <v>290</v>
      </c>
      <c r="F9" s="227"/>
      <c r="G9" s="232"/>
    </row>
    <row r="10" spans="1:8" s="220" customFormat="1" ht="13.5" customHeight="1">
      <c r="A10" s="887" t="s">
        <v>801</v>
      </c>
      <c r="B10" s="230" t="s">
        <v>2164</v>
      </c>
      <c r="C10" s="231">
        <f ca="1">ROUND(D10*E10,0)</f>
        <v>18333293</v>
      </c>
      <c r="D10" s="954">
        <f ca="1">IF(B1="",'数据-汇总表'!E6,IF(INDIRECT("'数据-取费表'!c"&amp;$G$1)="住宅",INDIRECT("'数据-取费表'!s"&amp;$G$1),INDIRECT("'数据-取费表'!k"&amp;$G$1)+INDIRECT("'数据-取费表'!s"&amp;$G$1)))</f>
        <v>57291.54</v>
      </c>
      <c r="E10" s="231">
        <f>'数据-取费表'!B28</f>
        <v>320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21549402</v>
      </c>
      <c r="D19" s="958">
        <f ca="1">D9+D10</f>
        <v>107747.01000000001</v>
      </c>
      <c r="E19" s="217">
        <f>'数据-取费表'!B31</f>
        <v>200</v>
      </c>
      <c r="F19" s="237"/>
      <c r="G19" s="2043"/>
    </row>
    <row r="20" spans="1:7" s="220" customFormat="1" ht="13.5" customHeight="1">
      <c r="A20" s="261" t="s">
        <v>2258</v>
      </c>
      <c r="B20" s="216" t="s">
        <v>2259</v>
      </c>
      <c r="C20" s="238">
        <f ca="1">ROUND((C5+C19)*F20,0)</f>
        <v>1635443</v>
      </c>
      <c r="D20" s="238"/>
      <c r="E20" s="238"/>
      <c r="F20" s="239">
        <f>'数据-取费表'!B37</f>
        <v>0.03</v>
      </c>
      <c r="G20" s="240" t="s">
        <v>2260</v>
      </c>
    </row>
    <row r="21" spans="1:7" s="220" customFormat="1" ht="13.5" customHeight="1">
      <c r="A21" s="261" t="s">
        <v>2261</v>
      </c>
      <c r="B21" s="216" t="s">
        <v>2262</v>
      </c>
      <c r="C21" s="241">
        <f>F21</f>
        <v>0.03</v>
      </c>
      <c r="D21" s="242" t="s">
        <v>2263</v>
      </c>
      <c r="E21" s="238"/>
      <c r="F21" s="239">
        <f>'数据-取费表'!B38</f>
        <v>0.03</v>
      </c>
      <c r="G21" s="240" t="s">
        <v>2264</v>
      </c>
    </row>
    <row r="22" spans="1:7" s="220" customFormat="1" ht="13.5" customHeight="1">
      <c r="A22" s="261" t="s">
        <v>2265</v>
      </c>
      <c r="B22" s="216" t="s">
        <v>2266</v>
      </c>
      <c r="C22" s="1289">
        <f ca="1">ROUND(SUM(C23:C25),0)</f>
        <v>5379587</v>
      </c>
      <c r="D22" s="241">
        <f ca="1">C26</f>
        <v>1.4E-3</v>
      </c>
      <c r="E22" s="242" t="s">
        <v>2263</v>
      </c>
      <c r="F22" s="243">
        <f ca="1">'数据-取费表'!B40</f>
        <v>4.7500000000000001E-2</v>
      </c>
      <c r="G22" s="240" t="str">
        <f>IF('数据-取费表'!B22&lt;=1,"单利计息","复利计息")</f>
        <v>复利计息</v>
      </c>
    </row>
    <row r="23" spans="1:7" s="220" customFormat="1" ht="13.5" customHeight="1">
      <c r="A23" s="888" t="s">
        <v>2156</v>
      </c>
      <c r="B23" s="221" t="s">
        <v>2267</v>
      </c>
      <c r="C23" s="1290">
        <f ca="1">ROUND(IF('数据-取费表'!B22&lt;=1,C5*F22*'数据-取费表'!B22,C5*(POWER((1+F22),'数据-取费表'!B22)-1)),0)</f>
        <v>3206089</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2095814</v>
      </c>
      <c r="D24" s="244"/>
      <c r="E24" s="244"/>
      <c r="F24" s="245"/>
      <c r="G24" s="246" t="s">
        <v>2270</v>
      </c>
    </row>
    <row r="25" spans="1:7" s="220" customFormat="1" ht="24">
      <c r="A25" s="888" t="s">
        <v>2160</v>
      </c>
      <c r="B25" s="221" t="s">
        <v>2271</v>
      </c>
      <c r="C25" s="1290">
        <f ca="1">ROUND(IF('数据-取费表'!B22&lt;=1,C20*F22*'数据-取费表'!B22/2,C20*(POWER((1+F22),'数据-取费表'!B22/2)-1)),0)</f>
        <v>77684</v>
      </c>
      <c r="D25" s="244"/>
      <c r="E25" s="247"/>
      <c r="F25" s="245"/>
      <c r="G25" s="248" t="s">
        <v>2272</v>
      </c>
    </row>
    <row r="26" spans="1:7" s="220" customFormat="1">
      <c r="A26" s="888" t="s">
        <v>795</v>
      </c>
      <c r="B26" s="221" t="s">
        <v>2195</v>
      </c>
      <c r="C26" s="244">
        <f ca="1">ROUND(IF('数据-取费表'!B22&lt;=1,F21*F22*'数据-取费表'!B22/2,F21*(POWER((1+F22),'数据-取费表'!B22/2)-1)),4)</f>
        <v>1.4E-3</v>
      </c>
      <c r="D26" s="244"/>
      <c r="E26" s="247"/>
      <c r="F26" s="245"/>
      <c r="G26" s="249"/>
    </row>
    <row r="27" spans="1:7" s="220" customFormat="1" ht="24.75">
      <c r="A27" s="261" t="s">
        <v>2196</v>
      </c>
      <c r="B27" s="250" t="s">
        <v>2197</v>
      </c>
      <c r="C27" s="251">
        <f ca="1">C28</f>
        <v>5615022</v>
      </c>
      <c r="D27" s="241">
        <f ca="1">C29</f>
        <v>3.0000000000000001E-3</v>
      </c>
      <c r="E27" s="242" t="s">
        <v>2198</v>
      </c>
      <c r="F27" s="252">
        <f ca="1">IF(B1="",'数据-取费表'!Q16,INDIRECT("'数据-取费表'!q"&amp;$G$1))</f>
        <v>0.1</v>
      </c>
      <c r="G27" s="253" t="s">
        <v>2199</v>
      </c>
    </row>
    <row r="28" spans="1:7" s="220" customFormat="1" ht="13.5" customHeight="1">
      <c r="A28" s="888" t="s">
        <v>791</v>
      </c>
      <c r="B28" s="254" t="s">
        <v>2200</v>
      </c>
      <c r="C28" s="255">
        <f ca="1">ROUND((C5+C19+C20)*F27,0)</f>
        <v>5615022</v>
      </c>
      <c r="D28" s="241"/>
      <c r="E28" s="242"/>
      <c r="F28" s="252"/>
      <c r="G28" s="253"/>
    </row>
    <row r="29" spans="1:7" s="220" customFormat="1" ht="13.5" customHeight="1">
      <c r="A29" s="888" t="s">
        <v>792</v>
      </c>
      <c r="B29" s="254" t="s">
        <v>2201</v>
      </c>
      <c r="C29" s="244">
        <f ca="1">ROUND(C21*F27,4)</f>
        <v>3.0000000000000001E-3</v>
      </c>
      <c r="D29" s="241"/>
      <c r="E29" s="242"/>
      <c r="F29" s="252"/>
      <c r="G29" s="253"/>
    </row>
    <row r="30" spans="1:7" s="220" customFormat="1" ht="13.5" customHeight="1">
      <c r="A30" s="261" t="s">
        <v>2202</v>
      </c>
      <c r="B30" s="216" t="s">
        <v>2203</v>
      </c>
      <c r="C30" s="241">
        <f>ROUND(F30/(1+'数据-取费表'!C42),4)</f>
        <v>5.3800000000000001E-2</v>
      </c>
      <c r="D30" s="242" t="s">
        <v>2198</v>
      </c>
      <c r="E30" s="247"/>
      <c r="F30" s="243">
        <f>'数据-取费表'!B41</f>
        <v>5.6500000000000002E-2</v>
      </c>
      <c r="G30" s="240" t="s">
        <v>2204</v>
      </c>
    </row>
    <row r="31" spans="1:7" ht="16.5" customHeight="1">
      <c r="A31" s="215">
        <v>1</v>
      </c>
      <c r="B31" s="216" t="s">
        <v>2205</v>
      </c>
      <c r="C31" s="217">
        <f ca="1">ROUND((C5+C19+C20+C22+C27)/(1-C21-D22-D27-C30),0)</f>
        <v>73639869</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311382338</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260773355</v>
      </c>
      <c r="D34" s="223"/>
      <c r="E34" s="226"/>
      <c r="F34" s="263"/>
      <c r="G34" s="225"/>
    </row>
    <row r="35" spans="1:7" ht="13.5" customHeight="1">
      <c r="A35" s="888" t="s">
        <v>796</v>
      </c>
      <c r="B35" s="221" t="s">
        <v>2211</v>
      </c>
      <c r="C35" s="226">
        <f ca="1">ROUND(C34*F35,0)</f>
        <v>13038668</v>
      </c>
      <c r="D35" s="226"/>
      <c r="E35" s="226"/>
      <c r="F35" s="265">
        <f>'数据-取费表'!B33</f>
        <v>0.05</v>
      </c>
      <c r="G35" s="225" t="s">
        <v>2212</v>
      </c>
    </row>
    <row r="36" spans="1:7" ht="24">
      <c r="A36" s="888" t="s">
        <v>797</v>
      </c>
      <c r="B36" s="221" t="s">
        <v>2213</v>
      </c>
      <c r="C36" s="226">
        <f ca="1">ROUND(IF(B1="",SUM('数据-取费表'!AP6:AP13)*F36,IF(INDIRECT("'数据-取费表'!c"&amp;$G$1)="住宅",INDIRECT("'数据-取费表'!k"&amp;$G$1)*INDIRECT("'数据-取费表'!l"&amp;$G$1)*F36,0)),0)</f>
        <v>12109313</v>
      </c>
      <c r="D36" s="226"/>
      <c r="E36" s="226"/>
      <c r="F36" s="265">
        <f>'数据-取费表'!B34</f>
        <v>0.08</v>
      </c>
      <c r="G36" s="266" t="s">
        <v>2214</v>
      </c>
    </row>
    <row r="37" spans="1:7" s="264" customFormat="1" ht="13.5" customHeight="1">
      <c r="A37" s="888" t="s">
        <v>798</v>
      </c>
      <c r="B37" s="221" t="s">
        <v>2215</v>
      </c>
      <c r="C37" s="255">
        <f ca="1">ROUND(E37*D37,0)</f>
        <v>21549402</v>
      </c>
      <c r="D37" s="223">
        <f ca="1">D19</f>
        <v>107747.01000000001</v>
      </c>
      <c r="E37" s="255">
        <f>'数据-取费表'!B35</f>
        <v>200</v>
      </c>
      <c r="F37" s="265"/>
      <c r="G37" s="267"/>
    </row>
    <row r="38" spans="1:7" ht="13.5" customHeight="1">
      <c r="A38" s="888" t="s">
        <v>799</v>
      </c>
      <c r="B38" s="221" t="s">
        <v>2217</v>
      </c>
      <c r="C38" s="226">
        <f ca="1">ROUND(C34*F38,0)</f>
        <v>3911600</v>
      </c>
      <c r="D38" s="226"/>
      <c r="E38" s="226"/>
      <c r="F38" s="265">
        <f>'数据-取费表'!B36</f>
        <v>1.4999999999999999E-2</v>
      </c>
      <c r="G38" s="225" t="s">
        <v>2212</v>
      </c>
    </row>
    <row r="39" spans="1:7" s="220" customFormat="1" ht="13.5" customHeight="1">
      <c r="A39" s="261" t="s">
        <v>2218</v>
      </c>
      <c r="B39" s="216" t="s">
        <v>2219</v>
      </c>
      <c r="C39" s="238">
        <f ca="1">ROUND(C33*F20,0)</f>
        <v>9341470</v>
      </c>
      <c r="D39" s="238"/>
      <c r="E39" s="238"/>
      <c r="F39" s="2536">
        <f>F20</f>
        <v>0.03</v>
      </c>
      <c r="G39" s="240" t="s">
        <v>2220</v>
      </c>
    </row>
    <row r="40" spans="1:7" s="220" customFormat="1" ht="13.5" customHeight="1">
      <c r="A40" s="261" t="s">
        <v>2221</v>
      </c>
      <c r="B40" s="216" t="s">
        <v>2222</v>
      </c>
      <c r="C40" s="1497">
        <f>F21</f>
        <v>0.03</v>
      </c>
      <c r="D40" s="242" t="s">
        <v>2223</v>
      </c>
      <c r="E40" s="238"/>
      <c r="F40" s="2536">
        <f>F21</f>
        <v>0.03</v>
      </c>
      <c r="G40" s="240" t="s">
        <v>2224</v>
      </c>
    </row>
    <row r="41" spans="1:7" s="220" customFormat="1" ht="13.5" customHeight="1">
      <c r="A41" s="261" t="s">
        <v>2225</v>
      </c>
      <c r="B41" s="216" t="s">
        <v>2226</v>
      </c>
      <c r="C41" s="238">
        <f ca="1">ROUND(SUM(C42:C43),0)</f>
        <v>15234381</v>
      </c>
      <c r="D41" s="241">
        <f ca="1">C44</f>
        <v>1.4E-3</v>
      </c>
      <c r="E41" s="242" t="s">
        <v>2223</v>
      </c>
      <c r="F41" s="2537">
        <f ca="1">F22</f>
        <v>4.7500000000000001E-2</v>
      </c>
      <c r="G41" s="240" t="str">
        <f>IF('数据-取费表'!B22&lt;=1,"单利计息","复利计息")</f>
        <v>复利计息</v>
      </c>
    </row>
    <row r="42" spans="1:7" ht="13.5" customHeight="1">
      <c r="A42" s="888" t="s">
        <v>791</v>
      </c>
      <c r="B42" s="221" t="s">
        <v>2227</v>
      </c>
      <c r="C42" s="244">
        <f ca="1">ROUND(IF('数据-取费表'!B22&lt;=1,C33*F22*'数据-取费表'!B20/2,C33*(POWER((1+F22),'数据-取费表'!B20/2)-1)),0)</f>
        <v>14790661</v>
      </c>
      <c r="D42" s="244"/>
      <c r="E42" s="244"/>
      <c r="F42" s="245"/>
      <c r="G42" s="3283" t="s">
        <v>2275</v>
      </c>
    </row>
    <row r="43" spans="1:7" ht="13.5" customHeight="1">
      <c r="A43" s="888" t="s">
        <v>792</v>
      </c>
      <c r="B43" s="221" t="s">
        <v>2229</v>
      </c>
      <c r="C43" s="244">
        <f ca="1">ROUND(IF('数据-取费表'!B22&lt;=1,C39*F22*'数据-取费表'!B20/2,C39*(POWER((1+F22),'数据-取费表'!B20/2)-1)),0)</f>
        <v>443720</v>
      </c>
      <c r="D43" s="244"/>
      <c r="E43" s="244"/>
      <c r="F43" s="245"/>
      <c r="G43" s="3284"/>
    </row>
    <row r="44" spans="1:7" ht="13.5" customHeight="1">
      <c r="A44" s="888" t="s">
        <v>793</v>
      </c>
      <c r="B44" s="221" t="s">
        <v>2230</v>
      </c>
      <c r="C44" s="244">
        <f ca="1">ROUND(IF('数据-取费表'!B22&lt;=1,C40*F22*'数据-取费表'!B20/2,C40*(POWER((1+F22),'数据-取费表'!B20/2)-1)),4)</f>
        <v>1.4E-3</v>
      </c>
      <c r="D44" s="244"/>
      <c r="E44" s="244"/>
      <c r="F44" s="245"/>
      <c r="G44" s="3285"/>
    </row>
    <row r="45" spans="1:7" s="220" customFormat="1" ht="13.5" customHeight="1">
      <c r="A45" s="261" t="s">
        <v>2231</v>
      </c>
      <c r="B45" s="250" t="s">
        <v>2197</v>
      </c>
      <c r="C45" s="251">
        <f ca="1">C46</f>
        <v>32072381</v>
      </c>
      <c r="D45" s="241">
        <f ca="1">C47</f>
        <v>3.0000000000000001E-3</v>
      </c>
      <c r="E45" s="242" t="s">
        <v>2223</v>
      </c>
      <c r="F45" s="2538">
        <f ca="1">F27</f>
        <v>0.1</v>
      </c>
      <c r="G45" s="253" t="s">
        <v>2232</v>
      </c>
    </row>
    <row r="46" spans="1:7" s="220" customFormat="1" ht="13.5" customHeight="1">
      <c r="A46" s="888" t="s">
        <v>791</v>
      </c>
      <c r="B46" s="254" t="s">
        <v>2233</v>
      </c>
      <c r="C46" s="255">
        <f ca="1">ROUND((C33+C39)*F27,0)</f>
        <v>32072381</v>
      </c>
      <c r="D46" s="269"/>
      <c r="E46" s="242"/>
      <c r="F46" s="252"/>
      <c r="G46" s="253"/>
    </row>
    <row r="47" spans="1:7" s="220" customFormat="1" ht="13.5" customHeight="1">
      <c r="A47" s="888" t="s">
        <v>792</v>
      </c>
      <c r="B47" s="254" t="s">
        <v>2234</v>
      </c>
      <c r="C47" s="244">
        <f ca="1">ROUND(C40*F27,4)</f>
        <v>3.0000000000000001E-3</v>
      </c>
      <c r="D47" s="269"/>
      <c r="E47" s="242"/>
      <c r="F47" s="252"/>
      <c r="G47" s="253"/>
    </row>
    <row r="48" spans="1:7" s="220" customFormat="1" ht="13.5" customHeight="1">
      <c r="A48" s="261" t="s">
        <v>2196</v>
      </c>
      <c r="B48" s="216" t="s">
        <v>2235</v>
      </c>
      <c r="C48" s="268">
        <f>ROUND(F30/(1+'数据-取费表'!C42),4)</f>
        <v>5.3800000000000001E-2</v>
      </c>
      <c r="D48" s="242" t="s">
        <v>2223</v>
      </c>
      <c r="E48" s="238"/>
      <c r="F48" s="2537">
        <f>F30</f>
        <v>5.6500000000000002E-2</v>
      </c>
      <c r="G48" s="240" t="s">
        <v>2236</v>
      </c>
    </row>
    <row r="49" spans="1:7" ht="16.5" customHeight="1">
      <c r="A49" s="261" t="s">
        <v>2202</v>
      </c>
      <c r="B49" s="216" t="s">
        <v>2276</v>
      </c>
      <c r="C49" s="238">
        <f ca="1">ROUND((C33+C39+C41+C45)/(1-C40-D41-D45-C48),0)</f>
        <v>403630807</v>
      </c>
      <c r="D49" s="238"/>
      <c r="E49" s="238"/>
      <c r="F49" s="270"/>
      <c r="G49" s="240" t="s">
        <v>2238</v>
      </c>
    </row>
    <row r="50" spans="1:7" s="264" customFormat="1">
      <c r="A50" s="261" t="s">
        <v>2239</v>
      </c>
      <c r="B50" s="216" t="s">
        <v>2240</v>
      </c>
      <c r="C50" s="238"/>
      <c r="D50" s="238"/>
      <c r="E50" s="238"/>
      <c r="F50" s="270">
        <f>IF('数据-取费表'!B24=0,'数据-取费表'!N16,1)</f>
        <v>1</v>
      </c>
      <c r="G50" s="253"/>
    </row>
    <row r="51" spans="1:7" ht="16.5" customHeight="1">
      <c r="A51" s="261" t="s">
        <v>2242</v>
      </c>
      <c r="B51" s="216" t="s">
        <v>2277</v>
      </c>
      <c r="C51" s="238">
        <f ca="1">ROUND(C49*F50,0)</f>
        <v>403630807</v>
      </c>
      <c r="D51" s="238"/>
      <c r="E51" s="238"/>
      <c r="F51" s="270"/>
      <c r="G51" s="240" t="s">
        <v>2244</v>
      </c>
    </row>
    <row r="52" spans="1:7" s="214" customFormat="1" ht="16.5" thickBot="1">
      <c r="A52" s="271" t="s">
        <v>2245</v>
      </c>
      <c r="B52" s="272"/>
      <c r="C52" s="273">
        <f ca="1">C31+C51</f>
        <v>477270676</v>
      </c>
      <c r="D52" s="272"/>
      <c r="E52" s="272"/>
      <c r="F52" s="272"/>
      <c r="G52" s="274"/>
    </row>
    <row r="55" spans="1:7" ht="15">
      <c r="B55" s="276" t="s">
        <v>2246</v>
      </c>
      <c r="C55" s="277"/>
    </row>
    <row r="56" spans="1:7">
      <c r="B56" s="279" t="s">
        <v>1478</v>
      </c>
      <c r="C56" s="281">
        <f ca="1">1-C57</f>
        <v>0.15400000000000003</v>
      </c>
    </row>
    <row r="57" spans="1:7">
      <c r="B57" s="279" t="s">
        <v>1479</v>
      </c>
      <c r="C57" s="280">
        <f ca="1">ROUND(C51/C52,3)</f>
        <v>0.84599999999999997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Normal="70" zoomScaleSheetLayoutView="100" workbookViewId="0">
      <selection activeCell="F29" sqref="F2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8"/>
      <c r="F1" s="3038"/>
      <c r="G1" s="2901"/>
      <c r="H1" s="3038"/>
      <c r="I1" s="3038"/>
      <c r="J1" s="3038"/>
      <c r="K1" s="3039">
        <f>MATCH(C1,'数据-取费表'!A6:A16,0)+5</f>
        <v>11</v>
      </c>
    </row>
    <row r="2" spans="1:33" ht="18" customHeight="1">
      <c r="A2" s="207" t="s">
        <v>2146</v>
      </c>
      <c r="B2" s="210">
        <f ca="1">C32</f>
        <v>129840</v>
      </c>
      <c r="C2" s="282" t="s">
        <v>2279</v>
      </c>
      <c r="D2" s="282"/>
      <c r="E2" s="3038"/>
      <c r="F2" s="3038"/>
      <c r="G2" s="3038"/>
      <c r="H2" s="3038"/>
      <c r="I2" s="3038"/>
      <c r="J2" s="3038"/>
      <c r="K2" s="3038"/>
    </row>
    <row r="3" spans="1:33" ht="18" customHeight="1" thickBot="1">
      <c r="A3" s="209" t="s">
        <v>2148</v>
      </c>
      <c r="B3" s="210">
        <f ca="1">ROUND(B2*10000/IF(C1="",'数据-汇总表'!E3,INDIRECT("'数据-取费表'!K"&amp;$K$1)),0)</f>
        <v>12050</v>
      </c>
      <c r="C3" s="282" t="s">
        <v>2280</v>
      </c>
      <c r="D3" s="282"/>
      <c r="E3" s="3038"/>
      <c r="F3" s="3038"/>
      <c r="G3" s="3038"/>
      <c r="H3" s="3038"/>
      <c r="I3" s="3038"/>
      <c r="J3" s="3038"/>
      <c r="K3" s="3038"/>
    </row>
    <row r="4" spans="1:33" s="893" customFormat="1" ht="16.5" customHeight="1">
      <c r="A4" s="890" t="s">
        <v>2281</v>
      </c>
      <c r="B4" s="891"/>
      <c r="C4" s="933">
        <f>SUM(C8:K8)</f>
        <v>162145</v>
      </c>
      <c r="D4" s="891"/>
      <c r="E4" s="891"/>
      <c r="F4" s="891"/>
      <c r="G4" s="891"/>
      <c r="H4" s="891"/>
      <c r="I4" s="891"/>
      <c r="J4" s="891"/>
      <c r="K4" s="892"/>
    </row>
    <row r="5" spans="1:33" s="897" customFormat="1" ht="15">
      <c r="A5" s="894" t="s">
        <v>2282</v>
      </c>
      <c r="B5" s="895" t="s">
        <v>2283</v>
      </c>
      <c r="C5" s="2047" t="s">
        <v>3717</v>
      </c>
      <c r="D5" s="2047" t="s">
        <v>3719</v>
      </c>
      <c r="E5" s="2047" t="s">
        <v>3730</v>
      </c>
      <c r="F5" s="2047" t="s">
        <v>3732</v>
      </c>
      <c r="G5" s="2047" t="s">
        <v>48</v>
      </c>
      <c r="H5" s="2047"/>
      <c r="I5" s="2047"/>
      <c r="J5" s="2047"/>
      <c r="K5" s="2047"/>
      <c r="L5" s="896"/>
      <c r="M5" s="3086" t="s">
        <v>3741</v>
      </c>
      <c r="N5" s="3086" t="s">
        <v>3740</v>
      </c>
      <c r="O5" s="3086" t="s">
        <v>3742</v>
      </c>
      <c r="P5" s="3086" t="s">
        <v>3743</v>
      </c>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2284</v>
      </c>
      <c r="C6" s="899">
        <f>'[2]剩余法-待开发'!$C$8</f>
        <v>20000</v>
      </c>
      <c r="D6" s="899">
        <f>'[2]剩余法-待开发'!$D$8</f>
        <v>24000</v>
      </c>
      <c r="E6" s="899">
        <f>'[2]剩余法-待开发'!$E$8</f>
        <v>28000</v>
      </c>
      <c r="F6" s="899">
        <f>O9</f>
        <v>25346</v>
      </c>
      <c r="G6" s="899"/>
      <c r="H6" s="899"/>
      <c r="I6" s="899"/>
      <c r="J6" s="899"/>
      <c r="K6" s="900"/>
      <c r="L6" s="901" t="s">
        <v>3737</v>
      </c>
      <c r="M6" s="901">
        <f>商业面积!L3</f>
        <v>7441.46</v>
      </c>
      <c r="N6" s="901">
        <v>1</v>
      </c>
      <c r="O6" s="901">
        <f>'[2]剩余法-待开发'!$O$8</f>
        <v>28000</v>
      </c>
      <c r="P6" s="901">
        <f>O6*M6/10000</f>
        <v>20836.088</v>
      </c>
      <c r="Q6" s="901"/>
      <c r="R6" s="901"/>
      <c r="S6" s="901"/>
      <c r="T6" s="901"/>
      <c r="U6" s="901"/>
      <c r="V6" s="901"/>
      <c r="W6" s="901"/>
      <c r="X6" s="901"/>
      <c r="Y6" s="901"/>
      <c r="Z6" s="901"/>
      <c r="AA6" s="901"/>
      <c r="AB6" s="901"/>
      <c r="AC6" s="901"/>
      <c r="AD6" s="901"/>
      <c r="AE6" s="901"/>
      <c r="AF6" s="901"/>
      <c r="AG6" s="901"/>
    </row>
    <row r="7" spans="1:33" s="902" customFormat="1" ht="13.5" customHeight="1">
      <c r="A7" s="898" t="s">
        <v>2285</v>
      </c>
      <c r="B7" s="136" t="s">
        <v>2286</v>
      </c>
      <c r="C7" s="283">
        <f>SUMIF('数据-汇总表'!$C19:$C33,假设开发法!C5,'数据-汇总表'!$E19:$E33)</f>
        <v>0</v>
      </c>
      <c r="D7" s="283">
        <f>SUMIF('数据-汇总表'!$C19:$C33,假设开发法!D5,'数据-汇总表'!$E19:$E33)</f>
        <v>45336.350000000006</v>
      </c>
      <c r="E7" s="283">
        <f>SUMIF('数据-汇总表'!$C19:$C33,假设开发法!E5,'数据-汇总表'!$E19:$E33)</f>
        <v>5119.12</v>
      </c>
      <c r="F7" s="283">
        <f>SUMIF('数据-汇总表'!$C19:$C33,假设开发法!F5,'数据-汇总表'!$E19:$E33)</f>
        <v>15388.85</v>
      </c>
      <c r="G7" s="283">
        <f>SUMIF('数据-汇总表'!$C19:$C33,假设开发法!G5,'数据-汇总表'!$E19:$E33)</f>
        <v>35467.410000000003</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t="s">
        <v>3738</v>
      </c>
      <c r="M7" s="901">
        <f>商业面积!L4</f>
        <v>1777.72</v>
      </c>
      <c r="N7" s="901">
        <v>0.7</v>
      </c>
      <c r="O7" s="901">
        <f>O6*N7</f>
        <v>19600</v>
      </c>
      <c r="P7" s="901">
        <f t="shared" ref="P7:P8" si="0">O7*M7/10000</f>
        <v>3484.3312000000001</v>
      </c>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2287</v>
      </c>
      <c r="B8" s="169" t="s">
        <v>2288</v>
      </c>
      <c r="C8" s="934">
        <f>ROUND(C6*C7/10000,0)</f>
        <v>0</v>
      </c>
      <c r="D8" s="934">
        <f>ROUND(D6*D7/10000,0)</f>
        <v>108807</v>
      </c>
      <c r="E8" s="934">
        <f>ROUND(E6*E7/10000,0)</f>
        <v>14334</v>
      </c>
      <c r="F8" s="935">
        <f>P9</f>
        <v>39004</v>
      </c>
      <c r="G8" s="935"/>
      <c r="H8" s="935"/>
      <c r="I8" s="935"/>
      <c r="J8" s="935"/>
      <c r="K8" s="936"/>
      <c r="L8" s="901" t="s">
        <v>3739</v>
      </c>
      <c r="M8" s="901">
        <f>商业面积!L2</f>
        <v>6169.67</v>
      </c>
      <c r="N8" s="901">
        <f>(N6+N7)/2</f>
        <v>0.85</v>
      </c>
      <c r="O8" s="901">
        <f>O6*N8</f>
        <v>23800</v>
      </c>
      <c r="P8" s="901">
        <f t="shared" si="0"/>
        <v>14683.8146</v>
      </c>
      <c r="Q8" s="901"/>
      <c r="R8" s="901"/>
      <c r="S8" s="901"/>
      <c r="T8" s="901"/>
      <c r="U8" s="901"/>
      <c r="V8" s="901"/>
      <c r="W8" s="901"/>
      <c r="X8" s="901"/>
      <c r="Y8" s="901"/>
      <c r="Z8" s="901"/>
      <c r="AA8" s="901"/>
      <c r="AB8" s="901"/>
      <c r="AC8" s="901"/>
      <c r="AD8" s="901"/>
      <c r="AE8" s="901"/>
      <c r="AF8" s="901"/>
      <c r="AG8" s="901"/>
    </row>
    <row r="9" spans="1:33" s="893" customFormat="1" ht="16.5" customHeight="1">
      <c r="A9" s="890" t="s">
        <v>2289</v>
      </c>
      <c r="B9" s="891"/>
      <c r="C9" s="891"/>
      <c r="D9" s="891"/>
      <c r="E9" s="891"/>
      <c r="F9" s="891"/>
      <c r="G9" s="891"/>
      <c r="H9" s="891"/>
      <c r="I9" s="891"/>
      <c r="J9" s="891"/>
      <c r="K9" s="892"/>
      <c r="M9" s="893">
        <f>M6+M7+M8</f>
        <v>15388.85</v>
      </c>
      <c r="O9" s="893">
        <f>ROUND(P9/M9*10000,0)</f>
        <v>25346</v>
      </c>
      <c r="P9" s="893">
        <f>ROUND(P6+P7+P8,0)</f>
        <v>39004</v>
      </c>
    </row>
    <row r="10" spans="1:33" s="907" customFormat="1" ht="13.5" customHeight="1">
      <c r="A10" s="894" t="s">
        <v>2290</v>
      </c>
      <c r="B10" s="8" t="s">
        <v>2291</v>
      </c>
      <c r="C10" s="903" t="s">
        <v>2292</v>
      </c>
      <c r="D10" s="904" t="s">
        <v>2293</v>
      </c>
      <c r="E10" s="904" t="s">
        <v>2294</v>
      </c>
      <c r="F10" s="904" t="s">
        <v>2295</v>
      </c>
      <c r="G10" s="8"/>
      <c r="H10" s="905"/>
      <c r="I10" s="905"/>
      <c r="J10" s="905"/>
      <c r="K10" s="906"/>
    </row>
    <row r="11" spans="1:33" s="912" customFormat="1" ht="13.5" customHeight="1">
      <c r="A11" s="908" t="s">
        <v>1300</v>
      </c>
      <c r="B11" s="909" t="s">
        <v>2296</v>
      </c>
      <c r="C11" s="285">
        <f ca="1">IF(C1="",'数据-取费表'!P16,INDIRECT("'数据-取费表'!p"&amp;$K$1)+INDIRECT("'数据-取费表'!ar"&amp;$K$1))</f>
        <v>6637</v>
      </c>
      <c r="D11" s="910"/>
      <c r="E11" s="335"/>
      <c r="F11" s="911">
        <f ca="1">1-IF('数据-取费表'!B24=0,1,IF(C1="",'数据-取费表'!N16,INDIRECT("'数据-取费表'!n"&amp;$K$1)))</f>
        <v>0.255</v>
      </c>
      <c r="G11" s="8"/>
      <c r="H11" s="905"/>
      <c r="I11" s="905"/>
      <c r="J11" s="905"/>
      <c r="K11" s="906"/>
    </row>
    <row r="12" spans="1:33" s="912" customFormat="1" ht="13.5" customHeight="1">
      <c r="A12" s="908" t="s">
        <v>1301</v>
      </c>
      <c r="B12" s="909" t="s">
        <v>2297</v>
      </c>
      <c r="C12" s="24">
        <f ca="1">ROUND(C11*F12,0)</f>
        <v>332</v>
      </c>
      <c r="D12" s="910"/>
      <c r="E12" s="335"/>
      <c r="F12" s="913">
        <f>'数据-取费表'!B33</f>
        <v>0.05</v>
      </c>
      <c r="G12" s="8" t="s">
        <v>2298</v>
      </c>
      <c r="H12" s="905"/>
      <c r="I12" s="905"/>
      <c r="J12" s="905"/>
      <c r="K12" s="906"/>
    </row>
    <row r="13" spans="1:33" s="912" customFormat="1" ht="13.5" customHeight="1">
      <c r="A13" s="908" t="s">
        <v>1302</v>
      </c>
      <c r="B13" s="909" t="s">
        <v>2299</v>
      </c>
      <c r="C13" s="24">
        <f ca="1">ROUND(IF(C1="",SUMIF('数据-取费表'!C:C,"住宅",'数据-取费表'!P:P)*F13,IF(INDIRECT("'数据-取费表'!c"&amp;$K$1)="住宅",INDIRECT("'数据-取费表'!P"&amp;$K$1)*F13,0)),0)</f>
        <v>463</v>
      </c>
      <c r="D13" s="955"/>
      <c r="E13" s="335"/>
      <c r="F13" s="913">
        <f>'数据-取费表'!B34</f>
        <v>0.08</v>
      </c>
      <c r="G13" s="8" t="s">
        <v>2300</v>
      </c>
      <c r="H13" s="905"/>
      <c r="I13" s="905"/>
      <c r="J13" s="905"/>
      <c r="K13" s="906"/>
    </row>
    <row r="14" spans="1:33" s="914" customFormat="1" ht="13.5" customHeight="1">
      <c r="A14" s="908" t="s">
        <v>1303</v>
      </c>
      <c r="B14" s="909" t="s">
        <v>2301</v>
      </c>
      <c r="C14" s="24">
        <f ca="1">ROUND(D14*E14*F11/10000,0)</f>
        <v>550</v>
      </c>
      <c r="D14" s="955">
        <f ca="1">IF(C1="",'数据-汇总表'!E3,INDIRECT("'数据-取费表'!K"&amp;$K$1)+INDIRECT("'数据-取费表'!S"&amp;$K$1))</f>
        <v>107747.01000000001</v>
      </c>
      <c r="E14" s="24">
        <f>'数据-取费表'!B35</f>
        <v>200</v>
      </c>
      <c r="F14" s="913"/>
      <c r="G14" s="8" t="s">
        <v>2302</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2303</v>
      </c>
      <c r="C15" s="920">
        <f ca="1">ROUND(C11*F15,0)</f>
        <v>100</v>
      </c>
      <c r="D15" s="915"/>
      <c r="E15" s="920"/>
      <c r="F15" s="921">
        <f>'数据-取费表'!B36</f>
        <v>1.4999999999999999E-2</v>
      </c>
      <c r="G15" s="136" t="s">
        <v>2304</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2305</v>
      </c>
      <c r="C16" s="920">
        <f ca="1">SUM(C11:C15)</f>
        <v>8082</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2306</v>
      </c>
      <c r="C17" s="24">
        <f ca="1">ROUND(D17*E17/10000,0)</f>
        <v>0</v>
      </c>
      <c r="D17" s="955">
        <f ca="1">D14</f>
        <v>107747.01000000001</v>
      </c>
      <c r="E17" s="24">
        <f>'数据-取费表'!B32</f>
        <v>0</v>
      </c>
      <c r="F17" s="915"/>
      <c r="G17" s="136" t="s">
        <v>2307</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2308</v>
      </c>
      <c r="C18" s="24">
        <f ca="1">C19+C20-IF(C1="",'数据-取费表'!B29,IF(G18="已全部缴纳",C19+C20,H18))</f>
        <v>2361</v>
      </c>
      <c r="D18" s="955"/>
      <c r="E18" s="24"/>
      <c r="F18" s="913"/>
      <c r="G18" s="2049"/>
      <c r="H18" s="1349"/>
      <c r="I18" s="2050" t="s">
        <v>2309</v>
      </c>
      <c r="J18" s="916"/>
      <c r="K18" s="917"/>
    </row>
    <row r="19" spans="1:33" s="912" customFormat="1" ht="13.5" customHeight="1">
      <c r="A19" s="908" t="s">
        <v>805</v>
      </c>
      <c r="B19" s="909" t="s">
        <v>2310</v>
      </c>
      <c r="C19" s="24">
        <f ca="1">ROUND(D19*E19/10000,0)</f>
        <v>1463</v>
      </c>
      <c r="D19" s="955">
        <f ca="1">IF(C1="",'数据-汇总表'!E5,IF(INDIRECT("'数据-取费表'!c"&amp;$K$1)="住宅",INDIRECT("'数据-取费表'!k"&amp;$K$1),0))</f>
        <v>50455.470000000008</v>
      </c>
      <c r="E19" s="24">
        <f>'数据-取费表'!B27</f>
        <v>290</v>
      </c>
      <c r="F19" s="913"/>
      <c r="G19" s="15"/>
      <c r="H19" s="1351"/>
      <c r="I19" s="918"/>
      <c r="J19" s="918"/>
      <c r="K19" s="919"/>
    </row>
    <row r="20" spans="1:33" s="912" customFormat="1" ht="13.5" customHeight="1">
      <c r="A20" s="908" t="s">
        <v>806</v>
      </c>
      <c r="B20" s="909" t="s">
        <v>2311</v>
      </c>
      <c r="C20" s="24">
        <f ca="1">ROUND(D20*E20/10000,0)</f>
        <v>1833</v>
      </c>
      <c r="D20" s="955">
        <f ca="1">IF(C1="",'数据-汇总表'!E6,IF(INDIRECT("'数据-取费表'!c"&amp;$K$1)="住宅",INDIRECT("'数据-取费表'!s"&amp;$K$1),INDIRECT("'数据-取费表'!k"&amp;$K$1)+INDIRECT("'数据-取费表'!s"&amp;$K$1)))</f>
        <v>57291.54</v>
      </c>
      <c r="E20" s="24">
        <f>'数据-取费表'!B28</f>
        <v>320</v>
      </c>
      <c r="F20" s="913"/>
      <c r="G20" s="15"/>
      <c r="H20" s="918"/>
      <c r="I20" s="918"/>
      <c r="J20" s="918"/>
      <c r="K20" s="919"/>
    </row>
    <row r="21" spans="1:33" s="912" customFormat="1" ht="13.5" customHeight="1">
      <c r="A21" s="898" t="s">
        <v>802</v>
      </c>
      <c r="B21" s="922" t="s">
        <v>2312</v>
      </c>
      <c r="C21" s="923">
        <f ca="1">C16+C17+C18</f>
        <v>10443</v>
      </c>
      <c r="D21" s="924"/>
      <c r="E21" s="287"/>
      <c r="F21" s="287"/>
      <c r="G21" s="136" t="s">
        <v>2313</v>
      </c>
      <c r="H21" s="916"/>
      <c r="I21" s="916"/>
      <c r="J21" s="916"/>
      <c r="K21" s="917"/>
    </row>
    <row r="22" spans="1:33" s="912" customFormat="1" ht="13.5" customHeight="1">
      <c r="A22" s="898" t="s">
        <v>2285</v>
      </c>
      <c r="B22" s="922" t="s">
        <v>2314</v>
      </c>
      <c r="C22" s="923">
        <f ca="1">ROUND(C21*F22,0)</f>
        <v>313</v>
      </c>
      <c r="D22" s="287"/>
      <c r="E22" s="287"/>
      <c r="F22" s="925">
        <f>'数据-取费表'!B37</f>
        <v>0.03</v>
      </c>
      <c r="G22" s="8" t="s">
        <v>2315</v>
      </c>
      <c r="H22" s="905"/>
      <c r="I22" s="905"/>
      <c r="J22" s="905"/>
      <c r="K22" s="906"/>
    </row>
    <row r="23" spans="1:33" s="912" customFormat="1" ht="13.5" customHeight="1">
      <c r="A23" s="898" t="s">
        <v>2287</v>
      </c>
      <c r="B23" s="922" t="s">
        <v>2316</v>
      </c>
      <c r="C23" s="923">
        <f ca="1">ROUND(C4*F23*F11,0)</f>
        <v>1240</v>
      </c>
      <c r="D23" s="287"/>
      <c r="E23" s="287"/>
      <c r="F23" s="925">
        <f>'数据-取费表'!B38</f>
        <v>0.03</v>
      </c>
      <c r="G23" s="8" t="s">
        <v>2317</v>
      </c>
      <c r="H23" s="905"/>
      <c r="I23" s="905"/>
      <c r="J23" s="905"/>
      <c r="K23" s="906"/>
    </row>
    <row r="24" spans="1:33" s="912" customFormat="1" ht="13.5" customHeight="1">
      <c r="A24" s="898" t="s">
        <v>2318</v>
      </c>
      <c r="B24" s="922" t="s">
        <v>2319</v>
      </c>
      <c r="C24" s="286">
        <f>ROUND(F24/(1+'数据-取费表'!C42),4)</f>
        <v>2.9000000000000001E-2</v>
      </c>
      <c r="D24" s="287" t="s">
        <v>15</v>
      </c>
      <c r="E24" s="287"/>
      <c r="F24" s="925">
        <f>IF(项目基本情况!B8="出让",0,'数据-取费表'!B48+'数据-取费表'!B49)</f>
        <v>3.0499999999999999E-2</v>
      </c>
      <c r="G24" s="8" t="s">
        <v>2320</v>
      </c>
      <c r="H24" s="927"/>
      <c r="I24" s="927"/>
      <c r="J24" s="927"/>
      <c r="K24" s="928"/>
    </row>
    <row r="25" spans="1:33" s="912" customFormat="1" ht="13.5" customHeight="1">
      <c r="A25" s="898" t="s">
        <v>2321</v>
      </c>
      <c r="B25" s="924" t="s">
        <v>2322</v>
      </c>
      <c r="C25" s="1266">
        <f ca="1">C27</f>
        <v>140</v>
      </c>
      <c r="D25" s="286">
        <f ca="1">C26</f>
        <v>2.4199999999999999E-2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2323</v>
      </c>
      <c r="C26" s="1267">
        <f ca="1">ROUND(IF('数据-取费表'!B22&lt;=1,(1+C24)*F25*'数据-取费表'!B24,(1+C24)*(POWER((1+F25),'数据-取费表'!B24)-1)),4)</f>
        <v>2.4199999999999999E-2</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2324</v>
      </c>
      <c r="C27" s="1268">
        <f ca="1">ROUND(IF('数据-取费表'!B22&lt;=1,(C21+C22+C23)*F25*'数据-取费表'!B24/2,(C21+C22+C23)*(POWER((1+F25),'数据-取费表'!B24/2)-1)),0)</f>
        <v>140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2325</v>
      </c>
      <c r="B28" s="2052" t="s">
        <v>2326</v>
      </c>
      <c r="C28" s="293">
        <f ca="1">C30</f>
        <v>1200</v>
      </c>
      <c r="D28" s="286">
        <f ca="1">C29</f>
        <v>2.5700000000000001E-2</v>
      </c>
      <c r="E28" s="288" t="s">
        <v>15</v>
      </c>
      <c r="F28" s="294">
        <f ca="1">IF(C1="",'数据-取费表'!Q16,INDIRECT("'数据-取费表'!q"&amp;$K$1))</f>
        <v>0.1</v>
      </c>
      <c r="G28" s="926"/>
      <c r="H28" s="927"/>
      <c r="I28" s="927"/>
      <c r="J28" s="927"/>
      <c r="K28" s="928"/>
    </row>
    <row r="29" spans="1:33" s="297" customFormat="1" ht="13.5" customHeight="1">
      <c r="A29" s="908" t="s">
        <v>803</v>
      </c>
      <c r="B29" s="931" t="s">
        <v>2327</v>
      </c>
      <c r="C29" s="290">
        <f ca="1">ROUND((1+C24)*F28*'数据-取费表'!B24/'数据-取费表'!B20,4)</f>
        <v>2.5700000000000001E-2</v>
      </c>
      <c r="D29" s="290"/>
      <c r="E29" s="291"/>
      <c r="F29" s="296"/>
      <c r="G29" s="136" t="s">
        <v>2328</v>
      </c>
      <c r="H29" s="916"/>
      <c r="I29" s="916"/>
      <c r="J29" s="916"/>
      <c r="K29" s="917"/>
    </row>
    <row r="30" spans="1:33" s="297" customFormat="1" ht="13.5" customHeight="1">
      <c r="A30" s="908" t="s">
        <v>804</v>
      </c>
      <c r="B30" s="931" t="s">
        <v>2329</v>
      </c>
      <c r="C30" s="298">
        <f ca="1">ROUND((C21+C22+C23)*F28,0)</f>
        <v>1200</v>
      </c>
      <c r="D30" s="290"/>
      <c r="E30" s="291"/>
      <c r="F30" s="296"/>
      <c r="G30" s="136"/>
      <c r="H30" s="916"/>
      <c r="I30" s="916"/>
      <c r="J30" s="916"/>
      <c r="K30" s="917"/>
    </row>
    <row r="31" spans="1:33" s="912" customFormat="1" ht="13.5" customHeight="1" thickBot="1">
      <c r="A31" s="2053" t="s">
        <v>2330</v>
      </c>
      <c r="B31" s="942" t="s">
        <v>2331</v>
      </c>
      <c r="C31" s="943">
        <f>ROUND(C4*F31/(1+'数据-取费表'!C42),0)</f>
        <v>8725</v>
      </c>
      <c r="D31" s="944"/>
      <c r="E31" s="945"/>
      <c r="F31" s="946">
        <f>'数据-取费表'!B41</f>
        <v>5.6500000000000002E-2</v>
      </c>
      <c r="G31" s="947" t="s">
        <v>2332</v>
      </c>
      <c r="H31" s="948"/>
      <c r="I31" s="948"/>
      <c r="J31" s="948"/>
      <c r="K31" s="949"/>
    </row>
    <row r="32" spans="1:33" s="907" customFormat="1" ht="13.5" customHeight="1" thickBot="1">
      <c r="A32" s="937" t="s">
        <v>2333</v>
      </c>
      <c r="B32" s="938"/>
      <c r="C32" s="939">
        <f ca="1">ROUND((C4-C21-C22-C23-C25-C28-C31)/(1+C24+D25+D28),0)</f>
        <v>129840</v>
      </c>
      <c r="D32" s="938"/>
      <c r="E32" s="938"/>
      <c r="F32" s="938"/>
      <c r="G32" s="940" t="s">
        <v>2334</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-0.5</v>
      </c>
      <c r="G1" s="1564">
        <f>MATCH(C1,'数据-取费表'!A6:A16,0)+5</f>
        <v>11</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6"/>
      <c r="H2" s="2925"/>
      <c r="I2" s="2925"/>
      <c r="J2" s="2925"/>
      <c r="K2" s="2926"/>
      <c r="L2" s="2925"/>
      <c r="M2" s="2925"/>
    </row>
    <row r="3" spans="1:37" ht="18" customHeight="1" thickBot="1">
      <c r="A3" s="1576" t="s">
        <v>1482</v>
      </c>
      <c r="B3" s="1577">
        <f ca="1">IF(ISERROR(B2*10000/F43),0,ROUND(B2*10000/F43,0))</f>
        <v>0</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88" t="s">
        <v>1368</v>
      </c>
      <c r="C6" s="1206">
        <f ca="1">ROUND(F6*F8*F7*(1-F9)/10000,0)</f>
        <v>0</v>
      </c>
      <c r="D6" s="160" t="s">
        <v>2846</v>
      </c>
      <c r="E6" s="308" t="s">
        <v>1370</v>
      </c>
      <c r="F6" s="309">
        <f ca="1">INDIRECT("'数据-取费表'!u"&amp;$G$1)</f>
        <v>0</v>
      </c>
      <c r="G6" s="1570"/>
      <c r="H6" s="1201" t="s">
        <v>1003</v>
      </c>
      <c r="I6" s="3288" t="s">
        <v>1368</v>
      </c>
      <c r="J6" s="307">
        <f ca="1">ROUND(M6*M8*M7*(1-M9)/10000,0)</f>
        <v>0</v>
      </c>
      <c r="K6" s="160" t="s">
        <v>2845</v>
      </c>
      <c r="L6" s="308" t="s">
        <v>1370</v>
      </c>
      <c r="M6" s="309">
        <f ca="1">INDIRECT("'数据-取费表'!z"&amp;$G$1)</f>
        <v>0</v>
      </c>
    </row>
    <row r="7" spans="1:37" ht="18" customHeight="1">
      <c r="A7" s="1205"/>
      <c r="B7" s="3289"/>
      <c r="C7" s="1207"/>
      <c r="D7" s="313"/>
      <c r="E7" s="1208" t="s">
        <v>1371</v>
      </c>
      <c r="F7" s="309">
        <f ca="1">IF(INDIRECT("'数据-取费表'!ah"&amp;$G$1)="",INDIRECT("'数据-取费表'!k"&amp;$G$1),INDIRECT("'数据-取费表'!ah"&amp;$G$1))</f>
        <v>0</v>
      </c>
      <c r="G7" s="1570"/>
      <c r="H7" s="310"/>
      <c r="I7" s="3289"/>
      <c r="J7" s="312"/>
      <c r="K7" s="313"/>
      <c r="L7" s="308" t="s">
        <v>1371</v>
      </c>
      <c r="M7" s="309">
        <f ca="1">F7</f>
        <v>0</v>
      </c>
    </row>
    <row r="8" spans="1:37" ht="18" customHeight="1">
      <c r="A8" s="310"/>
      <c r="B8" s="3289"/>
      <c r="C8" s="312"/>
      <c r="D8" s="313"/>
      <c r="E8" s="308" t="s">
        <v>1372</v>
      </c>
      <c r="F8" s="309">
        <f ca="1">INDIRECT("'数据-取费表'!ai"&amp;$G$1)</f>
        <v>0</v>
      </c>
      <c r="G8" s="1570"/>
      <c r="H8" s="310"/>
      <c r="I8" s="3289"/>
      <c r="J8" s="312"/>
      <c r="K8" s="313"/>
      <c r="L8" s="308" t="s">
        <v>1372</v>
      </c>
      <c r="M8" s="309">
        <f ca="1">INDIRECT("'数据-取费表'!ai"&amp;$G$1)</f>
        <v>0</v>
      </c>
    </row>
    <row r="9" spans="1:37" ht="18" customHeight="1">
      <c r="A9" s="310"/>
      <c r="B9" s="3290"/>
      <c r="C9" s="312"/>
      <c r="D9" s="313"/>
      <c r="E9" s="308" t="s">
        <v>1373</v>
      </c>
      <c r="F9" s="318">
        <f ca="1">INDIRECT("'数据-取费表'!w"&amp;$G$1)</f>
        <v>0</v>
      </c>
      <c r="G9" s="1570"/>
      <c r="H9" s="310"/>
      <c r="I9" s="329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2854</v>
      </c>
      <c r="E10" s="319" t="s">
        <v>1375</v>
      </c>
      <c r="F10" s="1276"/>
      <c r="G10" s="1570"/>
      <c r="H10" s="1201" t="s">
        <v>1007</v>
      </c>
      <c r="I10" s="1551" t="s">
        <v>1374</v>
      </c>
      <c r="J10" s="307">
        <f ca="1">ROUND(IF(M10="押一",J6/12*M11,IF(M10="押二",J6/12*2*M11,IF(M10="押三",J6/12*3*M11,J11*M11))),0)</f>
        <v>0</v>
      </c>
      <c r="K10" s="1552" t="s">
        <v>2853</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5.6500000000000002E-2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ROUND(M20*M21/10000,2)</f>
        <v>0</v>
      </c>
      <c r="K20" s="330" t="s">
        <v>1407</v>
      </c>
      <c r="L20" s="308" t="s">
        <v>1408</v>
      </c>
      <c r="M20" s="331">
        <f>'数据-取费表'!B52</f>
        <v>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5.3800000000000001E-2</v>
      </c>
      <c r="D28" s="329" t="s">
        <v>1441</v>
      </c>
      <c r="E28" s="308" t="s">
        <v>1387</v>
      </c>
      <c r="F28" s="328">
        <f>'数据-取费表'!B41</f>
        <v>5.6500000000000002E-2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IF(项目基本情况!B11="自然人","——",ROUND(C6*F32/(1+'数据-取费表'!C42),2))</f>
        <v>0</v>
      </c>
      <c r="D32" s="1530" t="s">
        <v>1399</v>
      </c>
      <c r="E32" s="308" t="s">
        <v>1387</v>
      </c>
      <c r="F32" s="337">
        <f>'数据-取费表'!B41</f>
        <v>5.6500000000000002E-2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5</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ROUND(C29*F36,1)</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ROUND(C13*F37,1)</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-0.5</v>
      </c>
      <c r="R52" s="1606" t="s">
        <v>1511</v>
      </c>
    </row>
    <row r="53" spans="1:18" s="1570" customFormat="1" ht="24.75" thickBot="1">
      <c r="A53" s="1314" t="s">
        <v>1105</v>
      </c>
      <c r="B53" s="1559" t="s">
        <v>1374</v>
      </c>
      <c r="C53" s="322">
        <f ca="1">ROUND(IF(F53="押一",C49/12*F11,IF(F53="押二",C49/12*2*F11,IF(F53="押三",C49/12*3*F11,C54*F11))),0)</f>
        <v>0</v>
      </c>
      <c r="D53" s="1552" t="s">
        <v>2853</v>
      </c>
      <c r="E53" s="319" t="s">
        <v>1375</v>
      </c>
      <c r="F53" s="1276"/>
      <c r="I53" s="1625" t="s">
        <v>1512</v>
      </c>
      <c r="J53" s="2387">
        <f ca="1">IF(M47="住宅",IF(D1="——",MAX(J51,L48),MAX(J51,L48-'数据-取费表'!B24)),IF(D1="——",MIN(J51,L48),MIN(J51,L48-'数据-取费表'!B24)))</f>
        <v>-0.5</v>
      </c>
      <c r="K53" s="3286" t="s">
        <v>1513</v>
      </c>
      <c r="L53" s="3287"/>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0.5</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5.6500000000000002E-2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-0.5</v>
      </c>
      <c r="G1" s="1564">
        <f>MATCH(C1,'数据-取费表'!A6:A16,0)+5</f>
        <v>11</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88" t="s">
        <v>1368</v>
      </c>
      <c r="C6" s="1206">
        <f ca="1">ROUND(F6*F8*F7*(1-F9),0)</f>
        <v>0</v>
      </c>
      <c r="D6" s="160" t="s">
        <v>2843</v>
      </c>
      <c r="E6" s="308" t="s">
        <v>1370</v>
      </c>
      <c r="F6" s="309">
        <f ca="1">INDIRECT("'数据-取费表'!u"&amp;$G$1)</f>
        <v>0</v>
      </c>
      <c r="G6" s="1570"/>
      <c r="H6" s="1201" t="s">
        <v>1003</v>
      </c>
      <c r="I6" s="3288" t="s">
        <v>1368</v>
      </c>
      <c r="J6" s="307">
        <f ca="1">ROUND(M6*M8*M7*(1-M9),0)</f>
        <v>0</v>
      </c>
      <c r="K6" s="1562" t="s">
        <v>2844</v>
      </c>
      <c r="L6" s="308" t="s">
        <v>1370</v>
      </c>
      <c r="M6" s="309">
        <f ca="1">INDIRECT("'数据-取费表'!z"&amp;$G$1)</f>
        <v>0</v>
      </c>
    </row>
    <row r="7" spans="1:37" ht="18" customHeight="1">
      <c r="A7" s="1205"/>
      <c r="B7" s="3289"/>
      <c r="C7" s="1207"/>
      <c r="D7" s="313"/>
      <c r="E7" s="1208" t="s">
        <v>1371</v>
      </c>
      <c r="F7" s="309">
        <f ca="1">IF(INDIRECT("'数据-取费表'!ah"&amp;$G$1)="",INDIRECT("'数据-取费表'!k"&amp;$G$1),INDIRECT("'数据-取费表'!ah"&amp;$G$1))</f>
        <v>0</v>
      </c>
      <c r="G7" s="1570"/>
      <c r="H7" s="310"/>
      <c r="I7" s="3289"/>
      <c r="J7" s="312"/>
      <c r="K7" s="313"/>
      <c r="L7" s="308" t="s">
        <v>1371</v>
      </c>
      <c r="M7" s="309">
        <f ca="1">F7</f>
        <v>0</v>
      </c>
    </row>
    <row r="8" spans="1:37" ht="18" customHeight="1">
      <c r="A8" s="310"/>
      <c r="B8" s="3289"/>
      <c r="C8" s="312"/>
      <c r="D8" s="313"/>
      <c r="E8" s="308" t="s">
        <v>1372</v>
      </c>
      <c r="F8" s="309">
        <f ca="1">INDIRECT("'数据-取费表'!ai"&amp;$G$1)</f>
        <v>0</v>
      </c>
      <c r="G8" s="1570"/>
      <c r="H8" s="310"/>
      <c r="I8" s="3289"/>
      <c r="J8" s="312"/>
      <c r="K8" s="313"/>
      <c r="L8" s="308" t="s">
        <v>1372</v>
      </c>
      <c r="M8" s="309">
        <f ca="1">INDIRECT("'数据-取费表'!ai"&amp;$G$1)</f>
        <v>0</v>
      </c>
    </row>
    <row r="9" spans="1:37" ht="18" customHeight="1">
      <c r="A9" s="310"/>
      <c r="B9" s="3290"/>
      <c r="C9" s="312"/>
      <c r="D9" s="313"/>
      <c r="E9" s="308" t="s">
        <v>1373</v>
      </c>
      <c r="F9" s="318">
        <f ca="1">INDIRECT("'数据-取费表'!w"&amp;$G$1)</f>
        <v>0</v>
      </c>
      <c r="G9" s="1570"/>
      <c r="H9" s="310"/>
      <c r="I9" s="329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2853</v>
      </c>
      <c r="E10" s="319" t="s">
        <v>1375</v>
      </c>
      <c r="F10" s="1276"/>
      <c r="G10" s="1570"/>
      <c r="H10" s="1201" t="s">
        <v>1007</v>
      </c>
      <c r="I10" s="1551" t="s">
        <v>1374</v>
      </c>
      <c r="J10" s="307">
        <f ca="1">ROUND(IF(M10="押一",J6/12*M11,IF(M10="押二",J6/12*2*M11,IF(M10="押三",J6/12*3*M11,J11*M11))),0)</f>
        <v>0</v>
      </c>
      <c r="K10" s="1563" t="s">
        <v>2855</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5.6500000000000002E-2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5.3800000000000001E-2</v>
      </c>
      <c r="D28" s="329" t="s">
        <v>1441</v>
      </c>
      <c r="E28" s="308" t="s">
        <v>1387</v>
      </c>
      <c r="F28" s="328">
        <f>'数据-取费表'!B41</f>
        <v>5.6500000000000002E-2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5.6500000000000002E-2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5</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-0.5</v>
      </c>
      <c r="R52" s="1606" t="s">
        <v>1511</v>
      </c>
    </row>
    <row r="53" spans="1:18" s="1570" customFormat="1" ht="30.75" customHeight="1" thickBot="1">
      <c r="A53" s="1271" t="s">
        <v>1105</v>
      </c>
      <c r="B53" s="32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-0.5</v>
      </c>
      <c r="K53" s="3286" t="s">
        <v>1513</v>
      </c>
      <c r="L53" s="3287"/>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5.6500000000000002E-2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2342</v>
      </c>
      <c r="B1" s="2055"/>
      <c r="C1" s="2055"/>
      <c r="D1" s="2055"/>
      <c r="E1" s="2056"/>
      <c r="F1" s="2937"/>
      <c r="G1" s="1676"/>
      <c r="H1" s="1676"/>
      <c r="I1" s="1676"/>
      <c r="J1" s="1676"/>
      <c r="K1" s="1676"/>
      <c r="L1" s="1676"/>
      <c r="M1" s="1676"/>
      <c r="N1" s="1676"/>
      <c r="O1" s="1676"/>
      <c r="P1" s="1676"/>
      <c r="Q1" s="1676"/>
      <c r="R1" s="1676"/>
      <c r="S1" s="1676"/>
    </row>
    <row r="2" spans="1:22" ht="15.75">
      <c r="A2" s="2057" t="s">
        <v>2146</v>
      </c>
      <c r="B2" s="2058">
        <f ca="1">SUMIF(B6:B13,"&lt;&gt;#ref!",B6:B13)</f>
        <v>0</v>
      </c>
      <c r="C2" s="2059" t="s">
        <v>2335</v>
      </c>
      <c r="D2" s="2060" t="s">
        <v>2336</v>
      </c>
      <c r="E2" s="2834">
        <f>SUM(E6:E13)</f>
        <v>0</v>
      </c>
      <c r="F2" s="2937"/>
      <c r="G2" s="1676"/>
      <c r="H2" s="1676"/>
      <c r="I2" s="1676"/>
      <c r="J2" s="1676"/>
      <c r="K2" s="1676"/>
      <c r="L2" s="1676"/>
      <c r="M2" s="1676"/>
      <c r="N2" s="1676"/>
      <c r="O2" s="1676"/>
      <c r="P2" s="1676"/>
      <c r="Q2" s="1676"/>
      <c r="R2" s="1676"/>
      <c r="S2" s="1676"/>
    </row>
    <row r="3" spans="1:22" ht="15.75">
      <c r="A3" s="2057" t="s">
        <v>1360</v>
      </c>
      <c r="B3" s="2828" t="e">
        <f ca="1">ROUND(B2*10000/E2,0)</f>
        <v>#DIV/0!</v>
      </c>
      <c r="C3" s="2059" t="s">
        <v>2343</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0" t="s">
        <v>2337</v>
      </c>
      <c r="B5" s="3291" t="s">
        <v>2338</v>
      </c>
      <c r="C5" s="3292"/>
      <c r="D5" s="2938"/>
      <c r="E5" s="2061" t="s">
        <v>2339</v>
      </c>
      <c r="F5" s="2062" t="s">
        <v>2340</v>
      </c>
      <c r="G5" s="1676"/>
      <c r="H5" s="1676"/>
      <c r="I5" s="1676"/>
      <c r="J5" s="1676"/>
      <c r="K5" s="1676"/>
      <c r="L5" s="1676"/>
      <c r="M5" s="1676"/>
      <c r="N5" s="1676"/>
      <c r="O5" s="1676"/>
      <c r="P5" s="1676"/>
      <c r="Q5" s="1676"/>
      <c r="R5" s="1676"/>
      <c r="S5" s="1676"/>
    </row>
    <row r="6" spans="1:22">
      <c r="A6" s="2831">
        <f>'数据-取费表'!AN6</f>
        <v>0</v>
      </c>
      <c r="B6" s="2829" t="e">
        <f ca="1">IF(F6="是",'数据-取费表'!AO6,0)</f>
        <v>#REF!</v>
      </c>
      <c r="C6" s="2059" t="s">
        <v>2335</v>
      </c>
      <c r="D6" s="2939"/>
      <c r="E6" s="2833">
        <f>IF(OR(A6=0,F6="否"),0,'数据-取费表'!K6+'数据-取费表'!S6)</f>
        <v>0</v>
      </c>
      <c r="F6" s="2063" t="s">
        <v>2341</v>
      </c>
      <c r="G6" s="1676"/>
      <c r="H6" s="1676"/>
      <c r="I6" s="1676"/>
      <c r="J6" s="1676"/>
      <c r="K6" s="1676"/>
      <c r="L6" s="1676"/>
      <c r="M6" s="1676"/>
      <c r="N6" s="1676"/>
      <c r="O6" s="1676"/>
      <c r="P6" s="1676"/>
      <c r="Q6" s="1676"/>
      <c r="R6" s="1676"/>
      <c r="S6" s="1676"/>
    </row>
    <row r="7" spans="1:22">
      <c r="A7" s="2831">
        <f>'数据-取费表'!AN7</f>
        <v>0</v>
      </c>
      <c r="B7" s="2829" t="e">
        <f ca="1">IF(F7="是",'数据-取费表'!AO7,0)</f>
        <v>#REF!</v>
      </c>
      <c r="C7" s="2059" t="s">
        <v>2335</v>
      </c>
      <c r="D7" s="2939"/>
      <c r="E7" s="2833">
        <f>IF(OR(A7=0,F7="否"),0,'数据-取费表'!K7+'数据-取费表'!S7)</f>
        <v>0</v>
      </c>
      <c r="F7" s="2063" t="s">
        <v>2341</v>
      </c>
      <c r="G7" s="1676"/>
      <c r="H7" s="1676"/>
      <c r="I7" s="1676"/>
      <c r="J7" s="1676"/>
      <c r="K7" s="1676"/>
      <c r="L7" s="1676"/>
      <c r="M7" s="1676"/>
      <c r="N7" s="1676"/>
      <c r="O7" s="1676"/>
      <c r="P7" s="1676"/>
      <c r="Q7" s="1676"/>
      <c r="R7" s="1676"/>
      <c r="S7" s="1676"/>
    </row>
    <row r="8" spans="1:22">
      <c r="A8" s="2831">
        <f>'数据-取费表'!AN8</f>
        <v>0</v>
      </c>
      <c r="B8" s="2829" t="e">
        <f ca="1">IF(F8="是",'数据-取费表'!AO8,0)</f>
        <v>#REF!</v>
      </c>
      <c r="C8" s="2059" t="s">
        <v>2335</v>
      </c>
      <c r="D8" s="2939"/>
      <c r="E8" s="2833">
        <f>IF(OR(A8=0,F8="否"),0,'数据-取费表'!K8+'数据-取费表'!S8)</f>
        <v>0</v>
      </c>
      <c r="F8" s="2063" t="s">
        <v>2341</v>
      </c>
      <c r="G8" s="1676"/>
      <c r="H8" s="1676"/>
      <c r="I8" s="1676"/>
      <c r="J8" s="1676"/>
      <c r="K8" s="1676"/>
      <c r="L8" s="1676"/>
      <c r="M8" s="1676"/>
      <c r="N8" s="1676"/>
      <c r="O8" s="1676"/>
      <c r="P8" s="1676"/>
      <c r="Q8" s="1676"/>
      <c r="R8" s="1676"/>
      <c r="S8" s="1676"/>
    </row>
    <row r="9" spans="1:22">
      <c r="A9" s="2831">
        <f>'数据-取费表'!AN9</f>
        <v>0</v>
      </c>
      <c r="B9" s="2829" t="e">
        <f ca="1">IF(F9="是",'数据-取费表'!AO9,0)</f>
        <v>#REF!</v>
      </c>
      <c r="C9" s="2059" t="s">
        <v>2335</v>
      </c>
      <c r="D9" s="2939"/>
      <c r="E9" s="2833">
        <f>IF(OR(A9=0,F9="否"),0,'数据-取费表'!K9+'数据-取费表'!S9)</f>
        <v>0</v>
      </c>
      <c r="F9" s="2063" t="s">
        <v>2341</v>
      </c>
      <c r="G9" s="1676"/>
      <c r="H9" s="1676"/>
      <c r="I9" s="1676"/>
      <c r="J9" s="1676"/>
      <c r="K9" s="1676"/>
      <c r="L9" s="1676"/>
      <c r="M9" s="1676"/>
      <c r="N9" s="1676"/>
      <c r="O9" s="1676"/>
      <c r="P9" s="1676"/>
      <c r="Q9" s="1676"/>
      <c r="R9" s="1676"/>
      <c r="S9" s="1676"/>
    </row>
    <row r="10" spans="1:22">
      <c r="A10" s="2831">
        <f>'数据-取费表'!AN10</f>
        <v>0</v>
      </c>
      <c r="B10" s="2829" t="e">
        <f ca="1">IF(F10="是",'数据-取费表'!AO10,0)</f>
        <v>#REF!</v>
      </c>
      <c r="C10" s="2059" t="s">
        <v>2335</v>
      </c>
      <c r="D10" s="2939"/>
      <c r="E10" s="2833">
        <f>IF(OR(A10=0,F10="否"),0,'数据-取费表'!K10+'数据-取费表'!S10)</f>
        <v>0</v>
      </c>
      <c r="F10" s="2063" t="s">
        <v>2341</v>
      </c>
      <c r="G10" s="1676"/>
      <c r="H10" s="1676"/>
      <c r="I10" s="1676"/>
      <c r="J10" s="1676"/>
      <c r="K10" s="1676"/>
      <c r="L10" s="1676"/>
      <c r="M10" s="1676"/>
      <c r="N10" s="1676"/>
      <c r="O10" s="1676"/>
      <c r="P10" s="1676"/>
      <c r="Q10" s="1676"/>
      <c r="R10" s="1676"/>
      <c r="S10" s="1676"/>
    </row>
    <row r="11" spans="1:22">
      <c r="A11" s="2831">
        <f>'数据-取费表'!AN11</f>
        <v>0</v>
      </c>
      <c r="B11" s="2829" t="e">
        <f ca="1">IF(F11="是",'数据-取费表'!AO11,0)</f>
        <v>#REF!</v>
      </c>
      <c r="C11" s="2059" t="s">
        <v>2335</v>
      </c>
      <c r="D11" s="2939"/>
      <c r="E11" s="2833">
        <f>IF(OR(A11=0,F11="否"),0,'数据-取费表'!K11+'数据-取费表'!S11)</f>
        <v>0</v>
      </c>
      <c r="F11" s="2063" t="s">
        <v>2341</v>
      </c>
      <c r="G11" s="1676"/>
      <c r="H11" s="1676"/>
      <c r="I11" s="1676"/>
      <c r="J11" s="1676"/>
      <c r="K11" s="1676"/>
      <c r="L11" s="1676"/>
      <c r="M11" s="1676"/>
      <c r="N11" s="1676"/>
      <c r="O11" s="1676"/>
      <c r="P11" s="1676"/>
      <c r="Q11" s="1676"/>
      <c r="R11" s="1676"/>
      <c r="S11" s="1676"/>
    </row>
    <row r="12" spans="1:22">
      <c r="A12" s="2831">
        <f>'数据-取费表'!AN12</f>
        <v>0</v>
      </c>
      <c r="B12" s="2829" t="e">
        <f ca="1">IF(F12="是",'数据-取费表'!AO12,0)</f>
        <v>#REF!</v>
      </c>
      <c r="C12" s="2059" t="s">
        <v>2335</v>
      </c>
      <c r="D12" s="2939"/>
      <c r="E12" s="2833">
        <f>IF(OR(A12=0,F12="否"),0,'数据-取费表'!K12+'数据-取费表'!S12)</f>
        <v>0</v>
      </c>
      <c r="F12" s="2063" t="s">
        <v>2341</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4" t="s">
        <v>2335</v>
      </c>
      <c r="D13" s="2940"/>
      <c r="E13" s="2833">
        <f>IF(OR(A13=0,F13="否"),0,'数据-取费表'!K13+'数据-取费表'!S13)</f>
        <v>0</v>
      </c>
      <c r="F13" s="2063" t="s">
        <v>2341</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09" t="s">
        <v>1044</v>
      </c>
      <c r="B1" s="3310"/>
      <c r="C1" s="3311"/>
      <c r="D1" s="3312">
        <f>SUM(I10,I15,I20,I21,I23)</f>
        <v>0</v>
      </c>
      <c r="E1" s="3312"/>
      <c r="F1" s="3312"/>
      <c r="G1" s="3312"/>
      <c r="H1" s="3312"/>
      <c r="I1" s="3313"/>
    </row>
    <row r="2" spans="1:9">
      <c r="A2" s="3299" t="s">
        <v>1045</v>
      </c>
      <c r="B2" s="3300" t="s">
        <v>1046</v>
      </c>
      <c r="C2" s="3300"/>
      <c r="D2" s="1211" t="s">
        <v>1047</v>
      </c>
      <c r="E2" s="1211" t="s">
        <v>1048</v>
      </c>
      <c r="F2" s="1211" t="s">
        <v>1049</v>
      </c>
      <c r="G2" s="1211" t="s">
        <v>1050</v>
      </c>
      <c r="H2" s="1211" t="s">
        <v>1051</v>
      </c>
      <c r="I2" s="1212" t="s">
        <v>1052</v>
      </c>
    </row>
    <row r="3" spans="1:9">
      <c r="A3" s="3299"/>
      <c r="B3" s="3300" t="s">
        <v>1053</v>
      </c>
      <c r="C3" s="3300"/>
      <c r="D3" s="1213"/>
      <c r="E3" s="1211"/>
      <c r="F3" s="1214"/>
      <c r="G3" s="1214"/>
      <c r="H3" s="1215"/>
      <c r="I3" s="1216">
        <f>ROUND(D3*E3*F3*G3*H3/10000,0)</f>
        <v>0</v>
      </c>
    </row>
    <row r="4" spans="1:9">
      <c r="A4" s="3299"/>
      <c r="B4" s="3300" t="s">
        <v>1054</v>
      </c>
      <c r="C4" s="3300"/>
      <c r="D4" s="1213"/>
      <c r="E4" s="1211"/>
      <c r="F4" s="1214"/>
      <c r="G4" s="1214"/>
      <c r="H4" s="1215"/>
      <c r="I4" s="1216">
        <f t="shared" ref="I4:I9" si="0">ROUND(D4*E4*F4*G4*H4/10000,0)</f>
        <v>0</v>
      </c>
    </row>
    <row r="5" spans="1:9">
      <c r="A5" s="3299"/>
      <c r="B5" s="3300" t="s">
        <v>1055</v>
      </c>
      <c r="C5" s="3300"/>
      <c r="D5" s="1213"/>
      <c r="E5" s="1211"/>
      <c r="F5" s="1214"/>
      <c r="G5" s="1214"/>
      <c r="H5" s="1215"/>
      <c r="I5" s="1216">
        <f t="shared" si="0"/>
        <v>0</v>
      </c>
    </row>
    <row r="6" spans="1:9">
      <c r="A6" s="3299"/>
      <c r="B6" s="3300" t="s">
        <v>1056</v>
      </c>
      <c r="C6" s="3300"/>
      <c r="D6" s="1213"/>
      <c r="E6" s="1211"/>
      <c r="F6" s="1214"/>
      <c r="G6" s="1214"/>
      <c r="H6" s="1215"/>
      <c r="I6" s="1216">
        <f t="shared" si="0"/>
        <v>0</v>
      </c>
    </row>
    <row r="7" spans="1:9">
      <c r="A7" s="3299"/>
      <c r="B7" s="3300" t="s">
        <v>1057</v>
      </c>
      <c r="C7" s="3300"/>
      <c r="D7" s="1213"/>
      <c r="E7" s="1211"/>
      <c r="F7" s="1214"/>
      <c r="G7" s="1214"/>
      <c r="H7" s="1215"/>
      <c r="I7" s="1216">
        <f t="shared" si="0"/>
        <v>0</v>
      </c>
    </row>
    <row r="8" spans="1:9">
      <c r="A8" s="3299"/>
      <c r="B8" s="3300" t="s">
        <v>1058</v>
      </c>
      <c r="C8" s="3300"/>
      <c r="D8" s="1213"/>
      <c r="E8" s="1211"/>
      <c r="F8" s="1214"/>
      <c r="G8" s="1214"/>
      <c r="H8" s="1215"/>
      <c r="I8" s="1216">
        <f t="shared" si="0"/>
        <v>0</v>
      </c>
    </row>
    <row r="9" spans="1:9">
      <c r="A9" s="3299"/>
      <c r="B9" s="3300" t="s">
        <v>1059</v>
      </c>
      <c r="C9" s="3300"/>
      <c r="D9" s="1213"/>
      <c r="E9" s="1211"/>
      <c r="F9" s="1214"/>
      <c r="G9" s="1214"/>
      <c r="H9" s="1215"/>
      <c r="I9" s="1216">
        <f t="shared" si="0"/>
        <v>0</v>
      </c>
    </row>
    <row r="10" spans="1:9">
      <c r="A10" s="3299"/>
      <c r="B10" s="3301" t="s">
        <v>1060</v>
      </c>
      <c r="C10" s="3301"/>
      <c r="D10" s="1217"/>
      <c r="E10" s="1217" t="e">
        <f>ROUND(D1*10000/D10/H9,0)</f>
        <v>#DIV/0!</v>
      </c>
      <c r="F10" s="1218"/>
      <c r="G10" s="1218"/>
      <c r="H10" s="1219"/>
      <c r="I10" s="1220">
        <f>SUM(I3:I9)</f>
        <v>0</v>
      </c>
    </row>
    <row r="11" spans="1:9" ht="14.25">
      <c r="A11" s="3299" t="s">
        <v>1061</v>
      </c>
      <c r="B11" s="3300" t="s">
        <v>1062</v>
      </c>
      <c r="C11" s="3300"/>
      <c r="D11" s="1213" t="s">
        <v>1063</v>
      </c>
      <c r="E11" s="1213" t="s">
        <v>1064</v>
      </c>
      <c r="F11" s="1214" t="s">
        <v>1065</v>
      </c>
      <c r="G11" s="1214" t="s">
        <v>1051</v>
      </c>
      <c r="H11" s="1221" t="s">
        <v>1066</v>
      </c>
      <c r="I11" s="1212" t="s">
        <v>1052</v>
      </c>
    </row>
    <row r="12" spans="1:9">
      <c r="A12" s="3299"/>
      <c r="B12" s="3300" t="s">
        <v>1067</v>
      </c>
      <c r="C12" s="3300"/>
      <c r="D12" s="1213"/>
      <c r="E12" s="1213"/>
      <c r="F12" s="1214"/>
      <c r="G12" s="1215"/>
      <c r="H12" s="1222"/>
      <c r="I12" s="1212">
        <f>ROUND(D12*E12*F12*G12/10000,0)</f>
        <v>0</v>
      </c>
    </row>
    <row r="13" spans="1:9">
      <c r="A13" s="3299"/>
      <c r="B13" s="3300" t="s">
        <v>1068</v>
      </c>
      <c r="C13" s="3300"/>
      <c r="D13" s="1213"/>
      <c r="E13" s="1213"/>
      <c r="F13" s="1214"/>
      <c r="G13" s="1215"/>
      <c r="H13" s="1222"/>
      <c r="I13" s="1212">
        <f>ROUND(D13*E13*F13*G13/10000,0)</f>
        <v>0</v>
      </c>
    </row>
    <row r="14" spans="1:9">
      <c r="A14" s="3299"/>
      <c r="B14" s="3300" t="s">
        <v>1069</v>
      </c>
      <c r="C14" s="3300"/>
      <c r="D14" s="1213"/>
      <c r="E14" s="1213"/>
      <c r="F14" s="1214"/>
      <c r="G14" s="1215"/>
      <c r="H14" s="1222"/>
      <c r="I14" s="1212">
        <f>ROUND(D14*E14*F14*G14/10000,0)</f>
        <v>0</v>
      </c>
    </row>
    <row r="15" spans="1:9">
      <c r="A15" s="3299"/>
      <c r="B15" s="3301" t="s">
        <v>1060</v>
      </c>
      <c r="C15" s="3301"/>
      <c r="D15" s="1217"/>
      <c r="E15" s="1217">
        <f>SUM(E12:E14)</f>
        <v>0</v>
      </c>
      <c r="F15" s="1218"/>
      <c r="G15" s="1215"/>
      <c r="H15" s="1222"/>
      <c r="I15" s="1223">
        <f>SUM(I12:I14)</f>
        <v>0</v>
      </c>
    </row>
    <row r="16" spans="1:9" ht="24">
      <c r="A16" s="3299" t="s">
        <v>1070</v>
      </c>
      <c r="B16" s="3300" t="s">
        <v>1071</v>
      </c>
      <c r="C16" s="3300"/>
      <c r="D16" s="1213" t="s">
        <v>1047</v>
      </c>
      <c r="E16" s="1224" t="s">
        <v>1072</v>
      </c>
      <c r="F16" s="1214" t="s">
        <v>1073</v>
      </c>
      <c r="G16" s="1215" t="s">
        <v>1051</v>
      </c>
      <c r="H16" s="1221" t="s">
        <v>1066</v>
      </c>
      <c r="I16" s="1212" t="s">
        <v>1052</v>
      </c>
    </row>
    <row r="17" spans="1:9" ht="14.25">
      <c r="A17" s="3299"/>
      <c r="B17" s="3300" t="s">
        <v>1074</v>
      </c>
      <c r="C17" s="3300"/>
      <c r="D17" s="1213"/>
      <c r="E17" s="1213"/>
      <c r="F17" s="1214"/>
      <c r="G17" s="1215"/>
      <c r="H17" s="1225"/>
      <c r="I17" s="1226">
        <f>ROUND(D17*E17*F17*G17/10000,0)</f>
        <v>0</v>
      </c>
    </row>
    <row r="18" spans="1:9" ht="14.25">
      <c r="A18" s="3299"/>
      <c r="B18" s="3300" t="s">
        <v>1075</v>
      </c>
      <c r="C18" s="3300"/>
      <c r="D18" s="1213"/>
      <c r="E18" s="1213"/>
      <c r="F18" s="1214"/>
      <c r="G18" s="1215"/>
      <c r="H18" s="1225"/>
      <c r="I18" s="1226">
        <f>ROUND(D18*E18*F18*G18/10000,0)</f>
        <v>0</v>
      </c>
    </row>
    <row r="19" spans="1:9" ht="14.25">
      <c r="A19" s="3299"/>
      <c r="B19" s="3300" t="s">
        <v>1076</v>
      </c>
      <c r="C19" s="3300"/>
      <c r="D19" s="1213"/>
      <c r="E19" s="1213"/>
      <c r="F19" s="1214"/>
      <c r="G19" s="1215"/>
      <c r="H19" s="1225"/>
      <c r="I19" s="1226">
        <f>ROUND(D19*E19*F19*G19/10000,0)</f>
        <v>0</v>
      </c>
    </row>
    <row r="20" spans="1:9">
      <c r="A20" s="3299"/>
      <c r="B20" s="3301" t="s">
        <v>1060</v>
      </c>
      <c r="C20" s="3301"/>
      <c r="D20" s="1217">
        <f>SUM(D17:D19)</f>
        <v>0</v>
      </c>
      <c r="E20" s="1217"/>
      <c r="F20" s="1218"/>
      <c r="G20" s="1215"/>
      <c r="H20" s="1222"/>
      <c r="I20" s="1223">
        <f>SUM(I17:I19)</f>
        <v>0</v>
      </c>
    </row>
    <row r="21" spans="1:9">
      <c r="A21" s="3299" t="s">
        <v>1077</v>
      </c>
      <c r="B21" s="3302"/>
      <c r="C21" s="3302"/>
      <c r="D21" s="3302"/>
      <c r="E21" s="3302"/>
      <c r="F21" s="3302"/>
      <c r="G21" s="3302"/>
      <c r="H21" s="1504">
        <v>0.1</v>
      </c>
      <c r="I21" s="1220">
        <f>ROUND(I10*H21,0)</f>
        <v>0</v>
      </c>
    </row>
    <row r="22" spans="1:9" ht="14.25">
      <c r="A22" s="3303" t="s">
        <v>1078</v>
      </c>
      <c r="B22" s="3304"/>
      <c r="C22" s="3305"/>
      <c r="D22" s="1227" t="s">
        <v>1079</v>
      </c>
      <c r="E22" s="1227" t="s">
        <v>1080</v>
      </c>
      <c r="F22" s="1228" t="s">
        <v>1081</v>
      </c>
      <c r="G22" s="1228" t="s">
        <v>1082</v>
      </c>
      <c r="H22" s="1221" t="s">
        <v>1083</v>
      </c>
      <c r="I22" s="1212" t="s">
        <v>1084</v>
      </c>
    </row>
    <row r="23" spans="1:9" ht="14.25" thickBot="1">
      <c r="A23" s="3306"/>
      <c r="B23" s="3307"/>
      <c r="C23" s="3308"/>
      <c r="D23" s="1229"/>
      <c r="E23" s="1229"/>
      <c r="F23" s="1229"/>
      <c r="G23" s="1230"/>
      <c r="H23" s="1231"/>
      <c r="I23" s="1232">
        <f>ROUND(E23*D23*F23*(1-G23)/10000,0)</f>
        <v>0</v>
      </c>
    </row>
    <row r="26" spans="1:9">
      <c r="A26" s="1233" t="s">
        <v>1085</v>
      </c>
      <c r="B26" s="1233"/>
      <c r="C26" s="1233"/>
      <c r="D26" s="1233"/>
      <c r="E26" s="3296">
        <f>C27-C30-C31-C32</f>
        <v>0</v>
      </c>
      <c r="F26" s="3296"/>
      <c r="G26" s="3296"/>
      <c r="H26" s="1501" t="s">
        <v>1306</v>
      </c>
    </row>
    <row r="27" spans="1:9">
      <c r="A27" s="1234">
        <v>1</v>
      </c>
      <c r="B27" s="1235" t="s">
        <v>1086</v>
      </c>
      <c r="C27" s="1235">
        <f>C28+C29</f>
        <v>0</v>
      </c>
      <c r="D27" s="1235"/>
      <c r="E27" s="3297"/>
      <c r="F27" s="3297"/>
      <c r="G27" s="3297"/>
    </row>
    <row r="28" spans="1:9">
      <c r="A28" s="1236" t="s">
        <v>1087</v>
      </c>
      <c r="B28" s="1235" t="s">
        <v>1088</v>
      </c>
      <c r="C28" s="1235"/>
      <c r="D28" s="1235"/>
      <c r="E28" s="3297"/>
      <c r="F28" s="3297"/>
      <c r="G28" s="329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8"/>
      <c r="F32" s="3298"/>
      <c r="G32" s="3298"/>
    </row>
    <row r="33" spans="1:7" hidden="1">
      <c r="A33" s="3293" t="s">
        <v>1097</v>
      </c>
      <c r="B33" s="3294"/>
      <c r="C33" s="3294"/>
      <c r="D33" s="3295"/>
      <c r="E33" s="3296"/>
      <c r="F33" s="3296"/>
      <c r="G33" s="3296"/>
    </row>
    <row r="34" spans="1:7" hidden="1">
      <c r="A34" s="1238">
        <v>1</v>
      </c>
      <c r="B34" s="1235" t="s">
        <v>1098</v>
      </c>
      <c r="C34" s="1235"/>
      <c r="D34" s="1235"/>
      <c r="E34" s="3297"/>
      <c r="F34" s="3297"/>
      <c r="G34" s="3297"/>
    </row>
    <row r="35" spans="1:7" hidden="1">
      <c r="A35" s="1238">
        <v>2</v>
      </c>
      <c r="B35" s="1235" t="s">
        <v>1099</v>
      </c>
      <c r="C35" s="1235"/>
      <c r="D35" s="1235"/>
      <c r="E35" s="3297"/>
      <c r="F35" s="3297"/>
      <c r="G35" s="3297"/>
    </row>
    <row r="36" spans="1:7" hidden="1">
      <c r="A36" s="1238">
        <v>3</v>
      </c>
      <c r="B36" s="1235" t="s">
        <v>1100</v>
      </c>
      <c r="C36" s="1235"/>
      <c r="D36" s="1235"/>
      <c r="E36" s="3297"/>
      <c r="F36" s="3297"/>
      <c r="G36" s="3297"/>
    </row>
    <row r="37" spans="1:7" hidden="1">
      <c r="A37" s="1238">
        <v>4</v>
      </c>
      <c r="B37" s="1235" t="s">
        <v>1101</v>
      </c>
      <c r="C37" s="1235"/>
      <c r="D37" s="1235"/>
      <c r="E37" s="3297"/>
      <c r="F37" s="3297"/>
      <c r="G37" s="3297"/>
    </row>
    <row r="38" spans="1:7" hidden="1">
      <c r="A38" s="3293" t="s">
        <v>1102</v>
      </c>
      <c r="B38" s="3294"/>
      <c r="C38" s="3294"/>
      <c r="D38" s="3295"/>
      <c r="E38" s="3296"/>
      <c r="F38" s="3296"/>
      <c r="G38" s="32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065" t="s">
        <v>2345</v>
      </c>
      <c r="C1" s="1406" t="s">
        <v>2346</v>
      </c>
      <c r="D1" s="1393"/>
      <c r="E1" s="2545"/>
      <c r="F1" s="2066" t="s">
        <v>2347</v>
      </c>
      <c r="G1" s="1403" t="s">
        <v>2348</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2349</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2350</v>
      </c>
      <c r="D3" s="359">
        <f>IF(D1="",'数据-汇总表'!E3,SUMIF('数据-汇总表'!$C19:$C33,D1,'数据-汇总表'!$E19:$E33))</f>
        <v>107747.01000000001</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2351</v>
      </c>
      <c r="B4" s="362"/>
      <c r="C4" s="3332" t="s">
        <v>2352</v>
      </c>
      <c r="D4" s="3333"/>
      <c r="E4" s="3334" t="s">
        <v>2353</v>
      </c>
      <c r="F4" s="3335"/>
      <c r="G4" s="3332" t="s">
        <v>2354</v>
      </c>
      <c r="H4" s="3333"/>
      <c r="I4" s="3332" t="s">
        <v>2355</v>
      </c>
      <c r="J4" s="3333"/>
      <c r="K4" s="2076" t="s">
        <v>2356</v>
      </c>
      <c r="L4" s="2945"/>
      <c r="M4" s="2946"/>
      <c r="N4" s="2946"/>
      <c r="O4" s="2946"/>
      <c r="P4" s="3336" t="s">
        <v>2357</v>
      </c>
      <c r="Q4" s="3337"/>
      <c r="R4" s="3342" t="s">
        <v>2353</v>
      </c>
      <c r="S4" s="3343"/>
      <c r="T4" s="3342" t="s">
        <v>2354</v>
      </c>
      <c r="U4" s="3343"/>
      <c r="V4" s="3348" t="s">
        <v>2355</v>
      </c>
      <c r="W4" s="3348"/>
      <c r="X4" s="1541"/>
      <c r="Y4" s="3342" t="s">
        <v>2357</v>
      </c>
      <c r="Z4" s="3343"/>
      <c r="AA4" s="3329" t="s">
        <v>2353</v>
      </c>
      <c r="AB4" s="3329" t="s">
        <v>2354</v>
      </c>
      <c r="AC4" s="3329" t="s">
        <v>2355</v>
      </c>
    </row>
    <row r="5" spans="1:29" ht="15">
      <c r="A5" s="364"/>
      <c r="B5" s="365"/>
      <c r="C5" s="3351" t="s">
        <v>2358</v>
      </c>
      <c r="D5" s="3352"/>
      <c r="E5" s="3358" t="s">
        <v>2359</v>
      </c>
      <c r="F5" s="3359"/>
      <c r="G5" s="3351" t="s">
        <v>2360</v>
      </c>
      <c r="H5" s="3352"/>
      <c r="I5" s="3351" t="s">
        <v>2361</v>
      </c>
      <c r="J5" s="3352"/>
      <c r="K5" s="2077"/>
      <c r="L5" s="2945"/>
      <c r="M5" s="2946"/>
      <c r="N5" s="2946"/>
      <c r="O5" s="2946"/>
      <c r="P5" s="3338"/>
      <c r="Q5" s="3339"/>
      <c r="R5" s="3344"/>
      <c r="S5" s="3345"/>
      <c r="T5" s="3344"/>
      <c r="U5" s="3345"/>
      <c r="V5" s="3348"/>
      <c r="W5" s="3348"/>
      <c r="X5" s="1541"/>
      <c r="Y5" s="3344"/>
      <c r="Z5" s="3345"/>
      <c r="AA5" s="3330"/>
      <c r="AB5" s="3330"/>
      <c r="AC5" s="3330"/>
    </row>
    <row r="6" spans="1:29" ht="15.75" thickBot="1">
      <c r="A6" s="366"/>
      <c r="B6" s="367"/>
      <c r="C6" s="3349" t="s">
        <v>2362</v>
      </c>
      <c r="D6" s="3350"/>
      <c r="E6" s="3356" t="s">
        <v>2362</v>
      </c>
      <c r="F6" s="3357"/>
      <c r="G6" s="3349" t="s">
        <v>2362</v>
      </c>
      <c r="H6" s="3350"/>
      <c r="I6" s="3349" t="s">
        <v>2362</v>
      </c>
      <c r="J6" s="3350"/>
      <c r="K6" s="2077" t="s">
        <v>2363</v>
      </c>
      <c r="L6" s="2945"/>
      <c r="M6" s="2946"/>
      <c r="N6" s="2946"/>
      <c r="O6" s="2946"/>
      <c r="P6" s="3340"/>
      <c r="Q6" s="3341"/>
      <c r="R6" s="3344"/>
      <c r="S6" s="3345"/>
      <c r="T6" s="3346"/>
      <c r="U6" s="3347"/>
      <c r="V6" s="3348"/>
      <c r="W6" s="3348"/>
      <c r="X6" s="1541"/>
      <c r="Y6" s="3346"/>
      <c r="Z6" s="3347"/>
      <c r="AA6" s="3331"/>
      <c r="AB6" s="3331"/>
      <c r="AC6" s="3331"/>
    </row>
    <row r="7" spans="1:29" s="113" customFormat="1" ht="15.75" thickBot="1">
      <c r="A7" s="368" t="s">
        <v>2364</v>
      </c>
      <c r="B7" s="369"/>
      <c r="C7" s="370">
        <f>'数据-取费表'!B2</f>
        <v>44134</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53" t="s">
        <v>2365</v>
      </c>
      <c r="Q7" s="3355"/>
      <c r="R7" s="710" t="s">
        <v>23</v>
      </c>
      <c r="S7" s="711">
        <f t="shared" ref="S7:S15" si="0">F7</f>
        <v>0</v>
      </c>
      <c r="T7" s="710" t="s">
        <v>23</v>
      </c>
      <c r="U7" s="711">
        <f t="shared" ref="U7:U15" si="1">H7</f>
        <v>0</v>
      </c>
      <c r="V7" s="710" t="s">
        <v>23</v>
      </c>
      <c r="W7" s="711">
        <f t="shared" ref="W7:W15" si="2">J7</f>
        <v>0</v>
      </c>
      <c r="X7" s="712"/>
      <c r="Y7" s="3353" t="s">
        <v>2365</v>
      </c>
      <c r="Z7" s="3354"/>
      <c r="AA7" s="713" t="e">
        <f>D7/F7</f>
        <v>#DIV/0!</v>
      </c>
      <c r="AB7" s="713" t="e">
        <f>D7/H7</f>
        <v>#DIV/0!</v>
      </c>
      <c r="AC7" s="713" t="e">
        <f>D7/J7</f>
        <v>#DIV/0!</v>
      </c>
    </row>
    <row r="8" spans="1:29" s="113" customFormat="1" ht="15.75" thickBot="1">
      <c r="A8" s="368" t="s">
        <v>2366</v>
      </c>
      <c r="B8" s="369"/>
      <c r="C8" s="374" t="s">
        <v>2367</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53" t="s">
        <v>2368</v>
      </c>
      <c r="Q8" s="3354"/>
      <c r="R8" s="710" t="s">
        <v>23</v>
      </c>
      <c r="S8" s="711">
        <f t="shared" si="0"/>
        <v>0</v>
      </c>
      <c r="T8" s="710" t="s">
        <v>23</v>
      </c>
      <c r="U8" s="711">
        <f t="shared" si="1"/>
        <v>0</v>
      </c>
      <c r="V8" s="710" t="s">
        <v>23</v>
      </c>
      <c r="W8" s="711">
        <f t="shared" si="2"/>
        <v>0</v>
      </c>
      <c r="X8" s="712"/>
      <c r="Y8" s="3353" t="s">
        <v>2368</v>
      </c>
      <c r="Z8" s="3354"/>
      <c r="AA8" s="713" t="e">
        <f t="shared" ref="AA8:AA19" si="3">D8/F8</f>
        <v>#DIV/0!</v>
      </c>
      <c r="AB8" s="713" t="e">
        <f t="shared" ref="AB8:AB19" si="4">D8/H8</f>
        <v>#DIV/0!</v>
      </c>
      <c r="AC8" s="713" t="e">
        <f t="shared" ref="AC8:AC19" si="5">D8/J8</f>
        <v>#DIV/0!</v>
      </c>
    </row>
    <row r="9" spans="1:29" s="113" customFormat="1">
      <c r="A9" s="375" t="s">
        <v>2369</v>
      </c>
      <c r="B9" s="67" t="s">
        <v>2370</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28" t="s">
        <v>2371</v>
      </c>
      <c r="Q9" s="1529" t="str">
        <f t="shared" ref="Q9:Q15" si="6">B9</f>
        <v>用途</v>
      </c>
      <c r="R9" s="710" t="s">
        <v>17</v>
      </c>
      <c r="S9" s="711">
        <f t="shared" si="0"/>
        <v>100</v>
      </c>
      <c r="T9" s="710" t="s">
        <v>17</v>
      </c>
      <c r="U9" s="711">
        <f t="shared" si="1"/>
        <v>100</v>
      </c>
      <c r="V9" s="710" t="s">
        <v>17</v>
      </c>
      <c r="W9" s="711">
        <f t="shared" si="2"/>
        <v>100</v>
      </c>
      <c r="X9" s="712"/>
      <c r="Y9" s="3187"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28"/>
      <c r="Q10" s="1529"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381" t="s">
        <v>2374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28"/>
      <c r="Q11" s="1529" t="str">
        <f t="shared" si="6"/>
        <v>容积率</v>
      </c>
      <c r="R11" s="710" t="s">
        <v>21</v>
      </c>
      <c r="S11" s="711" t="e">
        <f t="shared" si="0"/>
        <v>#N/A</v>
      </c>
      <c r="T11" s="710" t="s">
        <v>21</v>
      </c>
      <c r="U11" s="711" t="e">
        <f t="shared" si="1"/>
        <v>#N/A</v>
      </c>
      <c r="V11" s="710" t="s">
        <v>21</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28"/>
      <c r="Q12" s="1529">
        <f t="shared" si="6"/>
        <v>111</v>
      </c>
      <c r="R12" s="710" t="s">
        <v>21</v>
      </c>
      <c r="S12" s="711">
        <f t="shared" si="0"/>
        <v>100</v>
      </c>
      <c r="T12" s="710" t="s">
        <v>21</v>
      </c>
      <c r="U12" s="711">
        <f t="shared" si="1"/>
        <v>100</v>
      </c>
      <c r="V12" s="710" t="s">
        <v>21</v>
      </c>
      <c r="W12" s="711">
        <f t="shared" si="2"/>
        <v>100</v>
      </c>
      <c r="X12" s="712"/>
      <c r="Y12" s="3187"/>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28"/>
      <c r="Q13" s="1529">
        <f t="shared" si="6"/>
        <v>111</v>
      </c>
      <c r="R13" s="710" t="s">
        <v>21</v>
      </c>
      <c r="S13" s="711">
        <f t="shared" si="0"/>
        <v>100</v>
      </c>
      <c r="T13" s="710" t="s">
        <v>21</v>
      </c>
      <c r="U13" s="711">
        <f t="shared" si="1"/>
        <v>100</v>
      </c>
      <c r="V13" s="710" t="s">
        <v>21</v>
      </c>
      <c r="W13" s="711">
        <f t="shared" si="2"/>
        <v>100</v>
      </c>
      <c r="X13" s="712"/>
      <c r="Y13" s="3187"/>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28"/>
      <c r="Q14" s="1529">
        <f t="shared" si="6"/>
        <v>111</v>
      </c>
      <c r="R14" s="710" t="s">
        <v>21</v>
      </c>
      <c r="S14" s="711">
        <f t="shared" si="0"/>
        <v>100</v>
      </c>
      <c r="T14" s="710" t="s">
        <v>21</v>
      </c>
      <c r="U14" s="711">
        <f t="shared" si="1"/>
        <v>100</v>
      </c>
      <c r="V14" s="710" t="s">
        <v>21</v>
      </c>
      <c r="W14" s="711">
        <f t="shared" si="2"/>
        <v>100</v>
      </c>
      <c r="X14" s="712"/>
      <c r="Y14" s="3187"/>
      <c r="Z14" s="55">
        <f t="shared" si="7"/>
        <v>111</v>
      </c>
      <c r="AA14" s="713">
        <f t="shared" si="3"/>
        <v>1</v>
      </c>
      <c r="AB14" s="713">
        <f t="shared" si="4"/>
        <v>1</v>
      </c>
      <c r="AC14" s="713">
        <f t="shared" si="5"/>
        <v>1</v>
      </c>
    </row>
    <row r="15" spans="1:29" ht="99.75">
      <c r="A15" s="399" t="s">
        <v>2375</v>
      </c>
      <c r="B15" s="65" t="s">
        <v>1941</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26" t="s">
        <v>2376</v>
      </c>
      <c r="Q15" s="1538" t="str">
        <f t="shared" si="6"/>
        <v>居住社区成熟度</v>
      </c>
      <c r="R15" s="714" t="s">
        <v>21</v>
      </c>
      <c r="S15" s="715">
        <f t="shared" si="0"/>
        <v>100</v>
      </c>
      <c r="T15" s="714" t="s">
        <v>21</v>
      </c>
      <c r="U15" s="715">
        <f t="shared" si="1"/>
        <v>100</v>
      </c>
      <c r="V15" s="714" t="s">
        <v>21</v>
      </c>
      <c r="W15" s="715">
        <f t="shared" si="2"/>
        <v>100</v>
      </c>
      <c r="X15" s="1541"/>
      <c r="Y15" s="3319" t="s">
        <v>2376</v>
      </c>
      <c r="Z15" s="1542" t="str">
        <f t="shared" si="7"/>
        <v>居住社区成熟度</v>
      </c>
      <c r="AA15" s="1539">
        <f t="shared" si="3"/>
        <v>1</v>
      </c>
      <c r="AB15" s="1539">
        <f t="shared" si="4"/>
        <v>1</v>
      </c>
      <c r="AC15" s="1539">
        <f t="shared" si="5"/>
        <v>1</v>
      </c>
    </row>
    <row r="16" spans="1:29" ht="15">
      <c r="A16" s="387"/>
      <c r="B16" s="405"/>
      <c r="C16" s="406"/>
      <c r="D16" s="407"/>
      <c r="E16" s="2084"/>
      <c r="F16" s="407"/>
      <c r="G16" s="2085"/>
      <c r="H16" s="409"/>
      <c r="I16" s="2085"/>
      <c r="J16" s="407"/>
      <c r="K16" s="2086"/>
      <c r="L16" s="2952"/>
      <c r="M16" s="2946"/>
      <c r="N16" s="2946"/>
      <c r="O16" s="2946"/>
      <c r="P16" s="3327"/>
      <c r="Q16" s="1538"/>
      <c r="R16" s="714"/>
      <c r="S16" s="715"/>
      <c r="T16" s="714"/>
      <c r="U16" s="715"/>
      <c r="V16" s="714"/>
      <c r="W16" s="715"/>
      <c r="X16" s="1541"/>
      <c r="Y16" s="3320"/>
      <c r="Z16" s="1542"/>
      <c r="AA16" s="1539">
        <v>1</v>
      </c>
      <c r="AB16" s="1539">
        <v>1</v>
      </c>
      <c r="AC16" s="1539">
        <v>1</v>
      </c>
    </row>
    <row r="17" spans="1:29" ht="85.5">
      <c r="A17" s="387"/>
      <c r="B17" s="410" t="s">
        <v>1943</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27"/>
      <c r="Q17" s="1538" t="str">
        <f>B17</f>
        <v>交通便捷度</v>
      </c>
      <c r="R17" s="714" t="s">
        <v>21</v>
      </c>
      <c r="S17" s="715">
        <f>F17</f>
        <v>100</v>
      </c>
      <c r="T17" s="714" t="s">
        <v>21</v>
      </c>
      <c r="U17" s="715">
        <f>H17</f>
        <v>100</v>
      </c>
      <c r="V17" s="714" t="s">
        <v>21</v>
      </c>
      <c r="W17" s="715">
        <f>J17</f>
        <v>100</v>
      </c>
      <c r="X17" s="1541"/>
      <c r="Y17" s="3320"/>
      <c r="Z17" s="1542" t="str">
        <f>Q17</f>
        <v>交通便捷度</v>
      </c>
      <c r="AA17" s="1539">
        <f t="shared" si="3"/>
        <v>1</v>
      </c>
      <c r="AB17" s="1539">
        <f t="shared" si="4"/>
        <v>1</v>
      </c>
      <c r="AC17" s="1539">
        <f t="shared" si="5"/>
        <v>1</v>
      </c>
    </row>
    <row r="18" spans="1:29" ht="15">
      <c r="A18" s="387"/>
      <c r="B18" s="415"/>
      <c r="C18" s="2088"/>
      <c r="D18" s="409"/>
      <c r="E18" s="2089"/>
      <c r="F18" s="409"/>
      <c r="G18" s="2090"/>
      <c r="H18" s="407"/>
      <c r="I18" s="2090"/>
      <c r="J18" s="407"/>
      <c r="K18" s="2086"/>
      <c r="L18" s="2952"/>
      <c r="M18" s="2946"/>
      <c r="N18" s="2946"/>
      <c r="O18" s="2946"/>
      <c r="P18" s="3327"/>
      <c r="Q18" s="1538"/>
      <c r="R18" s="714"/>
      <c r="S18" s="715"/>
      <c r="T18" s="714"/>
      <c r="U18" s="715"/>
      <c r="V18" s="714"/>
      <c r="W18" s="715"/>
      <c r="X18" s="1541"/>
      <c r="Y18" s="3320"/>
      <c r="Z18" s="1542"/>
      <c r="AA18" s="1539">
        <v>1</v>
      </c>
      <c r="AB18" s="1539">
        <v>1</v>
      </c>
      <c r="AC18" s="1539">
        <v>1</v>
      </c>
    </row>
    <row r="19" spans="1:29" ht="42.75">
      <c r="A19" s="387"/>
      <c r="B19" s="410" t="s">
        <v>1942</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27"/>
      <c r="Q19" s="1538" t="str">
        <f>B19</f>
        <v>公共配套设施</v>
      </c>
      <c r="R19" s="714" t="s">
        <v>21</v>
      </c>
      <c r="S19" s="715">
        <f>F19</f>
        <v>100</v>
      </c>
      <c r="T19" s="714" t="s">
        <v>21</v>
      </c>
      <c r="U19" s="715">
        <f>H19</f>
        <v>100</v>
      </c>
      <c r="V19" s="714" t="s">
        <v>21</v>
      </c>
      <c r="W19" s="715">
        <f>J19</f>
        <v>100</v>
      </c>
      <c r="X19" s="1541"/>
      <c r="Y19" s="3320"/>
      <c r="Z19" s="1542" t="str">
        <f>Q19</f>
        <v>公共配套设施</v>
      </c>
      <c r="AA19" s="1539">
        <f t="shared" si="3"/>
        <v>1</v>
      </c>
      <c r="AB19" s="1539">
        <f t="shared" si="4"/>
        <v>1</v>
      </c>
      <c r="AC19" s="1539">
        <f t="shared" si="5"/>
        <v>1</v>
      </c>
    </row>
    <row r="20" spans="1:29" ht="15">
      <c r="A20" s="387"/>
      <c r="B20" s="415"/>
      <c r="C20" s="406"/>
      <c r="D20" s="407"/>
      <c r="E20" s="2084"/>
      <c r="F20" s="407"/>
      <c r="G20" s="2085"/>
      <c r="H20" s="407"/>
      <c r="I20" s="2085"/>
      <c r="J20" s="407"/>
      <c r="K20" s="2086"/>
      <c r="L20" s="2952"/>
      <c r="M20" s="2946"/>
      <c r="N20" s="2946"/>
      <c r="O20" s="2946"/>
      <c r="P20" s="3327"/>
      <c r="Q20" s="1538"/>
      <c r="R20" s="714"/>
      <c r="S20" s="715"/>
      <c r="T20" s="714"/>
      <c r="U20" s="715"/>
      <c r="V20" s="714"/>
      <c r="W20" s="715"/>
      <c r="X20" s="1541"/>
      <c r="Y20" s="3320"/>
      <c r="Z20" s="1542"/>
      <c r="AA20" s="1539">
        <v>1</v>
      </c>
      <c r="AB20" s="1539">
        <v>1</v>
      </c>
      <c r="AC20" s="1539">
        <v>1</v>
      </c>
    </row>
    <row r="21" spans="1:29" ht="28.5">
      <c r="A21" s="387"/>
      <c r="B21" s="1293" t="s">
        <v>1944</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27"/>
      <c r="Q21" s="1538" t="str">
        <f>B21</f>
        <v>基础设施水平</v>
      </c>
      <c r="R21" s="714" t="s">
        <v>17</v>
      </c>
      <c r="S21" s="715">
        <f>F21</f>
        <v>100</v>
      </c>
      <c r="T21" s="714" t="s">
        <v>17</v>
      </c>
      <c r="U21" s="715">
        <f>H21</f>
        <v>100</v>
      </c>
      <c r="V21" s="714" t="s">
        <v>17</v>
      </c>
      <c r="W21" s="715">
        <f>J21</f>
        <v>100</v>
      </c>
      <c r="X21" s="1541"/>
      <c r="Y21" s="3320"/>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7"/>
      <c r="G22" s="2091"/>
      <c r="H22" s="407"/>
      <c r="I22" s="406"/>
      <c r="J22" s="407"/>
      <c r="K22" s="2092"/>
      <c r="L22" s="2952"/>
      <c r="M22" s="2946"/>
      <c r="N22" s="2946"/>
      <c r="O22" s="2946"/>
      <c r="P22" s="3327"/>
      <c r="Q22" s="1538"/>
      <c r="R22" s="714"/>
      <c r="S22" s="715"/>
      <c r="T22" s="714"/>
      <c r="U22" s="715"/>
      <c r="V22" s="714"/>
      <c r="W22" s="715"/>
      <c r="X22" s="1541"/>
      <c r="Y22" s="3320"/>
      <c r="Z22" s="1542"/>
      <c r="AA22" s="1539">
        <v>1</v>
      </c>
      <c r="AB22" s="1539">
        <v>1</v>
      </c>
      <c r="AC22" s="1539">
        <v>1</v>
      </c>
    </row>
    <row r="23" spans="1:29" ht="57">
      <c r="A23" s="387"/>
      <c r="B23" s="410" t="s">
        <v>1945</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27"/>
      <c r="Q23" s="1538" t="str">
        <f>B23</f>
        <v>自然及人文环境</v>
      </c>
      <c r="R23" s="714" t="s">
        <v>21</v>
      </c>
      <c r="S23" s="715">
        <f>F23</f>
        <v>100</v>
      </c>
      <c r="T23" s="714" t="s">
        <v>21</v>
      </c>
      <c r="U23" s="715">
        <f>H23</f>
        <v>100</v>
      </c>
      <c r="V23" s="714" t="s">
        <v>21</v>
      </c>
      <c r="W23" s="715">
        <f>J23</f>
        <v>100</v>
      </c>
      <c r="X23" s="1541"/>
      <c r="Y23" s="3320"/>
      <c r="Z23" s="1542" t="str">
        <f>Q23</f>
        <v>自然及人文环境</v>
      </c>
      <c r="AA23" s="1539">
        <f>D23/F23</f>
        <v>1</v>
      </c>
      <c r="AB23" s="1539">
        <f>D23/H23</f>
        <v>1</v>
      </c>
      <c r="AC23" s="1539">
        <f>D23/J23</f>
        <v>1</v>
      </c>
    </row>
    <row r="24" spans="1:29" ht="15">
      <c r="A24" s="387"/>
      <c r="B24" s="415"/>
      <c r="C24" s="406"/>
      <c r="D24" s="407"/>
      <c r="E24" s="2084"/>
      <c r="F24" s="407"/>
      <c r="G24" s="2085"/>
      <c r="H24" s="407"/>
      <c r="I24" s="2085"/>
      <c r="J24" s="407"/>
      <c r="K24" s="2086"/>
      <c r="L24" s="2952"/>
      <c r="M24" s="2946"/>
      <c r="N24" s="2946"/>
      <c r="O24" s="2946"/>
      <c r="P24" s="3327"/>
      <c r="Q24" s="1538"/>
      <c r="R24" s="714"/>
      <c r="S24" s="715"/>
      <c r="T24" s="714"/>
      <c r="U24" s="715"/>
      <c r="V24" s="714"/>
      <c r="W24" s="715"/>
      <c r="X24" s="1541"/>
      <c r="Y24" s="3320"/>
      <c r="Z24" s="1542"/>
      <c r="AA24" s="1539">
        <v>1</v>
      </c>
      <c r="AB24" s="1539">
        <v>1</v>
      </c>
      <c r="AC24" s="1539">
        <v>1</v>
      </c>
    </row>
    <row r="25" spans="1:29" ht="15">
      <c r="A25" s="387"/>
      <c r="B25" s="381" t="s">
        <v>2377</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27"/>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20"/>
      <c r="Z25" s="1542" t="str">
        <f>Q25</f>
        <v>楼层-1</v>
      </c>
      <c r="AA25" s="1539">
        <f t="shared" ref="AA25:AA46" si="15">D25/F25</f>
        <v>1</v>
      </c>
      <c r="AB25" s="1539">
        <f t="shared" ref="AB25:AB46" si="16">D25/H25</f>
        <v>1</v>
      </c>
      <c r="AC25" s="1539">
        <f t="shared" ref="AC25:AC46" si="17">D25/J25</f>
        <v>1</v>
      </c>
    </row>
    <row r="26" spans="1:29" ht="15">
      <c r="A26" s="387"/>
      <c r="B26" s="381" t="s">
        <v>2378</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27"/>
      <c r="Q26" s="1538" t="str">
        <f t="shared" si="11"/>
        <v>朝向</v>
      </c>
      <c r="R26" s="714" t="s">
        <v>21</v>
      </c>
      <c r="S26" s="715">
        <f t="shared" si="12"/>
        <v>100</v>
      </c>
      <c r="T26" s="714" t="s">
        <v>21</v>
      </c>
      <c r="U26" s="715">
        <f t="shared" si="13"/>
        <v>100</v>
      </c>
      <c r="V26" s="714" t="s">
        <v>21</v>
      </c>
      <c r="W26" s="715">
        <f t="shared" si="14"/>
        <v>100</v>
      </c>
      <c r="X26" s="1541"/>
      <c r="Y26" s="3320"/>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27"/>
      <c r="Q27" s="1529">
        <f t="shared" si="11"/>
        <v>111</v>
      </c>
      <c r="R27" s="710" t="s">
        <v>21</v>
      </c>
      <c r="S27" s="711">
        <f t="shared" si="12"/>
        <v>100</v>
      </c>
      <c r="T27" s="710" t="s">
        <v>21</v>
      </c>
      <c r="U27" s="711">
        <f t="shared" si="13"/>
        <v>100</v>
      </c>
      <c r="V27" s="710" t="s">
        <v>21</v>
      </c>
      <c r="W27" s="711">
        <f t="shared" si="14"/>
        <v>100</v>
      </c>
      <c r="X27" s="712"/>
      <c r="Y27" s="3320"/>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27"/>
      <c r="Q28" s="1538">
        <f t="shared" si="11"/>
        <v>111</v>
      </c>
      <c r="R28" s="714" t="s">
        <v>21</v>
      </c>
      <c r="S28" s="715">
        <f t="shared" si="12"/>
        <v>100</v>
      </c>
      <c r="T28" s="714" t="s">
        <v>21</v>
      </c>
      <c r="U28" s="715">
        <f t="shared" si="13"/>
        <v>100</v>
      </c>
      <c r="V28" s="714" t="s">
        <v>21</v>
      </c>
      <c r="W28" s="715">
        <f t="shared" si="14"/>
        <v>100</v>
      </c>
      <c r="X28" s="1541"/>
      <c r="Y28" s="3320"/>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27"/>
      <c r="Q29" s="1538">
        <f t="shared" si="11"/>
        <v>111</v>
      </c>
      <c r="R29" s="714" t="s">
        <v>21</v>
      </c>
      <c r="S29" s="715">
        <f t="shared" si="12"/>
        <v>100</v>
      </c>
      <c r="T29" s="714" t="s">
        <v>21</v>
      </c>
      <c r="U29" s="715">
        <f t="shared" si="13"/>
        <v>100</v>
      </c>
      <c r="V29" s="714" t="s">
        <v>21</v>
      </c>
      <c r="W29" s="715">
        <f t="shared" si="14"/>
        <v>100</v>
      </c>
      <c r="X29" s="1541"/>
      <c r="Y29" s="3320"/>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27"/>
      <c r="Q30" s="1538">
        <f t="shared" si="11"/>
        <v>111</v>
      </c>
      <c r="R30" s="714" t="s">
        <v>21</v>
      </c>
      <c r="S30" s="715">
        <f t="shared" si="12"/>
        <v>100</v>
      </c>
      <c r="T30" s="714" t="s">
        <v>21</v>
      </c>
      <c r="U30" s="715">
        <f t="shared" si="13"/>
        <v>100</v>
      </c>
      <c r="V30" s="714" t="s">
        <v>21</v>
      </c>
      <c r="W30" s="715">
        <f t="shared" si="14"/>
        <v>100</v>
      </c>
      <c r="X30" s="1541"/>
      <c r="Y30" s="3320"/>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27"/>
      <c r="Q31" s="1538">
        <f t="shared" si="11"/>
        <v>111</v>
      </c>
      <c r="R31" s="714" t="s">
        <v>21</v>
      </c>
      <c r="S31" s="715">
        <f t="shared" si="12"/>
        <v>100</v>
      </c>
      <c r="T31" s="714" t="s">
        <v>21</v>
      </c>
      <c r="U31" s="715">
        <f t="shared" si="13"/>
        <v>100</v>
      </c>
      <c r="V31" s="714" t="s">
        <v>21</v>
      </c>
      <c r="W31" s="715">
        <f t="shared" si="14"/>
        <v>100</v>
      </c>
      <c r="X31" s="1541"/>
      <c r="Y31" s="3320"/>
      <c r="Z31" s="1542">
        <f t="shared" si="18"/>
        <v>111</v>
      </c>
      <c r="AA31" s="1539">
        <f t="shared" si="15"/>
        <v>1</v>
      </c>
      <c r="AB31" s="1539">
        <f t="shared" si="16"/>
        <v>1</v>
      </c>
      <c r="AC31" s="1539">
        <f t="shared" si="17"/>
        <v>1</v>
      </c>
    </row>
    <row r="32" spans="1:29" ht="15">
      <c r="A32" s="399" t="s">
        <v>2379</v>
      </c>
      <c r="B32" s="67" t="s">
        <v>2380</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21" t="s">
        <v>2381</v>
      </c>
      <c r="Q32" s="1538" t="str">
        <f t="shared" si="11"/>
        <v>建筑类型</v>
      </c>
      <c r="R32" s="714" t="s">
        <v>21</v>
      </c>
      <c r="S32" s="715">
        <f t="shared" si="12"/>
        <v>100</v>
      </c>
      <c r="T32" s="714" t="s">
        <v>21</v>
      </c>
      <c r="U32" s="715">
        <f t="shared" si="13"/>
        <v>100</v>
      </c>
      <c r="V32" s="714" t="s">
        <v>21</v>
      </c>
      <c r="W32" s="715">
        <f t="shared" si="14"/>
        <v>100</v>
      </c>
      <c r="X32" s="1541"/>
      <c r="Y32" s="3324" t="s">
        <v>2381</v>
      </c>
      <c r="Z32" s="1542" t="str">
        <f t="shared" si="18"/>
        <v>建筑类型</v>
      </c>
      <c r="AA32" s="1539">
        <f t="shared" si="15"/>
        <v>1</v>
      </c>
      <c r="AB32" s="1539">
        <f t="shared" si="16"/>
        <v>1</v>
      </c>
      <c r="AC32" s="1539">
        <f t="shared" si="17"/>
        <v>1</v>
      </c>
    </row>
    <row r="33" spans="1:29" s="430" customFormat="1" ht="15">
      <c r="A33" s="427"/>
      <c r="B33" s="381" t="s">
        <v>2382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22"/>
      <c r="Q33" s="716" t="str">
        <f t="shared" si="11"/>
        <v>项目建筑规模</v>
      </c>
      <c r="R33" s="717" t="s">
        <v>21</v>
      </c>
      <c r="S33" s="718" t="e">
        <f t="shared" si="12"/>
        <v>#N/A</v>
      </c>
      <c r="T33" s="717" t="s">
        <v>21</v>
      </c>
      <c r="U33" s="718" t="e">
        <f t="shared" si="13"/>
        <v>#N/A</v>
      </c>
      <c r="V33" s="717" t="s">
        <v>21</v>
      </c>
      <c r="W33" s="718" t="e">
        <f t="shared" si="14"/>
        <v>#N/A</v>
      </c>
      <c r="X33" s="719"/>
      <c r="Y33" s="3324"/>
      <c r="Z33" s="720" t="str">
        <f t="shared" si="18"/>
        <v>项目建筑规模</v>
      </c>
      <c r="AA33" s="1539" t="e">
        <f t="shared" si="15"/>
        <v>#N/A</v>
      </c>
      <c r="AB33" s="1539" t="e">
        <f t="shared" si="16"/>
        <v>#N/A</v>
      </c>
      <c r="AC33" s="1539" t="e">
        <f t="shared" si="17"/>
        <v>#N/A</v>
      </c>
    </row>
    <row r="34" spans="1:29" ht="15">
      <c r="A34" s="431"/>
      <c r="B34" s="381" t="s">
        <v>2383</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22"/>
      <c r="Q34" s="1538" t="str">
        <f t="shared" si="11"/>
        <v>建筑结构</v>
      </c>
      <c r="R34" s="714" t="s">
        <v>21</v>
      </c>
      <c r="S34" s="715">
        <f t="shared" si="12"/>
        <v>100</v>
      </c>
      <c r="T34" s="714" t="s">
        <v>21</v>
      </c>
      <c r="U34" s="715">
        <f t="shared" si="13"/>
        <v>100</v>
      </c>
      <c r="V34" s="714" t="s">
        <v>21</v>
      </c>
      <c r="W34" s="715">
        <f t="shared" si="14"/>
        <v>100</v>
      </c>
      <c r="X34" s="1541"/>
      <c r="Y34" s="3324"/>
      <c r="Z34" s="1542" t="str">
        <f t="shared" si="18"/>
        <v>建筑结构</v>
      </c>
      <c r="AA34" s="1539">
        <f t="shared" si="15"/>
        <v>1</v>
      </c>
      <c r="AB34" s="1539">
        <f t="shared" si="16"/>
        <v>1</v>
      </c>
      <c r="AC34" s="1539">
        <f t="shared" si="17"/>
        <v>1</v>
      </c>
    </row>
    <row r="35" spans="1:29" ht="15">
      <c r="A35" s="431"/>
      <c r="B35" s="381" t="s">
        <v>2384</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22"/>
      <c r="Q35" s="1538" t="str">
        <f t="shared" si="11"/>
        <v>建筑品质</v>
      </c>
      <c r="R35" s="714" t="s">
        <v>21</v>
      </c>
      <c r="S35" s="715">
        <f t="shared" si="12"/>
        <v>100</v>
      </c>
      <c r="T35" s="714" t="s">
        <v>21</v>
      </c>
      <c r="U35" s="715">
        <f t="shared" si="13"/>
        <v>100</v>
      </c>
      <c r="V35" s="714" t="s">
        <v>21</v>
      </c>
      <c r="W35" s="715">
        <f t="shared" si="14"/>
        <v>100</v>
      </c>
      <c r="X35" s="1541"/>
      <c r="Y35" s="3324"/>
      <c r="Z35" s="1542" t="str">
        <f t="shared" si="18"/>
        <v>建筑品质</v>
      </c>
      <c r="AA35" s="1539">
        <f t="shared" si="15"/>
        <v>1</v>
      </c>
      <c r="AB35" s="1539">
        <f t="shared" si="16"/>
        <v>1</v>
      </c>
      <c r="AC35" s="1539">
        <f t="shared" si="17"/>
        <v>1</v>
      </c>
    </row>
    <row r="36" spans="1:29" ht="15">
      <c r="A36" s="431"/>
      <c r="B36" s="381" t="s">
        <v>2385</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22"/>
      <c r="Q36" s="1538" t="str">
        <f t="shared" si="11"/>
        <v>公共部分装修</v>
      </c>
      <c r="R36" s="714" t="s">
        <v>21</v>
      </c>
      <c r="S36" s="715">
        <f t="shared" si="12"/>
        <v>100</v>
      </c>
      <c r="T36" s="714" t="s">
        <v>21</v>
      </c>
      <c r="U36" s="715">
        <f t="shared" si="13"/>
        <v>100</v>
      </c>
      <c r="V36" s="714" t="s">
        <v>21</v>
      </c>
      <c r="W36" s="715">
        <f t="shared" si="14"/>
        <v>100</v>
      </c>
      <c r="X36" s="1541"/>
      <c r="Y36" s="3324"/>
      <c r="Z36" s="1542" t="str">
        <f t="shared" si="18"/>
        <v>公共部分装修</v>
      </c>
      <c r="AA36" s="1539">
        <f t="shared" si="15"/>
        <v>1</v>
      </c>
      <c r="AB36" s="1539">
        <f t="shared" si="16"/>
        <v>1</v>
      </c>
      <c r="AC36" s="1539">
        <f t="shared" si="17"/>
        <v>1</v>
      </c>
    </row>
    <row r="37" spans="1:29" s="113" customFormat="1" ht="15">
      <c r="A37" s="432"/>
      <c r="B37" s="381" t="s">
        <v>2386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22"/>
      <c r="Q37" s="1529" t="str">
        <f t="shared" si="11"/>
        <v>成新度</v>
      </c>
      <c r="R37" s="710" t="s">
        <v>21</v>
      </c>
      <c r="S37" s="711" t="e">
        <f t="shared" si="12"/>
        <v>#N/A</v>
      </c>
      <c r="T37" s="710" t="s">
        <v>21</v>
      </c>
      <c r="U37" s="711" t="e">
        <f t="shared" si="13"/>
        <v>#N/A</v>
      </c>
      <c r="V37" s="710" t="s">
        <v>21</v>
      </c>
      <c r="W37" s="711" t="e">
        <f t="shared" si="14"/>
        <v>#N/A</v>
      </c>
      <c r="X37" s="712"/>
      <c r="Y37" s="3324"/>
      <c r="Z37" s="55" t="str">
        <f t="shared" si="18"/>
        <v>成新度</v>
      </c>
      <c r="AA37" s="713" t="e">
        <f t="shared" si="15"/>
        <v>#N/A</v>
      </c>
      <c r="AB37" s="713" t="e">
        <f t="shared" si="16"/>
        <v>#N/A</v>
      </c>
      <c r="AC37" s="713" t="e">
        <f t="shared" si="17"/>
        <v>#N/A</v>
      </c>
    </row>
    <row r="38" spans="1:29" ht="15">
      <c r="A38" s="431"/>
      <c r="B38" s="381" t="s">
        <v>2387</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22" t="s">
        <v>2381</v>
      </c>
      <c r="Q38" s="1538" t="str">
        <f t="shared" si="11"/>
        <v>物业管理</v>
      </c>
      <c r="R38" s="714" t="s">
        <v>21</v>
      </c>
      <c r="S38" s="715">
        <f t="shared" si="12"/>
        <v>100</v>
      </c>
      <c r="T38" s="714" t="s">
        <v>21</v>
      </c>
      <c r="U38" s="715">
        <f t="shared" si="13"/>
        <v>100</v>
      </c>
      <c r="V38" s="714" t="s">
        <v>21</v>
      </c>
      <c r="W38" s="715">
        <f t="shared" si="14"/>
        <v>100</v>
      </c>
      <c r="X38" s="1541"/>
      <c r="Y38" s="3324" t="s">
        <v>2381</v>
      </c>
      <c r="Z38" s="1542" t="str">
        <f t="shared" si="18"/>
        <v>物业管理</v>
      </c>
      <c r="AA38" s="1539">
        <f t="shared" si="15"/>
        <v>1</v>
      </c>
      <c r="AB38" s="1539">
        <f t="shared" si="16"/>
        <v>1</v>
      </c>
      <c r="AC38" s="1539">
        <f t="shared" si="17"/>
        <v>1</v>
      </c>
    </row>
    <row r="39" spans="1:29" ht="15">
      <c r="A39" s="431"/>
      <c r="B39" s="381" t="s">
        <v>2388</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22"/>
      <c r="Q39" s="1538" t="str">
        <f t="shared" si="11"/>
        <v>市政基础设施</v>
      </c>
      <c r="R39" s="714" t="s">
        <v>21</v>
      </c>
      <c r="S39" s="715">
        <f t="shared" si="12"/>
        <v>100</v>
      </c>
      <c r="T39" s="714" t="s">
        <v>21</v>
      </c>
      <c r="U39" s="715">
        <f t="shared" si="13"/>
        <v>100</v>
      </c>
      <c r="V39" s="714" t="s">
        <v>21</v>
      </c>
      <c r="W39" s="715">
        <f t="shared" si="14"/>
        <v>100</v>
      </c>
      <c r="X39" s="1541"/>
      <c r="Y39" s="3324"/>
      <c r="Z39" s="1542" t="str">
        <f t="shared" si="18"/>
        <v>市政基础设施</v>
      </c>
      <c r="AA39" s="1539">
        <f t="shared" si="15"/>
        <v>1</v>
      </c>
      <c r="AB39" s="1539">
        <f t="shared" si="16"/>
        <v>1</v>
      </c>
      <c r="AC39" s="1539">
        <f t="shared" si="17"/>
        <v>1</v>
      </c>
    </row>
    <row r="40" spans="1:29" ht="15">
      <c r="A40" s="431"/>
      <c r="B40" s="381" t="s">
        <v>2389</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22"/>
      <c r="Q40" s="1538" t="str">
        <f t="shared" si="11"/>
        <v>房型</v>
      </c>
      <c r="R40" s="714" t="s">
        <v>21</v>
      </c>
      <c r="S40" s="715">
        <f t="shared" si="12"/>
        <v>100</v>
      </c>
      <c r="T40" s="714" t="s">
        <v>21</v>
      </c>
      <c r="U40" s="715">
        <f t="shared" si="13"/>
        <v>100</v>
      </c>
      <c r="V40" s="714" t="s">
        <v>21</v>
      </c>
      <c r="W40" s="715">
        <f t="shared" si="14"/>
        <v>100</v>
      </c>
      <c r="X40" s="1541"/>
      <c r="Y40" s="3324"/>
      <c r="Z40" s="1542" t="str">
        <f t="shared" si="18"/>
        <v>房型</v>
      </c>
      <c r="AA40" s="1539">
        <f t="shared" si="15"/>
        <v>1</v>
      </c>
      <c r="AB40" s="1539">
        <f t="shared" si="16"/>
        <v>1</v>
      </c>
      <c r="AC40" s="1539">
        <f t="shared" si="17"/>
        <v>1</v>
      </c>
    </row>
    <row r="41" spans="1:29" s="430" customFormat="1" ht="28.5">
      <c r="A41" s="427"/>
      <c r="B41" s="381" t="s">
        <v>2390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22"/>
      <c r="Q41" s="716" t="str">
        <f t="shared" si="11"/>
        <v>单套/主力户型建筑面积</v>
      </c>
      <c r="R41" s="717" t="s">
        <v>21</v>
      </c>
      <c r="S41" s="718">
        <f t="shared" si="12"/>
        <v>100</v>
      </c>
      <c r="T41" s="717" t="s">
        <v>21</v>
      </c>
      <c r="U41" s="718">
        <f t="shared" si="13"/>
        <v>100</v>
      </c>
      <c r="V41" s="717" t="s">
        <v>21</v>
      </c>
      <c r="W41" s="718">
        <f t="shared" si="14"/>
        <v>100</v>
      </c>
      <c r="X41" s="719"/>
      <c r="Y41" s="3324"/>
      <c r="Z41" s="720" t="str">
        <f t="shared" si="18"/>
        <v>单套/主力户型建筑面积</v>
      </c>
      <c r="AA41" s="1539">
        <f t="shared" si="15"/>
        <v>1</v>
      </c>
      <c r="AB41" s="1539">
        <f t="shared" si="16"/>
        <v>1</v>
      </c>
      <c r="AC41" s="1539">
        <f t="shared" si="17"/>
        <v>1</v>
      </c>
    </row>
    <row r="42" spans="1:29" ht="15">
      <c r="A42" s="431"/>
      <c r="B42" s="381" t="s">
        <v>2391</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22"/>
      <c r="Q42" s="1538" t="str">
        <f t="shared" si="11"/>
        <v>内部装修</v>
      </c>
      <c r="R42" s="714" t="s">
        <v>21</v>
      </c>
      <c r="S42" s="715">
        <f t="shared" si="12"/>
        <v>100</v>
      </c>
      <c r="T42" s="714" t="s">
        <v>21</v>
      </c>
      <c r="U42" s="715">
        <f t="shared" si="13"/>
        <v>100</v>
      </c>
      <c r="V42" s="714" t="s">
        <v>21</v>
      </c>
      <c r="W42" s="715">
        <f t="shared" si="14"/>
        <v>100</v>
      </c>
      <c r="X42" s="1541"/>
      <c r="Y42" s="3324"/>
      <c r="Z42" s="1542" t="str">
        <f t="shared" si="18"/>
        <v>内部装修</v>
      </c>
      <c r="AA42" s="1539">
        <f t="shared" si="15"/>
        <v>1</v>
      </c>
      <c r="AB42" s="1539">
        <f t="shared" si="16"/>
        <v>1</v>
      </c>
      <c r="AC42" s="1539">
        <f t="shared" si="17"/>
        <v>1</v>
      </c>
    </row>
    <row r="43" spans="1:29" ht="15">
      <c r="A43" s="431"/>
      <c r="B43" s="381" t="s">
        <v>2392</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22"/>
      <c r="Q43" s="1538" t="str">
        <f t="shared" si="11"/>
        <v>内部装修维护情况</v>
      </c>
      <c r="R43" s="714" t="s">
        <v>21</v>
      </c>
      <c r="S43" s="715">
        <f t="shared" si="12"/>
        <v>100</v>
      </c>
      <c r="T43" s="714" t="s">
        <v>21</v>
      </c>
      <c r="U43" s="715">
        <f t="shared" si="13"/>
        <v>100</v>
      </c>
      <c r="V43" s="714" t="s">
        <v>21</v>
      </c>
      <c r="W43" s="715">
        <f t="shared" si="14"/>
        <v>100</v>
      </c>
      <c r="X43" s="1541"/>
      <c r="Y43" s="3324"/>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22"/>
      <c r="Q44" s="1529">
        <f t="shared" si="11"/>
        <v>111</v>
      </c>
      <c r="R44" s="710" t="s">
        <v>21</v>
      </c>
      <c r="S44" s="711">
        <f t="shared" si="12"/>
        <v>100</v>
      </c>
      <c r="T44" s="710" t="s">
        <v>21</v>
      </c>
      <c r="U44" s="711">
        <f t="shared" si="13"/>
        <v>100</v>
      </c>
      <c r="V44" s="710" t="s">
        <v>21</v>
      </c>
      <c r="W44" s="711">
        <f t="shared" si="14"/>
        <v>100</v>
      </c>
      <c r="X44" s="712"/>
      <c r="Y44" s="332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22"/>
      <c r="Q45" s="1538">
        <f t="shared" si="11"/>
        <v>111</v>
      </c>
      <c r="R45" s="714" t="s">
        <v>21</v>
      </c>
      <c r="S45" s="715">
        <f t="shared" si="12"/>
        <v>100</v>
      </c>
      <c r="T45" s="714" t="s">
        <v>21</v>
      </c>
      <c r="U45" s="715">
        <f t="shared" si="13"/>
        <v>100</v>
      </c>
      <c r="V45" s="714" t="s">
        <v>21</v>
      </c>
      <c r="W45" s="715">
        <f t="shared" si="14"/>
        <v>100</v>
      </c>
      <c r="X45" s="1541"/>
      <c r="Y45" s="3324"/>
      <c r="Z45" s="1542">
        <f t="shared" si="18"/>
        <v>111</v>
      </c>
      <c r="AA45" s="1539">
        <f t="shared" si="15"/>
        <v>1</v>
      </c>
      <c r="AB45" s="1539">
        <f t="shared" si="16"/>
        <v>1</v>
      </c>
      <c r="AC45" s="1539">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23"/>
      <c r="Q46" s="1538">
        <f t="shared" si="11"/>
        <v>111</v>
      </c>
      <c r="R46" s="714" t="s">
        <v>20</v>
      </c>
      <c r="S46" s="715">
        <f t="shared" si="12"/>
        <v>100</v>
      </c>
      <c r="T46" s="714" t="s">
        <v>20</v>
      </c>
      <c r="U46" s="715">
        <f t="shared" si="13"/>
        <v>100</v>
      </c>
      <c r="V46" s="714" t="s">
        <v>20</v>
      </c>
      <c r="W46" s="715">
        <f t="shared" si="14"/>
        <v>100</v>
      </c>
      <c r="X46" s="1541"/>
      <c r="Y46" s="3325"/>
      <c r="Z46" s="1542">
        <f t="shared" si="18"/>
        <v>111</v>
      </c>
      <c r="AA46" s="1539">
        <f t="shared" si="15"/>
        <v>1</v>
      </c>
      <c r="AB46" s="1539">
        <f t="shared" si="16"/>
        <v>1</v>
      </c>
      <c r="AC46" s="1539">
        <f t="shared" si="17"/>
        <v>1</v>
      </c>
    </row>
    <row r="47" spans="1:29" ht="15">
      <c r="A47" s="438" t="s">
        <v>2393</v>
      </c>
      <c r="B47" s="439"/>
      <c r="C47" s="1316" t="s">
        <v>19</v>
      </c>
      <c r="D47" s="1317"/>
      <c r="E47" s="1318"/>
      <c r="F47" s="1319"/>
      <c r="G47" s="1320"/>
      <c r="H47" s="1321"/>
      <c r="I47" s="1318"/>
      <c r="J47" s="1321"/>
      <c r="K47" s="2101"/>
      <c r="L47" s="2954"/>
      <c r="M47" s="2955"/>
      <c r="N47" s="2946"/>
      <c r="O47" s="2955"/>
      <c r="P47" s="3317" t="str">
        <f>A47</f>
        <v>成交单价（元/平方米）</v>
      </c>
      <c r="Q47" s="3317"/>
      <c r="R47" s="3318">
        <f>E47</f>
        <v>0</v>
      </c>
      <c r="S47" s="3318"/>
      <c r="T47" s="3318">
        <f>G47</f>
        <v>0</v>
      </c>
      <c r="U47" s="3318"/>
      <c r="V47" s="3318">
        <f>I47</f>
        <v>0</v>
      </c>
      <c r="W47" s="3318"/>
      <c r="X47" s="699"/>
      <c r="Y47" s="721"/>
      <c r="Z47" s="699"/>
      <c r="AA47" s="699"/>
      <c r="AB47" s="699"/>
      <c r="AC47" s="699"/>
    </row>
    <row r="48" spans="1:29" ht="15.75" thickBot="1">
      <c r="A48" s="445" t="s">
        <v>2394</v>
      </c>
      <c r="B48" s="446"/>
      <c r="C48" s="1322" t="e">
        <f>R49</f>
        <v>#DIV/0!</v>
      </c>
      <c r="D48" s="2539" t="s">
        <v>2876</v>
      </c>
      <c r="E48" s="1323" t="e">
        <f>R48</f>
        <v>#DIV/0!</v>
      </c>
      <c r="F48" s="2540"/>
      <c r="G48" s="1322" t="e">
        <f>T48</f>
        <v>#DIV/0!</v>
      </c>
      <c r="H48" s="2540"/>
      <c r="I48" s="1323" t="e">
        <f>V48</f>
        <v>#DIV/0!</v>
      </c>
      <c r="J48" s="2540"/>
      <c r="K48" s="2541">
        <f>F48+H48+J48</f>
        <v>0</v>
      </c>
      <c r="L48" s="2954"/>
      <c r="M48" s="2955"/>
      <c r="N48" s="2955"/>
      <c r="O48" s="2955"/>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9"/>
      <c r="Y48" s="699"/>
      <c r="Z48" s="699"/>
      <c r="AA48" s="699"/>
      <c r="AB48" s="699"/>
      <c r="AC48" s="699"/>
    </row>
    <row r="49" spans="1:29" ht="15.75" thickBot="1">
      <c r="A49" s="449" t="s">
        <v>2395</v>
      </c>
      <c r="B49" s="450"/>
      <c r="C49" s="1324" t="e">
        <f>R49</f>
        <v>#DIV/0!</v>
      </c>
      <c r="D49" s="1325"/>
      <c r="E49" s="1325"/>
      <c r="F49" s="1325"/>
      <c r="G49" s="1325"/>
      <c r="H49" s="1325"/>
      <c r="I49" s="1325"/>
      <c r="J49" s="1325"/>
      <c r="K49" s="2102"/>
      <c r="L49" s="2954"/>
      <c r="M49" s="2955"/>
      <c r="N49" s="2955"/>
      <c r="O49" s="2955"/>
      <c r="P49" s="3314" t="str">
        <f>A49</f>
        <v>估价对象XX用房的比较价值（楼面单价，元/平方米）</v>
      </c>
      <c r="Q49" s="3315"/>
      <c r="R49" s="3316" t="e">
        <f>IF(F1="售价",ROUND(IF(D48="简单平均",AVERAGE(R48:V48),R48*F48+T48*H48+V48*J48),0),ROUND(IF(D48="简单平均",AVERAGE(R48:V48),R48*F48+T48*H48+V48*J48),1))</f>
        <v>#DIV/0!</v>
      </c>
      <c r="S49" s="3316"/>
      <c r="T49" s="3316"/>
      <c r="U49" s="3316"/>
      <c r="V49" s="3316"/>
      <c r="W49" s="3316"/>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2396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2397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2398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2399</v>
      </c>
      <c r="B57" s="699"/>
      <c r="C57" s="704"/>
      <c r="D57" s="704"/>
      <c r="E57" s="704"/>
      <c r="F57" s="705"/>
      <c r="G57" s="705"/>
      <c r="H57" s="704"/>
      <c r="I57" s="704"/>
      <c r="J57" s="704"/>
      <c r="K57" s="1072"/>
      <c r="L57" s="1073"/>
      <c r="M57" s="1071"/>
      <c r="N57" s="1071"/>
      <c r="O57" s="1071"/>
      <c r="P57" s="2105"/>
      <c r="Q57" s="461"/>
    </row>
    <row r="58" spans="1:29" s="465" customFormat="1" ht="15">
      <c r="A58" s="462" t="s">
        <v>2400</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2401</v>
      </c>
      <c r="B60" s="473"/>
      <c r="C60" s="474"/>
      <c r="D60" s="475"/>
      <c r="E60" s="475"/>
      <c r="F60" s="475"/>
      <c r="G60" s="475"/>
      <c r="H60" s="475"/>
      <c r="I60" s="475"/>
      <c r="J60" s="475"/>
      <c r="K60" s="475"/>
      <c r="L60" s="475"/>
      <c r="M60" s="476"/>
      <c r="N60" s="475"/>
      <c r="O60" s="476"/>
      <c r="P60" s="2107"/>
      <c r="Q60" s="461"/>
    </row>
    <row r="61" spans="1:29" s="113" customFormat="1" ht="15">
      <c r="A61" s="478" t="s">
        <v>2402</v>
      </c>
      <c r="B61" s="467"/>
      <c r="C61" s="479" t="s">
        <v>2403</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2404</v>
      </c>
      <c r="B63" s="485" t="s">
        <v>2370</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2373</v>
      </c>
      <c r="C65" s="496" t="s">
        <v>2405</v>
      </c>
      <c r="D65" s="496" t="s">
        <v>2406</v>
      </c>
      <c r="E65" s="496" t="s">
        <v>2407</v>
      </c>
      <c r="F65" s="496" t="s">
        <v>2408</v>
      </c>
      <c r="G65" s="496" t="s">
        <v>2409</v>
      </c>
      <c r="H65" s="496" t="s">
        <v>2410</v>
      </c>
      <c r="I65" s="496" t="s">
        <v>2411</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2375</v>
      </c>
      <c r="B76" s="485" t="s">
        <v>2412</v>
      </c>
      <c r="C76" s="530" t="s">
        <v>2413</v>
      </c>
      <c r="D76" s="530" t="s">
        <v>2414</v>
      </c>
      <c r="E76" s="530" t="s">
        <v>2415</v>
      </c>
      <c r="F76" s="530" t="s">
        <v>2416</v>
      </c>
      <c r="G76" s="530" t="s">
        <v>2417</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2418</v>
      </c>
      <c r="C78" s="535" t="s">
        <v>2413</v>
      </c>
      <c r="D78" s="535" t="s">
        <v>2414</v>
      </c>
      <c r="E78" s="535" t="s">
        <v>2415</v>
      </c>
      <c r="F78" s="535" t="s">
        <v>2416</v>
      </c>
      <c r="G78" s="535" t="s">
        <v>2417</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2419</v>
      </c>
      <c r="C80" s="535" t="s">
        <v>2413</v>
      </c>
      <c r="D80" s="535" t="s">
        <v>2414</v>
      </c>
      <c r="E80" s="535" t="s">
        <v>2415</v>
      </c>
      <c r="F80" s="535" t="s">
        <v>2416</v>
      </c>
      <c r="G80" s="535" t="s">
        <v>2417</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1944</v>
      </c>
      <c r="C82" s="496" t="s">
        <v>2420</v>
      </c>
      <c r="D82" s="496" t="s">
        <v>2421</v>
      </c>
      <c r="E82" s="496" t="s">
        <v>2422</v>
      </c>
      <c r="F82" s="496" t="s">
        <v>2423</v>
      </c>
      <c r="G82" s="496" t="s">
        <v>2424</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2425</v>
      </c>
      <c r="C84" s="535" t="s">
        <v>2413</v>
      </c>
      <c r="D84" s="535" t="s">
        <v>2414</v>
      </c>
      <c r="E84" s="535" t="s">
        <v>2415</v>
      </c>
      <c r="F84" s="535" t="s">
        <v>2416</v>
      </c>
      <c r="G84" s="535" t="s">
        <v>2417</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2426</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2427</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2379</v>
      </c>
      <c r="B100" s="485" t="s">
        <v>2428</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2429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2430</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2431</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2432</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2433</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2434</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2435</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2390</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2436</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2437</v>
      </c>
      <c r="C124" s="535" t="s">
        <v>2413</v>
      </c>
      <c r="D124" s="535" t="s">
        <v>2414</v>
      </c>
      <c r="E124" s="535" t="s">
        <v>2415</v>
      </c>
      <c r="F124" s="535" t="s">
        <v>2416</v>
      </c>
      <c r="G124" s="535" t="s">
        <v>2417</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2438</v>
      </c>
    </row>
    <row r="137" spans="1:17" ht="15">
      <c r="B137" s="2117" t="s">
        <v>2439</v>
      </c>
      <c r="C137" s="2118"/>
      <c r="D137" s="2118"/>
      <c r="E137" s="2118"/>
      <c r="F137" s="2118"/>
      <c r="G137" s="2119"/>
      <c r="H137" s="2120"/>
      <c r="I137" s="2121" t="s">
        <v>2440</v>
      </c>
      <c r="J137" s="2118"/>
      <c r="K137" s="2122"/>
    </row>
    <row r="138" spans="1:17" ht="15">
      <c r="B138" s="2123"/>
      <c r="C138" s="142" t="s">
        <v>2441</v>
      </c>
      <c r="D138" s="142" t="s">
        <v>2442</v>
      </c>
      <c r="E138" s="2124" t="s">
        <v>2443</v>
      </c>
      <c r="F138" s="2125" t="s">
        <v>2444</v>
      </c>
      <c r="G138" s="142" t="s">
        <v>2442</v>
      </c>
      <c r="H138" s="143" t="s">
        <v>2443</v>
      </c>
      <c r="I138" s="2126"/>
      <c r="J138" s="142" t="s">
        <v>2445</v>
      </c>
      <c r="K138" s="143" t="s">
        <v>2446</v>
      </c>
    </row>
    <row r="139" spans="1:17" ht="15">
      <c r="B139" s="998">
        <v>6</v>
      </c>
      <c r="C139" s="999">
        <v>96</v>
      </c>
      <c r="D139" s="2127" t="s">
        <v>2447</v>
      </c>
      <c r="E139" s="1000">
        <v>100</v>
      </c>
      <c r="F139" s="1001">
        <v>102.5</v>
      </c>
      <c r="G139" s="2127" t="s">
        <v>2447</v>
      </c>
      <c r="H139" s="1002">
        <v>105</v>
      </c>
      <c r="I139" s="2128" t="s">
        <v>2448</v>
      </c>
      <c r="J139" s="999">
        <v>20</v>
      </c>
      <c r="K139" s="1003">
        <f>C145/(J139-2)</f>
        <v>4.0555555555555553E-3</v>
      </c>
    </row>
    <row r="140" spans="1:17" ht="15">
      <c r="B140" s="1004">
        <v>5</v>
      </c>
      <c r="C140" s="1005">
        <v>100</v>
      </c>
      <c r="D140" s="1005"/>
      <c r="E140" s="1006"/>
      <c r="F140" s="1007">
        <v>102</v>
      </c>
      <c r="G140" s="1005"/>
      <c r="H140" s="1008"/>
      <c r="I140" s="2129" t="s">
        <v>2449</v>
      </c>
      <c r="J140" s="277">
        <f>ROUNDUP((J139-1)/2,0)</f>
        <v>10</v>
      </c>
      <c r="K140" s="1009">
        <v>100</v>
      </c>
    </row>
    <row r="141" spans="1:17" ht="15">
      <c r="B141" s="1004">
        <v>4</v>
      </c>
      <c r="C141" s="1005">
        <v>102</v>
      </c>
      <c r="D141" s="1005"/>
      <c r="E141" s="1006"/>
      <c r="F141" s="1007">
        <v>101.5</v>
      </c>
      <c r="G141" s="1005"/>
      <c r="H141" s="1008"/>
      <c r="I141" s="2129" t="s">
        <v>2450</v>
      </c>
      <c r="J141" s="277">
        <v>1</v>
      </c>
      <c r="K141" s="1010">
        <f>ROUND(100+(J141-J140)*K139*100,1)</f>
        <v>96.4</v>
      </c>
    </row>
    <row r="142" spans="1:17" ht="15">
      <c r="B142" s="1004">
        <v>3</v>
      </c>
      <c r="C142" s="1005">
        <v>103</v>
      </c>
      <c r="D142" s="1005"/>
      <c r="E142" s="1006"/>
      <c r="F142" s="1007">
        <v>101</v>
      </c>
      <c r="G142" s="1005"/>
      <c r="H142" s="1008"/>
      <c r="I142" s="2129" t="s">
        <v>2451</v>
      </c>
      <c r="J142" s="277">
        <f>J139</f>
        <v>20</v>
      </c>
      <c r="K142" s="1011">
        <v>95</v>
      </c>
    </row>
    <row r="143" spans="1:17" ht="15">
      <c r="B143" s="1004">
        <v>2</v>
      </c>
      <c r="C143" s="1005">
        <v>100</v>
      </c>
      <c r="D143" s="1005"/>
      <c r="E143" s="1006"/>
      <c r="F143" s="1007">
        <v>100.5</v>
      </c>
      <c r="G143" s="1005"/>
      <c r="H143" s="1008"/>
      <c r="I143" s="2129" t="s">
        <v>2452</v>
      </c>
      <c r="J143" s="1005">
        <v>15</v>
      </c>
      <c r="K143" s="1010">
        <f>ROUND(100+(J143-J140)*K139*100,1)</f>
        <v>102</v>
      </c>
    </row>
    <row r="144" spans="1:17" ht="15">
      <c r="B144" s="1004">
        <v>1</v>
      </c>
      <c r="C144" s="1005">
        <v>98</v>
      </c>
      <c r="D144" s="2130" t="s">
        <v>2453</v>
      </c>
      <c r="E144" s="1006">
        <v>102</v>
      </c>
      <c r="F144" s="1012">
        <v>100</v>
      </c>
      <c r="G144" s="2130" t="s">
        <v>2453</v>
      </c>
      <c r="H144" s="1008">
        <v>105</v>
      </c>
      <c r="I144" s="2129" t="s">
        <v>2452</v>
      </c>
      <c r="J144" s="1005">
        <v>18</v>
      </c>
      <c r="K144" s="1010">
        <f>ROUND(100+(J144-J140)*K139*100,1)</f>
        <v>103.2</v>
      </c>
    </row>
    <row r="145" spans="2:11" ht="15.75" thickBot="1">
      <c r="B145" s="2131" t="s">
        <v>2454</v>
      </c>
      <c r="C145" s="1013">
        <f>ROUND(MAX(C139:C144)/MIN(C139:C144)-1,3)</f>
        <v>7.2999999999999995E-2</v>
      </c>
      <c r="D145" s="1014"/>
      <c r="E145" s="1014"/>
      <c r="F145" s="2132" t="s">
        <v>2455</v>
      </c>
      <c r="G145" s="2133"/>
      <c r="H145" s="2134"/>
      <c r="I145" s="2135" t="s">
        <v>2452</v>
      </c>
      <c r="J145" s="1015">
        <v>8</v>
      </c>
      <c r="K145" s="1016">
        <f>ROUND(100+(J145-J140)*K139*100,1)</f>
        <v>99.2</v>
      </c>
    </row>
    <row r="147" spans="2:11">
      <c r="B147" s="2116" t="s">
        <v>2456</v>
      </c>
    </row>
    <row r="148" spans="2:11">
      <c r="B148" s="2116" t="s">
        <v>2457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065" t="s">
        <v>2458</v>
      </c>
      <c r="C1" s="1406" t="s">
        <v>2346</v>
      </c>
      <c r="D1" s="1393"/>
      <c r="E1" s="2544"/>
      <c r="F1" s="2066"/>
      <c r="G1" s="1403" t="s">
        <v>2459</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2146</v>
      </c>
      <c r="B2" s="1326" t="e">
        <f ca="1">IF(C2="——",ROUND(C49*D3/10000,0),ROUND(C49*D3/10000,0)-D2)</f>
        <v>#DIV/0!</v>
      </c>
      <c r="C2" s="2068"/>
      <c r="D2" s="1275" t="e">
        <f ca="1">SUMIF(INDIRECT("'"&amp;F2&amp;"'"&amp;"!A:A"),"承租人权益价值",INDIRECT("'"&amp;F2&amp;"'"&amp;"!c:c"))</f>
        <v>#REF!</v>
      </c>
      <c r="E2" s="2069" t="s">
        <v>2147</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2148</v>
      </c>
      <c r="B3" s="566" t="e">
        <f ca="1">IF(C2="——",C49,ROUND(B2*10000/D3,0))</f>
        <v>#DIV/0!</v>
      </c>
      <c r="C3" s="360" t="s">
        <v>2460</v>
      </c>
      <c r="D3" s="359">
        <f>IF(D1="",'数据-汇总表'!E3,SUMIF('数据-汇总表'!$C19:$C33,D1,'数据-汇总表'!$E19:$E33))</f>
        <v>107747.01000000001</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2461</v>
      </c>
      <c r="B4" s="362"/>
      <c r="C4" s="3332" t="s">
        <v>2462</v>
      </c>
      <c r="D4" s="3333"/>
      <c r="E4" s="3334" t="s">
        <v>2463</v>
      </c>
      <c r="F4" s="3335"/>
      <c r="G4" s="3332" t="s">
        <v>2464</v>
      </c>
      <c r="H4" s="3333"/>
      <c r="I4" s="3332" t="s">
        <v>2465</v>
      </c>
      <c r="J4" s="3333"/>
      <c r="K4" s="567" t="s">
        <v>2466</v>
      </c>
      <c r="L4" s="2945"/>
      <c r="M4" s="2946"/>
      <c r="N4" s="2946"/>
      <c r="O4" s="2946"/>
      <c r="P4" s="3336" t="s">
        <v>2467</v>
      </c>
      <c r="Q4" s="3337"/>
      <c r="R4" s="3342" t="s">
        <v>2463</v>
      </c>
      <c r="S4" s="3343"/>
      <c r="T4" s="3342" t="s">
        <v>2464</v>
      </c>
      <c r="U4" s="3343"/>
      <c r="V4" s="3348" t="s">
        <v>2465</v>
      </c>
      <c r="W4" s="3348"/>
      <c r="X4" s="1541"/>
      <c r="Y4" s="3342" t="s">
        <v>2467</v>
      </c>
      <c r="Z4" s="3343"/>
      <c r="AA4" s="3329" t="s">
        <v>2463</v>
      </c>
      <c r="AB4" s="3348" t="s">
        <v>2464</v>
      </c>
      <c r="AC4" s="3329" t="s">
        <v>2465</v>
      </c>
    </row>
    <row r="5" spans="1:29" ht="15">
      <c r="A5" s="364"/>
      <c r="B5" s="365"/>
      <c r="C5" s="3351" t="s">
        <v>2358</v>
      </c>
      <c r="D5" s="3352"/>
      <c r="E5" s="3358" t="s">
        <v>2359</v>
      </c>
      <c r="F5" s="3359"/>
      <c r="G5" s="3351" t="s">
        <v>2360</v>
      </c>
      <c r="H5" s="3352"/>
      <c r="I5" s="3351" t="s">
        <v>2361</v>
      </c>
      <c r="J5" s="3352"/>
      <c r="K5" s="567"/>
      <c r="L5" s="2945"/>
      <c r="M5" s="2946"/>
      <c r="N5" s="2946"/>
      <c r="O5" s="2946"/>
      <c r="P5" s="3338"/>
      <c r="Q5" s="3339"/>
      <c r="R5" s="3344"/>
      <c r="S5" s="3345"/>
      <c r="T5" s="3344"/>
      <c r="U5" s="3345"/>
      <c r="V5" s="3348"/>
      <c r="W5" s="3348"/>
      <c r="X5" s="1541"/>
      <c r="Y5" s="3344"/>
      <c r="Z5" s="3345"/>
      <c r="AA5" s="3330"/>
      <c r="AB5" s="3348"/>
      <c r="AC5" s="3330"/>
    </row>
    <row r="6" spans="1:29" ht="15.75" thickBot="1">
      <c r="A6" s="366"/>
      <c r="B6" s="367"/>
      <c r="C6" s="3349" t="s">
        <v>2362</v>
      </c>
      <c r="D6" s="3350"/>
      <c r="E6" s="3356" t="s">
        <v>2362</v>
      </c>
      <c r="F6" s="3357"/>
      <c r="G6" s="3349" t="s">
        <v>2362</v>
      </c>
      <c r="H6" s="3350"/>
      <c r="I6" s="3349" t="s">
        <v>2362</v>
      </c>
      <c r="J6" s="3350"/>
      <c r="K6" s="567" t="s">
        <v>2363</v>
      </c>
      <c r="L6" s="2945"/>
      <c r="M6" s="2946"/>
      <c r="N6" s="2946"/>
      <c r="O6" s="2946"/>
      <c r="P6" s="3340"/>
      <c r="Q6" s="3341"/>
      <c r="R6" s="3344"/>
      <c r="S6" s="3345"/>
      <c r="T6" s="3346"/>
      <c r="U6" s="3347"/>
      <c r="V6" s="3348"/>
      <c r="W6" s="3348"/>
      <c r="X6" s="1541"/>
      <c r="Y6" s="3346"/>
      <c r="Z6" s="3347"/>
      <c r="AA6" s="3331"/>
      <c r="AB6" s="3348"/>
      <c r="AC6" s="3331"/>
    </row>
    <row r="7" spans="1:29" s="113" customFormat="1" ht="15.75" thickBot="1">
      <c r="A7" s="368" t="s">
        <v>2364</v>
      </c>
      <c r="B7" s="369"/>
      <c r="C7" s="370">
        <f>'数据-取费表'!B2</f>
        <v>44134</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53" t="s">
        <v>2365</v>
      </c>
      <c r="Q7" s="3355"/>
      <c r="R7" s="710" t="s">
        <v>17</v>
      </c>
      <c r="S7" s="711">
        <f t="shared" ref="S7:S15" si="0">F7</f>
        <v>0</v>
      </c>
      <c r="T7" s="710" t="s">
        <v>17</v>
      </c>
      <c r="U7" s="711">
        <f t="shared" ref="U7:U15" si="1">H7</f>
        <v>0</v>
      </c>
      <c r="V7" s="710" t="s">
        <v>17</v>
      </c>
      <c r="W7" s="711">
        <f t="shared" ref="W7:W15" si="2">J7</f>
        <v>0</v>
      </c>
      <c r="X7" s="712"/>
      <c r="Y7" s="3353" t="s">
        <v>2365</v>
      </c>
      <c r="Z7" s="3354"/>
      <c r="AA7" s="713" t="e">
        <f>D7/F7</f>
        <v>#DIV/0!</v>
      </c>
      <c r="AB7" s="713" t="e">
        <f>D7/H7</f>
        <v>#DIV/0!</v>
      </c>
      <c r="AC7" s="713" t="e">
        <f>D7/J7</f>
        <v>#DIV/0!</v>
      </c>
    </row>
    <row r="8" spans="1:29" s="113" customFormat="1" ht="15.75" thickBot="1">
      <c r="A8" s="368" t="s">
        <v>2366</v>
      </c>
      <c r="B8" s="369"/>
      <c r="C8" s="374" t="s">
        <v>2468</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53" t="s">
        <v>2368</v>
      </c>
      <c r="Q8" s="3354"/>
      <c r="R8" s="710" t="s">
        <v>17</v>
      </c>
      <c r="S8" s="711">
        <f t="shared" si="0"/>
        <v>0</v>
      </c>
      <c r="T8" s="710" t="s">
        <v>17</v>
      </c>
      <c r="U8" s="711">
        <f t="shared" si="1"/>
        <v>0</v>
      </c>
      <c r="V8" s="710" t="s">
        <v>17</v>
      </c>
      <c r="W8" s="711">
        <f t="shared" si="2"/>
        <v>0</v>
      </c>
      <c r="X8" s="712"/>
      <c r="Y8" s="3353" t="s">
        <v>2368</v>
      </c>
      <c r="Z8" s="3354"/>
      <c r="AA8" s="713" t="e">
        <f t="shared" ref="AA8:AA46" si="3">D8/F8</f>
        <v>#DIV/0!</v>
      </c>
      <c r="AB8" s="713" t="e">
        <f t="shared" ref="AB8:AB46" si="4">D8/H8</f>
        <v>#DIV/0!</v>
      </c>
      <c r="AC8" s="713" t="e">
        <f t="shared" ref="AC8:AC46" si="5">D8/J8</f>
        <v>#DIV/0!</v>
      </c>
    </row>
    <row r="9" spans="1:29" s="113" customFormat="1">
      <c r="A9" s="375" t="s">
        <v>2369</v>
      </c>
      <c r="B9" s="67" t="s">
        <v>2370</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28" t="s">
        <v>2371</v>
      </c>
      <c r="Q9" s="1529" t="str">
        <f t="shared" ref="Q9:Q15" si="6">B9</f>
        <v>用途</v>
      </c>
      <c r="R9" s="710" t="s">
        <v>17</v>
      </c>
      <c r="S9" s="711">
        <f t="shared" si="0"/>
        <v>100</v>
      </c>
      <c r="T9" s="710" t="s">
        <v>17</v>
      </c>
      <c r="U9" s="711">
        <f t="shared" si="1"/>
        <v>100</v>
      </c>
      <c r="V9" s="710" t="s">
        <v>17</v>
      </c>
      <c r="W9" s="711">
        <f t="shared" si="2"/>
        <v>100</v>
      </c>
      <c r="X9" s="712"/>
      <c r="Y9" s="3187"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28"/>
      <c r="Q10" s="1529"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381" t="s">
        <v>2374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28"/>
      <c r="Q11" s="1529"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28"/>
      <c r="Q12" s="1529">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28"/>
      <c r="Q13" s="1529">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28"/>
      <c r="Q14" s="1529">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713">
        <f t="shared" si="5"/>
        <v>1</v>
      </c>
    </row>
    <row r="15" spans="1:29" ht="71.25">
      <c r="A15" s="399" t="s">
        <v>2375</v>
      </c>
      <c r="B15" s="65" t="s">
        <v>2469</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26" t="s">
        <v>2376</v>
      </c>
      <c r="Q15" s="1538" t="str">
        <f t="shared" si="6"/>
        <v>商业繁华度</v>
      </c>
      <c r="R15" s="714" t="s">
        <v>17</v>
      </c>
      <c r="S15" s="715">
        <f t="shared" si="0"/>
        <v>100</v>
      </c>
      <c r="T15" s="714" t="s">
        <v>17</v>
      </c>
      <c r="U15" s="715">
        <f t="shared" si="1"/>
        <v>100</v>
      </c>
      <c r="V15" s="714" t="s">
        <v>17</v>
      </c>
      <c r="W15" s="715">
        <f t="shared" si="2"/>
        <v>100</v>
      </c>
      <c r="X15" s="1541"/>
      <c r="Y15" s="3319" t="s">
        <v>2376</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27"/>
      <c r="Q16" s="1538"/>
      <c r="R16" s="714"/>
      <c r="S16" s="715"/>
      <c r="T16" s="714"/>
      <c r="U16" s="715"/>
      <c r="V16" s="714"/>
      <c r="W16" s="715"/>
      <c r="X16" s="1541"/>
      <c r="Y16" s="3320"/>
      <c r="Z16" s="1542"/>
      <c r="AA16" s="1539">
        <v>1</v>
      </c>
      <c r="AB16" s="1539">
        <v>1</v>
      </c>
      <c r="AC16" s="1539">
        <v>1</v>
      </c>
    </row>
    <row r="17" spans="1:29" ht="85.5">
      <c r="A17" s="387"/>
      <c r="B17" s="410" t="s">
        <v>1943</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27"/>
      <c r="Q17" s="1538" t="str">
        <f>B17</f>
        <v>交通便捷度</v>
      </c>
      <c r="R17" s="714" t="s">
        <v>17</v>
      </c>
      <c r="S17" s="715">
        <f>F17</f>
        <v>100</v>
      </c>
      <c r="T17" s="714" t="s">
        <v>17</v>
      </c>
      <c r="U17" s="715">
        <f>H17</f>
        <v>100</v>
      </c>
      <c r="V17" s="714" t="s">
        <v>17</v>
      </c>
      <c r="W17" s="715">
        <f>J17</f>
        <v>100</v>
      </c>
      <c r="X17" s="1541"/>
      <c r="Y17" s="3320"/>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2"/>
      <c r="M18" s="2946"/>
      <c r="N18" s="2946"/>
      <c r="O18" s="2946"/>
      <c r="P18" s="3327"/>
      <c r="Q18" s="1538"/>
      <c r="R18" s="714"/>
      <c r="S18" s="715"/>
      <c r="T18" s="714"/>
      <c r="U18" s="715"/>
      <c r="V18" s="714"/>
      <c r="W18" s="715"/>
      <c r="X18" s="1541"/>
      <c r="Y18" s="3320"/>
      <c r="Z18" s="1542"/>
      <c r="AA18" s="1539">
        <v>1</v>
      </c>
      <c r="AB18" s="1539">
        <v>1</v>
      </c>
      <c r="AC18" s="1539">
        <v>1</v>
      </c>
    </row>
    <row r="19" spans="1:29" ht="42.75">
      <c r="A19" s="387"/>
      <c r="B19" s="410" t="s">
        <v>2470</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27"/>
      <c r="Q19" s="1538" t="str">
        <f>B19</f>
        <v>公共配套设施</v>
      </c>
      <c r="R19" s="714" t="s">
        <v>17</v>
      </c>
      <c r="S19" s="715">
        <f>F19</f>
        <v>100</v>
      </c>
      <c r="T19" s="714" t="s">
        <v>17</v>
      </c>
      <c r="U19" s="715">
        <f>H19</f>
        <v>100</v>
      </c>
      <c r="V19" s="714" t="s">
        <v>17</v>
      </c>
      <c r="W19" s="715">
        <f>J19</f>
        <v>100</v>
      </c>
      <c r="X19" s="1541"/>
      <c r="Y19" s="3320"/>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2"/>
      <c r="M20" s="2946"/>
      <c r="N20" s="2946"/>
      <c r="O20" s="2946"/>
      <c r="P20" s="3327"/>
      <c r="Q20" s="1538"/>
      <c r="R20" s="714"/>
      <c r="S20" s="715"/>
      <c r="T20" s="714"/>
      <c r="U20" s="715"/>
      <c r="V20" s="714"/>
      <c r="W20" s="715"/>
      <c r="X20" s="1541"/>
      <c r="Y20" s="3320"/>
      <c r="Z20" s="1542"/>
      <c r="AA20" s="1539">
        <v>1</v>
      </c>
      <c r="AB20" s="1539">
        <v>1</v>
      </c>
      <c r="AC20" s="1539">
        <v>1</v>
      </c>
    </row>
    <row r="21" spans="1:29" ht="28.5">
      <c r="A21" s="387"/>
      <c r="B21" s="1293" t="s">
        <v>2471</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27"/>
      <c r="Q21" s="1538" t="str">
        <f>B21</f>
        <v>基础设施水平</v>
      </c>
      <c r="R21" s="714" t="s">
        <v>17</v>
      </c>
      <c r="S21" s="715">
        <f>F21</f>
        <v>100</v>
      </c>
      <c r="T21" s="714" t="s">
        <v>17</v>
      </c>
      <c r="U21" s="715">
        <f>H21</f>
        <v>100</v>
      </c>
      <c r="V21" s="714" t="s">
        <v>17</v>
      </c>
      <c r="W21" s="715">
        <f>J21</f>
        <v>100</v>
      </c>
      <c r="X21" s="1541"/>
      <c r="Y21" s="3320"/>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2"/>
      <c r="M22" s="2946"/>
      <c r="N22" s="2946"/>
      <c r="O22" s="2946"/>
      <c r="P22" s="3327"/>
      <c r="Q22" s="1538"/>
      <c r="R22" s="714"/>
      <c r="S22" s="715"/>
      <c r="T22" s="714"/>
      <c r="U22" s="715"/>
      <c r="V22" s="714"/>
      <c r="W22" s="715"/>
      <c r="X22" s="1541"/>
      <c r="Y22" s="3320"/>
      <c r="Z22" s="1542"/>
      <c r="AA22" s="1539">
        <v>1</v>
      </c>
      <c r="AB22" s="1539">
        <v>1</v>
      </c>
      <c r="AC22" s="1539">
        <v>1</v>
      </c>
    </row>
    <row r="23" spans="1:29" ht="57">
      <c r="A23" s="387"/>
      <c r="B23" s="410" t="s">
        <v>1945</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27"/>
      <c r="Q23" s="1538" t="str">
        <f>B23</f>
        <v>自然及人文环境</v>
      </c>
      <c r="R23" s="714" t="s">
        <v>17</v>
      </c>
      <c r="S23" s="715">
        <f>F23</f>
        <v>100</v>
      </c>
      <c r="T23" s="714" t="s">
        <v>17</v>
      </c>
      <c r="U23" s="715">
        <f>H23</f>
        <v>100</v>
      </c>
      <c r="V23" s="714" t="s">
        <v>17</v>
      </c>
      <c r="W23" s="715">
        <f>J23</f>
        <v>100</v>
      </c>
      <c r="X23" s="1541"/>
      <c r="Y23" s="3320"/>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2"/>
      <c r="M24" s="2946"/>
      <c r="N24" s="2946"/>
      <c r="O24" s="2946"/>
      <c r="P24" s="3327"/>
      <c r="Q24" s="1538"/>
      <c r="R24" s="714"/>
      <c r="S24" s="715"/>
      <c r="T24" s="714"/>
      <c r="U24" s="715"/>
      <c r="V24" s="714"/>
      <c r="W24" s="715"/>
      <c r="X24" s="1541"/>
      <c r="Y24" s="3320"/>
      <c r="Z24" s="1542"/>
      <c r="AA24" s="1539">
        <v>1</v>
      </c>
      <c r="AB24" s="1539">
        <v>1</v>
      </c>
      <c r="AC24" s="1539">
        <v>1</v>
      </c>
    </row>
    <row r="25" spans="1:29" ht="15">
      <c r="A25" s="387"/>
      <c r="B25" s="381" t="s">
        <v>2472</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27"/>
      <c r="Q25" s="1538" t="str">
        <f t="shared" ref="Q25:Q46" si="11">B25</f>
        <v>临街状况</v>
      </c>
      <c r="R25" s="714" t="s">
        <v>17</v>
      </c>
      <c r="S25" s="715">
        <f>F25</f>
        <v>100</v>
      </c>
      <c r="T25" s="714" t="s">
        <v>17</v>
      </c>
      <c r="U25" s="715">
        <f>H25</f>
        <v>100</v>
      </c>
      <c r="V25" s="714" t="s">
        <v>17</v>
      </c>
      <c r="W25" s="715">
        <f>J25</f>
        <v>100</v>
      </c>
      <c r="X25" s="1541"/>
      <c r="Y25" s="3320"/>
      <c r="Z25" s="1542" t="str">
        <f>Q25</f>
        <v>临街状况</v>
      </c>
      <c r="AA25" s="1539">
        <f t="shared" si="3"/>
        <v>1</v>
      </c>
      <c r="AB25" s="1539">
        <f t="shared" si="4"/>
        <v>1</v>
      </c>
      <c r="AC25" s="1539">
        <f t="shared" si="5"/>
        <v>1</v>
      </c>
    </row>
    <row r="26" spans="1:29" ht="15">
      <c r="A26" s="387"/>
      <c r="B26" s="1295" t="s">
        <v>2473</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27"/>
      <c r="Q26" s="1538" t="str">
        <f t="shared" si="11"/>
        <v>平面位置/可视性</v>
      </c>
      <c r="R26" s="714" t="s">
        <v>17</v>
      </c>
      <c r="S26" s="715">
        <f>F26</f>
        <v>100</v>
      </c>
      <c r="T26" s="714" t="s">
        <v>17</v>
      </c>
      <c r="U26" s="715">
        <f>H26</f>
        <v>100</v>
      </c>
      <c r="V26" s="714" t="s">
        <v>17</v>
      </c>
      <c r="W26" s="715">
        <f>J26</f>
        <v>100</v>
      </c>
      <c r="X26" s="1541"/>
      <c r="Y26" s="3320"/>
      <c r="Z26" s="1542" t="str">
        <f>Q26</f>
        <v>平面位置/可视性</v>
      </c>
      <c r="AA26" s="1539">
        <f t="shared" si="3"/>
        <v>1</v>
      </c>
      <c r="AB26" s="1539">
        <f t="shared" si="4"/>
        <v>1</v>
      </c>
      <c r="AC26" s="1539">
        <f t="shared" si="5"/>
        <v>1</v>
      </c>
    </row>
    <row r="27" spans="1:29" s="113" customFormat="1" ht="15">
      <c r="A27" s="390"/>
      <c r="B27" s="410" t="s">
        <v>2474</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27"/>
      <c r="Q27" s="1529" t="str">
        <f t="shared" si="11"/>
        <v>人流量</v>
      </c>
      <c r="R27" s="710" t="s">
        <v>17</v>
      </c>
      <c r="S27" s="711">
        <f>F27</f>
        <v>100</v>
      </c>
      <c r="T27" s="710" t="s">
        <v>17</v>
      </c>
      <c r="U27" s="711">
        <f>H27</f>
        <v>100</v>
      </c>
      <c r="V27" s="710" t="s">
        <v>17</v>
      </c>
      <c r="W27" s="711">
        <f>J27</f>
        <v>100</v>
      </c>
      <c r="X27" s="712"/>
      <c r="Y27" s="3320"/>
      <c r="Z27" s="55" t="str">
        <f>Q27</f>
        <v>人流量</v>
      </c>
      <c r="AA27" s="1539">
        <f>D27/F27</f>
        <v>1</v>
      </c>
      <c r="AB27" s="1539">
        <f>D27/H27</f>
        <v>1</v>
      </c>
      <c r="AC27" s="1539">
        <f>D27/J27</f>
        <v>1</v>
      </c>
    </row>
    <row r="28" spans="1:29" ht="15">
      <c r="A28" s="387"/>
      <c r="B28" s="381" t="s">
        <v>2475</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27"/>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20"/>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27"/>
      <c r="Q29" s="1538">
        <f t="shared" si="11"/>
        <v>111</v>
      </c>
      <c r="R29" s="714" t="s">
        <v>17</v>
      </c>
      <c r="S29" s="715">
        <f t="shared" si="12"/>
        <v>100</v>
      </c>
      <c r="T29" s="714" t="s">
        <v>17</v>
      </c>
      <c r="U29" s="715">
        <f t="shared" si="13"/>
        <v>100</v>
      </c>
      <c r="V29" s="714" t="s">
        <v>17</v>
      </c>
      <c r="W29" s="715">
        <f t="shared" si="14"/>
        <v>100</v>
      </c>
      <c r="X29" s="1541"/>
      <c r="Y29" s="3320"/>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27"/>
      <c r="Q30" s="1538">
        <f t="shared" si="11"/>
        <v>111</v>
      </c>
      <c r="R30" s="714" t="s">
        <v>17</v>
      </c>
      <c r="S30" s="715">
        <f t="shared" si="12"/>
        <v>100</v>
      </c>
      <c r="T30" s="714" t="s">
        <v>17</v>
      </c>
      <c r="U30" s="715">
        <f t="shared" si="13"/>
        <v>100</v>
      </c>
      <c r="V30" s="714" t="s">
        <v>17</v>
      </c>
      <c r="W30" s="715">
        <f t="shared" si="14"/>
        <v>100</v>
      </c>
      <c r="X30" s="1541"/>
      <c r="Y30" s="3320"/>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27"/>
      <c r="Q31" s="1538">
        <f t="shared" si="11"/>
        <v>111</v>
      </c>
      <c r="R31" s="714" t="s">
        <v>17</v>
      </c>
      <c r="S31" s="715">
        <f t="shared" si="12"/>
        <v>100</v>
      </c>
      <c r="T31" s="714" t="s">
        <v>17</v>
      </c>
      <c r="U31" s="715">
        <f t="shared" si="13"/>
        <v>100</v>
      </c>
      <c r="V31" s="714" t="s">
        <v>17</v>
      </c>
      <c r="W31" s="715">
        <f t="shared" si="14"/>
        <v>100</v>
      </c>
      <c r="X31" s="1541"/>
      <c r="Y31" s="3320"/>
      <c r="Z31" s="1542">
        <f t="shared" si="15"/>
        <v>111</v>
      </c>
      <c r="AA31" s="1539">
        <f t="shared" si="3"/>
        <v>1</v>
      </c>
      <c r="AB31" s="1539">
        <f t="shared" si="4"/>
        <v>1</v>
      </c>
      <c r="AC31" s="1539">
        <f t="shared" si="5"/>
        <v>1</v>
      </c>
    </row>
    <row r="32" spans="1:29" ht="15">
      <c r="A32" s="399" t="s">
        <v>2379</v>
      </c>
      <c r="B32" s="67" t="s">
        <v>2476</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21" t="s">
        <v>2381</v>
      </c>
      <c r="Q32" s="1538" t="str">
        <f t="shared" si="11"/>
        <v>商业类型</v>
      </c>
      <c r="R32" s="714" t="s">
        <v>17</v>
      </c>
      <c r="S32" s="715">
        <f t="shared" si="12"/>
        <v>100</v>
      </c>
      <c r="T32" s="714" t="s">
        <v>17</v>
      </c>
      <c r="U32" s="715">
        <f t="shared" si="13"/>
        <v>100</v>
      </c>
      <c r="V32" s="714" t="s">
        <v>17</v>
      </c>
      <c r="W32" s="715">
        <f t="shared" si="14"/>
        <v>100</v>
      </c>
      <c r="X32" s="1541"/>
      <c r="Y32" s="3324" t="s">
        <v>2381</v>
      </c>
      <c r="Z32" s="1542" t="str">
        <f t="shared" si="15"/>
        <v>商业类型</v>
      </c>
      <c r="AA32" s="1539">
        <f t="shared" si="3"/>
        <v>1</v>
      </c>
      <c r="AB32" s="1539">
        <f t="shared" si="4"/>
        <v>1</v>
      </c>
      <c r="AC32" s="1539">
        <f t="shared" si="5"/>
        <v>1</v>
      </c>
    </row>
    <row r="33" spans="1:29" s="430" customFormat="1" ht="15">
      <c r="A33" s="427"/>
      <c r="B33" s="381" t="s">
        <v>2382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22"/>
      <c r="Q33" s="716" t="str">
        <f t="shared" si="11"/>
        <v>项目建筑规模</v>
      </c>
      <c r="R33" s="717" t="s">
        <v>17</v>
      </c>
      <c r="S33" s="718" t="e">
        <f t="shared" si="12"/>
        <v>#N/A</v>
      </c>
      <c r="T33" s="717" t="s">
        <v>17</v>
      </c>
      <c r="U33" s="718" t="e">
        <f t="shared" si="13"/>
        <v>#N/A</v>
      </c>
      <c r="V33" s="717" t="s">
        <v>17</v>
      </c>
      <c r="W33" s="718" t="e">
        <f t="shared" si="14"/>
        <v>#N/A</v>
      </c>
      <c r="X33" s="719"/>
      <c r="Y33" s="3324"/>
      <c r="Z33" s="720" t="str">
        <f t="shared" si="15"/>
        <v>项目建筑规模</v>
      </c>
      <c r="AA33" s="1539" t="e">
        <f t="shared" si="3"/>
        <v>#N/A</v>
      </c>
      <c r="AB33" s="1539" t="e">
        <f t="shared" si="4"/>
        <v>#N/A</v>
      </c>
      <c r="AC33" s="1539" t="e">
        <f t="shared" si="5"/>
        <v>#N/A</v>
      </c>
    </row>
    <row r="34" spans="1:29" ht="15">
      <c r="A34" s="431"/>
      <c r="B34" s="381" t="s">
        <v>2383</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22"/>
      <c r="Q34" s="1538" t="str">
        <f t="shared" si="11"/>
        <v>建筑结构</v>
      </c>
      <c r="R34" s="714" t="s">
        <v>17</v>
      </c>
      <c r="S34" s="715">
        <f t="shared" si="12"/>
        <v>100</v>
      </c>
      <c r="T34" s="714" t="s">
        <v>17</v>
      </c>
      <c r="U34" s="715">
        <f t="shared" si="13"/>
        <v>100</v>
      </c>
      <c r="V34" s="714" t="s">
        <v>17</v>
      </c>
      <c r="W34" s="715">
        <f t="shared" si="14"/>
        <v>100</v>
      </c>
      <c r="X34" s="1541"/>
      <c r="Y34" s="3324"/>
      <c r="Z34" s="1542" t="str">
        <f t="shared" si="15"/>
        <v>建筑结构</v>
      </c>
      <c r="AA34" s="1539">
        <f t="shared" si="3"/>
        <v>1</v>
      </c>
      <c r="AB34" s="1539">
        <f t="shared" si="4"/>
        <v>1</v>
      </c>
      <c r="AC34" s="1539">
        <f t="shared" si="5"/>
        <v>1</v>
      </c>
    </row>
    <row r="35" spans="1:29" ht="15">
      <c r="A35" s="431"/>
      <c r="B35" s="381" t="s">
        <v>2477</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22"/>
      <c r="Q35" s="1538" t="str">
        <f t="shared" si="11"/>
        <v>公共部分装修</v>
      </c>
      <c r="R35" s="714" t="s">
        <v>17</v>
      </c>
      <c r="S35" s="715">
        <f t="shared" si="12"/>
        <v>100</v>
      </c>
      <c r="T35" s="714" t="s">
        <v>17</v>
      </c>
      <c r="U35" s="715">
        <f t="shared" si="13"/>
        <v>100</v>
      </c>
      <c r="V35" s="714" t="s">
        <v>17</v>
      </c>
      <c r="W35" s="715">
        <f t="shared" si="14"/>
        <v>100</v>
      </c>
      <c r="X35" s="1541"/>
      <c r="Y35" s="3324"/>
      <c r="Z35" s="1542" t="str">
        <f t="shared" si="15"/>
        <v>公共部分装修</v>
      </c>
      <c r="AA35" s="1539">
        <f t="shared" si="3"/>
        <v>1</v>
      </c>
      <c r="AB35" s="1539">
        <f t="shared" si="4"/>
        <v>1</v>
      </c>
      <c r="AC35" s="1539">
        <f t="shared" si="5"/>
        <v>1</v>
      </c>
    </row>
    <row r="36" spans="1:29" ht="15">
      <c r="A36" s="431"/>
      <c r="B36" s="381" t="s">
        <v>2478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22"/>
      <c r="Q36" s="1538" t="str">
        <f t="shared" si="11"/>
        <v>成新度</v>
      </c>
      <c r="R36" s="714" t="s">
        <v>17</v>
      </c>
      <c r="S36" s="715" t="e">
        <f t="shared" si="12"/>
        <v>#N/A</v>
      </c>
      <c r="T36" s="714" t="s">
        <v>17</v>
      </c>
      <c r="U36" s="715" t="e">
        <f t="shared" si="13"/>
        <v>#N/A</v>
      </c>
      <c r="V36" s="714" t="s">
        <v>17</v>
      </c>
      <c r="W36" s="715" t="e">
        <f t="shared" si="14"/>
        <v>#N/A</v>
      </c>
      <c r="X36" s="1541"/>
      <c r="Y36" s="3324"/>
      <c r="Z36" s="1542" t="str">
        <f t="shared" si="15"/>
        <v>成新度</v>
      </c>
      <c r="AA36" s="1539" t="e">
        <f t="shared" si="3"/>
        <v>#N/A</v>
      </c>
      <c r="AB36" s="1539" t="e">
        <f t="shared" si="4"/>
        <v>#N/A</v>
      </c>
      <c r="AC36" s="1539" t="e">
        <f t="shared" si="5"/>
        <v>#N/A</v>
      </c>
    </row>
    <row r="37" spans="1:29" s="113" customFormat="1" ht="15">
      <c r="A37" s="432"/>
      <c r="B37" s="381" t="s">
        <v>2479</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22"/>
      <c r="Q37" s="1529" t="str">
        <f t="shared" si="11"/>
        <v>市政基础设施</v>
      </c>
      <c r="R37" s="710" t="s">
        <v>17</v>
      </c>
      <c r="S37" s="711">
        <f t="shared" si="12"/>
        <v>100</v>
      </c>
      <c r="T37" s="710" t="s">
        <v>17</v>
      </c>
      <c r="U37" s="711">
        <f t="shared" si="13"/>
        <v>100</v>
      </c>
      <c r="V37" s="710" t="s">
        <v>17</v>
      </c>
      <c r="W37" s="711">
        <f t="shared" si="14"/>
        <v>100</v>
      </c>
      <c r="X37" s="712"/>
      <c r="Y37" s="3324"/>
      <c r="Z37" s="55" t="str">
        <f t="shared" si="15"/>
        <v>市政基础设施</v>
      </c>
      <c r="AA37" s="713">
        <f t="shared" si="3"/>
        <v>1</v>
      </c>
      <c r="AB37" s="713">
        <f t="shared" si="4"/>
        <v>1</v>
      </c>
      <c r="AC37" s="713">
        <f t="shared" si="5"/>
        <v>1</v>
      </c>
    </row>
    <row r="38" spans="1:29" ht="15">
      <c r="A38" s="431"/>
      <c r="B38" s="381" t="s">
        <v>2480</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22" t="s">
        <v>2381</v>
      </c>
      <c r="Q38" s="1538" t="str">
        <f t="shared" si="11"/>
        <v>业态</v>
      </c>
      <c r="R38" s="714" t="s">
        <v>17</v>
      </c>
      <c r="S38" s="715">
        <f t="shared" si="12"/>
        <v>100</v>
      </c>
      <c r="T38" s="714" t="s">
        <v>17</v>
      </c>
      <c r="U38" s="715">
        <f t="shared" si="13"/>
        <v>100</v>
      </c>
      <c r="V38" s="714" t="s">
        <v>17</v>
      </c>
      <c r="W38" s="715">
        <f t="shared" si="14"/>
        <v>100</v>
      </c>
      <c r="X38" s="1541"/>
      <c r="Y38" s="3324" t="s">
        <v>2381</v>
      </c>
      <c r="Z38" s="1542" t="str">
        <f t="shared" si="15"/>
        <v>业态</v>
      </c>
      <c r="AA38" s="1539">
        <f t="shared" si="3"/>
        <v>1</v>
      </c>
      <c r="AB38" s="1539">
        <f t="shared" si="4"/>
        <v>1</v>
      </c>
      <c r="AC38" s="1539">
        <f t="shared" si="5"/>
        <v>1</v>
      </c>
    </row>
    <row r="39" spans="1:29" ht="15">
      <c r="A39" s="431"/>
      <c r="B39" s="381" t="s">
        <v>2481</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22"/>
      <c r="Q39" s="1538" t="str">
        <f t="shared" si="11"/>
        <v>层高</v>
      </c>
      <c r="R39" s="714" t="s">
        <v>17</v>
      </c>
      <c r="S39" s="715">
        <f t="shared" si="12"/>
        <v>100</v>
      </c>
      <c r="T39" s="714" t="s">
        <v>17</v>
      </c>
      <c r="U39" s="715">
        <f t="shared" si="13"/>
        <v>100</v>
      </c>
      <c r="V39" s="714" t="s">
        <v>17</v>
      </c>
      <c r="W39" s="715">
        <f t="shared" si="14"/>
        <v>100</v>
      </c>
      <c r="X39" s="1541"/>
      <c r="Y39" s="3324"/>
      <c r="Z39" s="1542" t="str">
        <f t="shared" si="15"/>
        <v>层高</v>
      </c>
      <c r="AA39" s="1539">
        <f t="shared" si="3"/>
        <v>1</v>
      </c>
      <c r="AB39" s="1539">
        <f t="shared" si="4"/>
        <v>1</v>
      </c>
      <c r="AC39" s="1539">
        <f t="shared" si="5"/>
        <v>1</v>
      </c>
    </row>
    <row r="40" spans="1:29" ht="15">
      <c r="A40" s="431"/>
      <c r="B40" s="381" t="s">
        <v>2482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22"/>
      <c r="Q40" s="1538" t="str">
        <f t="shared" si="11"/>
        <v>单套建筑面积</v>
      </c>
      <c r="R40" s="714" t="s">
        <v>17</v>
      </c>
      <c r="S40" s="715">
        <f t="shared" si="12"/>
        <v>100</v>
      </c>
      <c r="T40" s="714" t="s">
        <v>17</v>
      </c>
      <c r="U40" s="715">
        <f t="shared" si="13"/>
        <v>100</v>
      </c>
      <c r="V40" s="714" t="s">
        <v>17</v>
      </c>
      <c r="W40" s="715">
        <f t="shared" si="14"/>
        <v>100</v>
      </c>
      <c r="X40" s="1541"/>
      <c r="Y40" s="3324"/>
      <c r="Z40" s="1542" t="str">
        <f t="shared" si="15"/>
        <v>单套建筑面积</v>
      </c>
      <c r="AA40" s="1539">
        <f t="shared" si="3"/>
        <v>1</v>
      </c>
      <c r="AB40" s="1539">
        <f t="shared" si="4"/>
        <v>1</v>
      </c>
      <c r="AC40" s="1539">
        <f t="shared" si="5"/>
        <v>1</v>
      </c>
    </row>
    <row r="41" spans="1:29" s="430" customFormat="1" ht="15">
      <c r="A41" s="427"/>
      <c r="B41" s="1540" t="s">
        <v>2483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22"/>
      <c r="Q41" s="716" t="str">
        <f t="shared" si="11"/>
        <v>进深比</v>
      </c>
      <c r="R41" s="717" t="s">
        <v>17</v>
      </c>
      <c r="S41" s="718">
        <f t="shared" si="12"/>
        <v>100</v>
      </c>
      <c r="T41" s="717" t="s">
        <v>17</v>
      </c>
      <c r="U41" s="718">
        <f t="shared" si="13"/>
        <v>100</v>
      </c>
      <c r="V41" s="717" t="s">
        <v>17</v>
      </c>
      <c r="W41" s="718">
        <f t="shared" si="14"/>
        <v>100</v>
      </c>
      <c r="X41" s="719"/>
      <c r="Y41" s="3324"/>
      <c r="Z41" s="720" t="str">
        <f t="shared" si="15"/>
        <v>进深比</v>
      </c>
      <c r="AA41" s="1539">
        <f t="shared" si="3"/>
        <v>1</v>
      </c>
      <c r="AB41" s="1539">
        <f t="shared" si="4"/>
        <v>1</v>
      </c>
      <c r="AC41" s="1539">
        <f t="shared" si="5"/>
        <v>1</v>
      </c>
    </row>
    <row r="42" spans="1:29" ht="15">
      <c r="A42" s="431"/>
      <c r="B42" s="381" t="s">
        <v>2484</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22"/>
      <c r="Q42" s="1538" t="str">
        <f t="shared" si="11"/>
        <v>内部装修</v>
      </c>
      <c r="R42" s="714" t="s">
        <v>17</v>
      </c>
      <c r="S42" s="715">
        <f t="shared" si="12"/>
        <v>100</v>
      </c>
      <c r="T42" s="714" t="s">
        <v>17</v>
      </c>
      <c r="U42" s="715">
        <f t="shared" si="13"/>
        <v>100</v>
      </c>
      <c r="V42" s="714" t="s">
        <v>17</v>
      </c>
      <c r="W42" s="715">
        <f t="shared" si="14"/>
        <v>100</v>
      </c>
      <c r="X42" s="1541"/>
      <c r="Y42" s="3324"/>
      <c r="Z42" s="1542" t="str">
        <f t="shared" si="15"/>
        <v>内部装修</v>
      </c>
      <c r="AA42" s="1539">
        <f t="shared" si="3"/>
        <v>1</v>
      </c>
      <c r="AB42" s="1539">
        <f t="shared" si="4"/>
        <v>1</v>
      </c>
      <c r="AC42" s="1539">
        <f t="shared" si="5"/>
        <v>1</v>
      </c>
    </row>
    <row r="43" spans="1:29" ht="15">
      <c r="A43" s="431"/>
      <c r="B43" s="381" t="s">
        <v>2392</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22"/>
      <c r="Q43" s="1538" t="str">
        <f t="shared" si="11"/>
        <v>内部装修维护情况</v>
      </c>
      <c r="R43" s="714" t="s">
        <v>17</v>
      </c>
      <c r="S43" s="715">
        <f t="shared" si="12"/>
        <v>100</v>
      </c>
      <c r="T43" s="714" t="s">
        <v>17</v>
      </c>
      <c r="U43" s="715">
        <f t="shared" si="13"/>
        <v>100</v>
      </c>
      <c r="V43" s="714" t="s">
        <v>17</v>
      </c>
      <c r="W43" s="715">
        <f t="shared" si="14"/>
        <v>100</v>
      </c>
      <c r="X43" s="1541"/>
      <c r="Y43" s="3324"/>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22"/>
      <c r="Q44" s="1529">
        <f t="shared" si="11"/>
        <v>111</v>
      </c>
      <c r="R44" s="710" t="s">
        <v>17</v>
      </c>
      <c r="S44" s="711">
        <f t="shared" si="12"/>
        <v>100</v>
      </c>
      <c r="T44" s="710" t="s">
        <v>17</v>
      </c>
      <c r="U44" s="711">
        <f t="shared" si="13"/>
        <v>100</v>
      </c>
      <c r="V44" s="710" t="s">
        <v>17</v>
      </c>
      <c r="W44" s="711">
        <f t="shared" si="14"/>
        <v>100</v>
      </c>
      <c r="X44" s="712"/>
      <c r="Y44" s="332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22"/>
      <c r="Q45" s="1538">
        <f t="shared" si="11"/>
        <v>111</v>
      </c>
      <c r="R45" s="714" t="s">
        <v>17</v>
      </c>
      <c r="S45" s="715">
        <f t="shared" si="12"/>
        <v>100</v>
      </c>
      <c r="T45" s="714" t="s">
        <v>17</v>
      </c>
      <c r="U45" s="715">
        <f t="shared" si="13"/>
        <v>100</v>
      </c>
      <c r="V45" s="714" t="s">
        <v>17</v>
      </c>
      <c r="W45" s="715">
        <f t="shared" si="14"/>
        <v>100</v>
      </c>
      <c r="X45" s="1541"/>
      <c r="Y45" s="3324"/>
      <c r="Z45" s="1542">
        <f t="shared" si="15"/>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23"/>
      <c r="Q46" s="1538">
        <f t="shared" si="11"/>
        <v>111</v>
      </c>
      <c r="R46" s="714" t="s">
        <v>17</v>
      </c>
      <c r="S46" s="715">
        <f t="shared" si="12"/>
        <v>100</v>
      </c>
      <c r="T46" s="714" t="s">
        <v>17</v>
      </c>
      <c r="U46" s="715">
        <f t="shared" si="13"/>
        <v>100</v>
      </c>
      <c r="V46" s="714" t="s">
        <v>17</v>
      </c>
      <c r="W46" s="715">
        <f t="shared" si="14"/>
        <v>100</v>
      </c>
      <c r="X46" s="1541"/>
      <c r="Y46" s="3325"/>
      <c r="Z46" s="1542">
        <f t="shared" si="15"/>
        <v>111</v>
      </c>
      <c r="AA46" s="1539">
        <f t="shared" si="3"/>
        <v>1</v>
      </c>
      <c r="AB46" s="1539">
        <f t="shared" si="4"/>
        <v>1</v>
      </c>
      <c r="AC46" s="1539">
        <f t="shared" si="5"/>
        <v>1</v>
      </c>
    </row>
    <row r="47" spans="1:29" ht="15">
      <c r="A47" s="438" t="s">
        <v>2393</v>
      </c>
      <c r="B47" s="439"/>
      <c r="C47" s="1316" t="s">
        <v>1</v>
      </c>
      <c r="D47" s="1317"/>
      <c r="E47" s="1318"/>
      <c r="F47" s="1319"/>
      <c r="G47" s="1320"/>
      <c r="H47" s="1321"/>
      <c r="I47" s="1318"/>
      <c r="J47" s="1321"/>
      <c r="K47" s="723"/>
      <c r="L47" s="2954"/>
      <c r="M47" s="2955"/>
      <c r="N47" s="2946"/>
      <c r="O47" s="2955"/>
      <c r="P47" s="3317" t="str">
        <f>A47</f>
        <v>成交单价（元/平方米）</v>
      </c>
      <c r="Q47" s="3317"/>
      <c r="R47" s="3348">
        <f>E47</f>
        <v>0</v>
      </c>
      <c r="S47" s="3348"/>
      <c r="T47" s="3348">
        <f>G47</f>
        <v>0</v>
      </c>
      <c r="U47" s="3348"/>
      <c r="V47" s="3348">
        <f>I47</f>
        <v>0</v>
      </c>
      <c r="W47" s="3348"/>
      <c r="X47" s="699"/>
      <c r="Y47" s="721"/>
      <c r="Z47" s="699"/>
      <c r="AA47" s="699"/>
      <c r="AB47" s="699"/>
      <c r="AC47" s="699"/>
    </row>
    <row r="48" spans="1:29" ht="15.75" thickBot="1">
      <c r="A48" s="445" t="s">
        <v>2485</v>
      </c>
      <c r="B48" s="446"/>
      <c r="C48" s="1322" t="e">
        <f>R49</f>
        <v>#DIV/0!</v>
      </c>
      <c r="D48" s="2539" t="s">
        <v>2876</v>
      </c>
      <c r="E48" s="1323" t="e">
        <f>R48</f>
        <v>#DIV/0!</v>
      </c>
      <c r="F48" s="2540"/>
      <c r="G48" s="1322" t="e">
        <f>T48</f>
        <v>#DIV/0!</v>
      </c>
      <c r="H48" s="2540"/>
      <c r="I48" s="1323" t="e">
        <f>V48</f>
        <v>#DIV/0!</v>
      </c>
      <c r="J48" s="2540"/>
      <c r="K48" s="2542">
        <f>F48+H48+J48</f>
        <v>0</v>
      </c>
      <c r="L48" s="2954"/>
      <c r="M48" s="2955"/>
      <c r="N48" s="2946"/>
      <c r="O48" s="2955"/>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9"/>
      <c r="Y48" s="699"/>
      <c r="Z48" s="699"/>
      <c r="AA48" s="699"/>
      <c r="AB48" s="699"/>
      <c r="AC48" s="699"/>
    </row>
    <row r="49" spans="1:29" ht="15.75" thickBot="1">
      <c r="A49" s="449" t="s">
        <v>2486</v>
      </c>
      <c r="B49" s="450"/>
      <c r="C49" s="1325" t="e">
        <f>R49</f>
        <v>#DIV/0!</v>
      </c>
      <c r="D49" s="1325"/>
      <c r="E49" s="1325"/>
      <c r="F49" s="1325"/>
      <c r="G49" s="1325"/>
      <c r="H49" s="1325"/>
      <c r="I49" s="1325"/>
      <c r="J49" s="1325"/>
      <c r="K49" s="724"/>
      <c r="L49" s="2954"/>
      <c r="M49" s="2955"/>
      <c r="N49" s="2946"/>
      <c r="O49" s="2955"/>
      <c r="P49" s="3314" t="str">
        <f>A49</f>
        <v>估价对象XX用房的比较价值（楼面单价，元/平方米）</v>
      </c>
      <c r="Q49" s="3315"/>
      <c r="R49" s="3316" t="e">
        <f>IF(F1="售价",ROUND(IF(D48="简单平均",AVERAGE(R48:V48),R48*F48+T48*H48+V48*J48),0),ROUND(IF(D48="简单平均",AVERAGE(R48:V48),R48*F48+T48*H48+V48*J48),1))</f>
        <v>#DIV/0!</v>
      </c>
      <c r="S49" s="3316"/>
      <c r="T49" s="3316"/>
      <c r="U49" s="3316"/>
      <c r="V49" s="3316"/>
      <c r="W49" s="3316"/>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2487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2488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2489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2490</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2364</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2401</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2366</v>
      </c>
      <c r="B61" s="467"/>
      <c r="C61" s="479" t="s">
        <v>2468</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2404</v>
      </c>
      <c r="B63" s="485" t="s">
        <v>2370</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2373</v>
      </c>
      <c r="C65" s="496" t="s">
        <v>2405</v>
      </c>
      <c r="D65" s="496" t="s">
        <v>2406</v>
      </c>
      <c r="E65" s="496" t="s">
        <v>2407</v>
      </c>
      <c r="F65" s="496" t="s">
        <v>2408</v>
      </c>
      <c r="G65" s="496" t="s">
        <v>2409</v>
      </c>
      <c r="H65" s="496" t="s">
        <v>2410</v>
      </c>
      <c r="I65" s="496" t="s">
        <v>2411</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2375</v>
      </c>
      <c r="B76" s="485" t="s">
        <v>2412</v>
      </c>
      <c r="C76" s="530" t="s">
        <v>2413</v>
      </c>
      <c r="D76" s="530" t="s">
        <v>2414</v>
      </c>
      <c r="E76" s="530" t="s">
        <v>2415</v>
      </c>
      <c r="F76" s="530" t="s">
        <v>2416</v>
      </c>
      <c r="G76" s="530" t="s">
        <v>2417</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2418</v>
      </c>
      <c r="C78" s="535" t="s">
        <v>2413</v>
      </c>
      <c r="D78" s="535" t="s">
        <v>2414</v>
      </c>
      <c r="E78" s="535" t="s">
        <v>2415</v>
      </c>
      <c r="F78" s="535" t="s">
        <v>2416</v>
      </c>
      <c r="G78" s="535" t="s">
        <v>2417</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2419</v>
      </c>
      <c r="C80" s="535" t="s">
        <v>2413</v>
      </c>
      <c r="D80" s="535" t="s">
        <v>2414</v>
      </c>
      <c r="E80" s="535" t="s">
        <v>2415</v>
      </c>
      <c r="F80" s="535" t="s">
        <v>2416</v>
      </c>
      <c r="G80" s="535" t="s">
        <v>2417</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2471</v>
      </c>
      <c r="C82" s="616" t="s">
        <v>2491</v>
      </c>
      <c r="D82" s="616" t="s">
        <v>2492</v>
      </c>
      <c r="E82" s="616" t="s">
        <v>2493</v>
      </c>
      <c r="F82" s="616" t="s">
        <v>2494</v>
      </c>
      <c r="G82" s="616" t="s">
        <v>2495</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2425</v>
      </c>
      <c r="C84" s="535" t="s">
        <v>2413</v>
      </c>
      <c r="D84" s="535" t="s">
        <v>2414</v>
      </c>
      <c r="E84" s="535" t="s">
        <v>2415</v>
      </c>
      <c r="F84" s="535" t="s">
        <v>2416</v>
      </c>
      <c r="G84" s="535" t="s">
        <v>2417</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2496</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2379</v>
      </c>
      <c r="B100" s="485" t="s">
        <v>2497</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2429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2430</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2432</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2434</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2498</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2499</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2500</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2501</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2436</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2437</v>
      </c>
      <c r="C124" s="535" t="s">
        <v>2413</v>
      </c>
      <c r="D124" s="535" t="s">
        <v>2414</v>
      </c>
      <c r="E124" s="535" t="s">
        <v>2415</v>
      </c>
      <c r="F124" s="535" t="s">
        <v>2416</v>
      </c>
      <c r="G124" s="535" t="s">
        <v>2417</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估价对象为房地产，为所有。根据《国有土地使用证》[]，估价对象（分摊）出让国有建设用地使用权面积为33243.52平方米，建筑面积为107747.01平方米。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估价对象为房地产,属开发建设的，该项目尚在开发建设中。根据《国有土地使用证》[]，估价对象（分摊）出让国有建设用地使用权面积为33243.52平方米，规划建筑面积为107747.01平方米。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2020年10月30日（评估专业人员实地查勘之日）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30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144" t="s">
        <v>2502</v>
      </c>
      <c r="C1" s="1392" t="s">
        <v>2346</v>
      </c>
      <c r="D1" s="1393"/>
      <c r="E1" s="1402"/>
      <c r="F1" s="2066"/>
      <c r="G1" s="1403" t="s">
        <v>2459</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8"/>
      <c r="D2" s="1275" t="e">
        <f ca="1">SUMIF(INDIRECT("'"&amp;F2&amp;"'"&amp;"!A:A"),"承租人权益价值",INDIRECT("'"&amp;F2&amp;"'"&amp;"!c:c"))</f>
        <v>#REF!</v>
      </c>
      <c r="E2" s="2069" t="s">
        <v>2147</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2460</v>
      </c>
      <c r="D3" s="359">
        <f>IF(D1="",'数据-汇总表'!E3,SUMIF('数据-汇总表'!$C19:$C33,D1,'数据-汇总表'!$E19:$E33))</f>
        <v>107747.01000000001</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2461</v>
      </c>
      <c r="B4" s="362"/>
      <c r="C4" s="3332" t="s">
        <v>2462</v>
      </c>
      <c r="D4" s="3333"/>
      <c r="E4" s="3334" t="s">
        <v>2463</v>
      </c>
      <c r="F4" s="3335"/>
      <c r="G4" s="3332" t="s">
        <v>2464</v>
      </c>
      <c r="H4" s="3333"/>
      <c r="I4" s="3332" t="s">
        <v>2465</v>
      </c>
      <c r="J4" s="3333"/>
      <c r="K4" s="567" t="s">
        <v>2466</v>
      </c>
      <c r="L4" s="2945"/>
      <c r="M4" s="2946"/>
      <c r="N4" s="2946"/>
      <c r="O4" s="2946"/>
      <c r="P4" s="3366" t="s">
        <v>2467</v>
      </c>
      <c r="Q4" s="3367"/>
      <c r="R4" s="3370" t="s">
        <v>2463</v>
      </c>
      <c r="S4" s="3371"/>
      <c r="T4" s="3370" t="s">
        <v>2464</v>
      </c>
      <c r="U4" s="3371"/>
      <c r="V4" s="3372" t="s">
        <v>2465</v>
      </c>
      <c r="W4" s="3372"/>
      <c r="X4" s="2145"/>
      <c r="Y4" s="3370" t="s">
        <v>2467</v>
      </c>
      <c r="Z4" s="3371"/>
      <c r="AA4" s="3374" t="s">
        <v>2463</v>
      </c>
      <c r="AB4" s="3374" t="s">
        <v>2464</v>
      </c>
      <c r="AC4" s="3363" t="s">
        <v>2465</v>
      </c>
    </row>
    <row r="5" spans="1:29" ht="15">
      <c r="A5" s="364"/>
      <c r="B5" s="365"/>
      <c r="C5" s="3351" t="s">
        <v>2358</v>
      </c>
      <c r="D5" s="3352"/>
      <c r="E5" s="3358" t="s">
        <v>2359</v>
      </c>
      <c r="F5" s="3359"/>
      <c r="G5" s="3351" t="s">
        <v>2360</v>
      </c>
      <c r="H5" s="3352"/>
      <c r="I5" s="3351" t="s">
        <v>2361</v>
      </c>
      <c r="J5" s="3352"/>
      <c r="K5" s="567"/>
      <c r="L5" s="2945"/>
      <c r="M5" s="2946"/>
      <c r="N5" s="2946"/>
      <c r="O5" s="2946"/>
      <c r="P5" s="3368"/>
      <c r="Q5" s="3339"/>
      <c r="R5" s="3344"/>
      <c r="S5" s="3345"/>
      <c r="T5" s="3344"/>
      <c r="U5" s="3345"/>
      <c r="V5" s="3348"/>
      <c r="W5" s="3348"/>
      <c r="X5" s="1541"/>
      <c r="Y5" s="3344"/>
      <c r="Z5" s="3345"/>
      <c r="AA5" s="3330"/>
      <c r="AB5" s="3330"/>
      <c r="AC5" s="3364"/>
    </row>
    <row r="6" spans="1:29" ht="15.75" thickBot="1">
      <c r="A6" s="366"/>
      <c r="B6" s="367"/>
      <c r="C6" s="3349" t="s">
        <v>2362</v>
      </c>
      <c r="D6" s="3350"/>
      <c r="E6" s="3356" t="s">
        <v>2362</v>
      </c>
      <c r="F6" s="3357"/>
      <c r="G6" s="3349" t="s">
        <v>2362</v>
      </c>
      <c r="H6" s="3350"/>
      <c r="I6" s="3349" t="s">
        <v>2362</v>
      </c>
      <c r="J6" s="3350"/>
      <c r="K6" s="567" t="s">
        <v>2363</v>
      </c>
      <c r="L6" s="2945"/>
      <c r="M6" s="2946"/>
      <c r="N6" s="2946"/>
      <c r="O6" s="2946"/>
      <c r="P6" s="3369"/>
      <c r="Q6" s="3341"/>
      <c r="R6" s="3344"/>
      <c r="S6" s="3345"/>
      <c r="T6" s="3346"/>
      <c r="U6" s="3347"/>
      <c r="V6" s="3348"/>
      <c r="W6" s="3348"/>
      <c r="X6" s="1541"/>
      <c r="Y6" s="3346"/>
      <c r="Z6" s="3347"/>
      <c r="AA6" s="3331"/>
      <c r="AB6" s="3331"/>
      <c r="AC6" s="3365"/>
    </row>
    <row r="7" spans="1:29" s="113" customFormat="1" ht="15.75" thickBot="1">
      <c r="A7" s="368" t="s">
        <v>2364</v>
      </c>
      <c r="B7" s="369"/>
      <c r="C7" s="370">
        <f>'数据-取费表'!B2</f>
        <v>44134</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73" t="s">
        <v>2365</v>
      </c>
      <c r="Q7" s="3355"/>
      <c r="R7" s="710" t="s">
        <v>17</v>
      </c>
      <c r="S7" s="711">
        <f t="shared" ref="S7:S15" si="0">F7</f>
        <v>0</v>
      </c>
      <c r="T7" s="710" t="s">
        <v>17</v>
      </c>
      <c r="U7" s="711">
        <f t="shared" ref="U7:U15" si="1">H7</f>
        <v>0</v>
      </c>
      <c r="V7" s="710" t="s">
        <v>17</v>
      </c>
      <c r="W7" s="711">
        <f t="shared" ref="W7:W15" si="2">J7</f>
        <v>0</v>
      </c>
      <c r="X7" s="712"/>
      <c r="Y7" s="3353" t="s">
        <v>2365</v>
      </c>
      <c r="Z7" s="3354"/>
      <c r="AA7" s="713" t="e">
        <f>D7/F7</f>
        <v>#DIV/0!</v>
      </c>
      <c r="AB7" s="713" t="e">
        <f>D7/H7</f>
        <v>#DIV/0!</v>
      </c>
      <c r="AC7" s="2146" t="e">
        <f>D7/J7</f>
        <v>#DIV/0!</v>
      </c>
    </row>
    <row r="8" spans="1:29" s="113" customFormat="1" ht="15.75" thickBot="1">
      <c r="A8" s="368" t="s">
        <v>2366</v>
      </c>
      <c r="B8" s="369"/>
      <c r="C8" s="374" t="s">
        <v>2468</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73" t="s">
        <v>2368</v>
      </c>
      <c r="Q8" s="3354"/>
      <c r="R8" s="710" t="s">
        <v>17</v>
      </c>
      <c r="S8" s="711">
        <f t="shared" si="0"/>
        <v>0</v>
      </c>
      <c r="T8" s="710" t="s">
        <v>17</v>
      </c>
      <c r="U8" s="711">
        <f t="shared" si="1"/>
        <v>0</v>
      </c>
      <c r="V8" s="710" t="s">
        <v>17</v>
      </c>
      <c r="W8" s="711">
        <f t="shared" si="2"/>
        <v>0</v>
      </c>
      <c r="X8" s="712"/>
      <c r="Y8" s="3353" t="s">
        <v>2368</v>
      </c>
      <c r="Z8" s="3354"/>
      <c r="AA8" s="713" t="e">
        <f t="shared" ref="AA8:AA47" si="3">D8/F8</f>
        <v>#DIV/0!</v>
      </c>
      <c r="AB8" s="713" t="e">
        <f t="shared" ref="AB8:AB47" si="4">D8/H8</f>
        <v>#DIV/0!</v>
      </c>
      <c r="AC8" s="2146" t="e">
        <f t="shared" ref="AC8:AC47" si="5">D8/J8</f>
        <v>#DIV/0!</v>
      </c>
    </row>
    <row r="9" spans="1:29" s="113" customFormat="1">
      <c r="A9" s="375" t="s">
        <v>2369</v>
      </c>
      <c r="B9" s="67" t="s">
        <v>2370</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28" t="s">
        <v>2371</v>
      </c>
      <c r="Q9" s="1529" t="str">
        <f t="shared" ref="Q9:Q15" si="6">B9</f>
        <v>用途</v>
      </c>
      <c r="R9" s="710" t="s">
        <v>17</v>
      </c>
      <c r="S9" s="711">
        <f t="shared" si="0"/>
        <v>100</v>
      </c>
      <c r="T9" s="710" t="s">
        <v>17</v>
      </c>
      <c r="U9" s="711">
        <f t="shared" si="1"/>
        <v>100</v>
      </c>
      <c r="V9" s="710" t="s">
        <v>17</v>
      </c>
      <c r="W9" s="711">
        <f t="shared" si="2"/>
        <v>100</v>
      </c>
      <c r="X9" s="712"/>
      <c r="Y9" s="3187" t="s">
        <v>2372</v>
      </c>
      <c r="Z9" s="55" t="str">
        <f t="shared" ref="Z9:Z15" si="7">Q9</f>
        <v>用途</v>
      </c>
      <c r="AA9" s="713">
        <f t="shared" si="3"/>
        <v>1</v>
      </c>
      <c r="AB9" s="713">
        <f t="shared" si="4"/>
        <v>1</v>
      </c>
      <c r="AC9" s="2146">
        <f t="shared" si="5"/>
        <v>1</v>
      </c>
    </row>
    <row r="10" spans="1:29" s="386" customFormat="1" ht="27">
      <c r="A10" s="380"/>
      <c r="B10" s="381" t="s">
        <v>2373</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28"/>
      <c r="Q10" s="1529"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2146">
        <f t="shared" si="5"/>
        <v>1</v>
      </c>
    </row>
    <row r="11" spans="1:29" ht="15">
      <c r="A11" s="387"/>
      <c r="B11" s="381" t="s">
        <v>2374</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28"/>
      <c r="Q11" s="1529"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28"/>
      <c r="Q12" s="1529">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28"/>
      <c r="Q13" s="1529">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28"/>
      <c r="Q14" s="1529">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2146">
        <f t="shared" si="5"/>
        <v>1</v>
      </c>
    </row>
    <row r="15" spans="1:29" ht="71.25">
      <c r="A15" s="399" t="s">
        <v>2375</v>
      </c>
      <c r="B15" s="585" t="s">
        <v>2503</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26" t="s">
        <v>2376</v>
      </c>
      <c r="Q15" s="1538" t="str">
        <f t="shared" si="6"/>
        <v>办公集聚程度</v>
      </c>
      <c r="R15" s="714" t="s">
        <v>17</v>
      </c>
      <c r="S15" s="715">
        <f t="shared" si="0"/>
        <v>100</v>
      </c>
      <c r="T15" s="714" t="s">
        <v>17</v>
      </c>
      <c r="U15" s="715">
        <f t="shared" si="1"/>
        <v>100</v>
      </c>
      <c r="V15" s="714" t="s">
        <v>17</v>
      </c>
      <c r="W15" s="715">
        <f t="shared" si="2"/>
        <v>100</v>
      </c>
      <c r="X15" s="1541"/>
      <c r="Y15" s="3319" t="s">
        <v>2376</v>
      </c>
      <c r="Z15" s="1542" t="str">
        <f t="shared" si="7"/>
        <v>办公集聚程度</v>
      </c>
      <c r="AA15" s="1539">
        <f t="shared" si="3"/>
        <v>1</v>
      </c>
      <c r="AB15" s="1539">
        <f t="shared" si="4"/>
        <v>1</v>
      </c>
      <c r="AC15" s="2149">
        <f t="shared" si="5"/>
        <v>1</v>
      </c>
    </row>
    <row r="16" spans="1:29" ht="15">
      <c r="A16" s="387"/>
      <c r="B16" s="586"/>
      <c r="C16" s="2091"/>
      <c r="D16" s="407"/>
      <c r="E16" s="406"/>
      <c r="F16" s="407"/>
      <c r="G16" s="2091"/>
      <c r="H16" s="409"/>
      <c r="I16" s="406"/>
      <c r="J16" s="407"/>
      <c r="K16" s="572"/>
      <c r="L16" s="2952"/>
      <c r="M16" s="2946"/>
      <c r="N16" s="2946"/>
      <c r="O16" s="2946"/>
      <c r="P16" s="3327"/>
      <c r="Q16" s="1538"/>
      <c r="R16" s="714"/>
      <c r="S16" s="715"/>
      <c r="T16" s="714"/>
      <c r="U16" s="715"/>
      <c r="V16" s="714"/>
      <c r="W16" s="715"/>
      <c r="X16" s="1541"/>
      <c r="Y16" s="3320"/>
      <c r="Z16" s="1542"/>
      <c r="AA16" s="1539">
        <v>1</v>
      </c>
      <c r="AB16" s="1539">
        <v>1</v>
      </c>
      <c r="AC16" s="2149">
        <v>1</v>
      </c>
    </row>
    <row r="17" spans="1:29" ht="71.25">
      <c r="A17" s="387"/>
      <c r="B17" s="587" t="s">
        <v>1943</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27"/>
      <c r="Q17" s="1538" t="str">
        <f>B17</f>
        <v>交通便捷度</v>
      </c>
      <c r="R17" s="714" t="s">
        <v>17</v>
      </c>
      <c r="S17" s="715">
        <f>F17</f>
        <v>100</v>
      </c>
      <c r="T17" s="714" t="s">
        <v>17</v>
      </c>
      <c r="U17" s="715">
        <f>H17</f>
        <v>100</v>
      </c>
      <c r="V17" s="714" t="s">
        <v>17</v>
      </c>
      <c r="W17" s="715">
        <f>J17</f>
        <v>100</v>
      </c>
      <c r="X17" s="1541"/>
      <c r="Y17" s="3320"/>
      <c r="Z17" s="1542" t="str">
        <f>Q17</f>
        <v>交通便捷度</v>
      </c>
      <c r="AA17" s="1539">
        <f t="shared" si="3"/>
        <v>1</v>
      </c>
      <c r="AB17" s="1539">
        <f t="shared" si="4"/>
        <v>1</v>
      </c>
      <c r="AC17" s="2149">
        <f t="shared" si="5"/>
        <v>1</v>
      </c>
    </row>
    <row r="18" spans="1:29" ht="15">
      <c r="A18" s="387"/>
      <c r="B18" s="588"/>
      <c r="C18" s="2151"/>
      <c r="D18" s="409"/>
      <c r="E18" s="2089"/>
      <c r="F18" s="409"/>
      <c r="G18" s="2090"/>
      <c r="H18" s="407"/>
      <c r="I18" s="2090"/>
      <c r="J18" s="407"/>
      <c r="K18" s="572"/>
      <c r="L18" s="2952"/>
      <c r="M18" s="2946"/>
      <c r="N18" s="2946"/>
      <c r="O18" s="2946"/>
      <c r="P18" s="3327"/>
      <c r="Q18" s="1538"/>
      <c r="R18" s="714"/>
      <c r="S18" s="715"/>
      <c r="T18" s="714"/>
      <c r="U18" s="715"/>
      <c r="V18" s="714"/>
      <c r="W18" s="715"/>
      <c r="X18" s="1541"/>
      <c r="Y18" s="3320"/>
      <c r="Z18" s="1542"/>
      <c r="AA18" s="1539">
        <v>1</v>
      </c>
      <c r="AB18" s="1539">
        <v>1</v>
      </c>
      <c r="AC18" s="2149">
        <v>1</v>
      </c>
    </row>
    <row r="19" spans="1:29" ht="42.75">
      <c r="A19" s="387"/>
      <c r="B19" s="587" t="s">
        <v>2504</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27"/>
      <c r="Q19" s="1538" t="str">
        <f>B19</f>
        <v>公共配套设施</v>
      </c>
      <c r="R19" s="714" t="s">
        <v>17</v>
      </c>
      <c r="S19" s="715">
        <f>F19</f>
        <v>100</v>
      </c>
      <c r="T19" s="714" t="s">
        <v>17</v>
      </c>
      <c r="U19" s="715">
        <f>H19</f>
        <v>100</v>
      </c>
      <c r="V19" s="714" t="s">
        <v>17</v>
      </c>
      <c r="W19" s="715">
        <f>J19</f>
        <v>100</v>
      </c>
      <c r="X19" s="1541"/>
      <c r="Y19" s="3320"/>
      <c r="Z19" s="1542" t="str">
        <f>Q19</f>
        <v>公共配套设施</v>
      </c>
      <c r="AA19" s="1539">
        <f t="shared" si="3"/>
        <v>1</v>
      </c>
      <c r="AB19" s="1539">
        <f t="shared" si="4"/>
        <v>1</v>
      </c>
      <c r="AC19" s="2149">
        <f t="shared" si="5"/>
        <v>1</v>
      </c>
    </row>
    <row r="20" spans="1:29" ht="15">
      <c r="A20" s="387"/>
      <c r="B20" s="588"/>
      <c r="C20" s="2091"/>
      <c r="D20" s="407"/>
      <c r="E20" s="2084"/>
      <c r="F20" s="407"/>
      <c r="G20" s="2085"/>
      <c r="H20" s="407"/>
      <c r="I20" s="2085"/>
      <c r="J20" s="407"/>
      <c r="K20" s="572"/>
      <c r="L20" s="2952"/>
      <c r="M20" s="2946"/>
      <c r="N20" s="2946"/>
      <c r="O20" s="2946"/>
      <c r="P20" s="3327"/>
      <c r="Q20" s="1538"/>
      <c r="R20" s="714"/>
      <c r="S20" s="715"/>
      <c r="T20" s="714"/>
      <c r="U20" s="715"/>
      <c r="V20" s="714"/>
      <c r="W20" s="715"/>
      <c r="X20" s="1541"/>
      <c r="Y20" s="3320"/>
      <c r="Z20" s="1542"/>
      <c r="AA20" s="1539">
        <v>1</v>
      </c>
      <c r="AB20" s="1539">
        <v>1</v>
      </c>
      <c r="AC20" s="2149">
        <v>1</v>
      </c>
    </row>
    <row r="21" spans="1:29" ht="28.5">
      <c r="A21" s="387"/>
      <c r="B21" s="589" t="s">
        <v>2505</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27"/>
      <c r="Q21" s="1538" t="str">
        <f>B21</f>
        <v>基础设施水平</v>
      </c>
      <c r="R21" s="714" t="s">
        <v>17</v>
      </c>
      <c r="S21" s="715">
        <f>F21</f>
        <v>100</v>
      </c>
      <c r="T21" s="714" t="s">
        <v>17</v>
      </c>
      <c r="U21" s="715">
        <f>H21</f>
        <v>100</v>
      </c>
      <c r="V21" s="714" t="s">
        <v>17</v>
      </c>
      <c r="W21" s="715">
        <f>J21</f>
        <v>100</v>
      </c>
      <c r="X21" s="1541"/>
      <c r="Y21" s="3320"/>
      <c r="Z21" s="1542" t="str">
        <f>Q21</f>
        <v>基础设施水平</v>
      </c>
      <c r="AA21" s="1539">
        <f t="shared" ref="AA21" si="8">D21/F21</f>
        <v>1</v>
      </c>
      <c r="AB21" s="1539">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27"/>
      <c r="Q22" s="1538"/>
      <c r="R22" s="714"/>
      <c r="S22" s="715"/>
      <c r="T22" s="714"/>
      <c r="U22" s="715"/>
      <c r="V22" s="714"/>
      <c r="W22" s="715"/>
      <c r="X22" s="1541"/>
      <c r="Y22" s="3320"/>
      <c r="Z22" s="1542"/>
      <c r="AA22" s="1539">
        <v>1</v>
      </c>
      <c r="AB22" s="1539">
        <v>1</v>
      </c>
      <c r="AC22" s="2149">
        <v>1</v>
      </c>
    </row>
    <row r="23" spans="1:29" ht="42.75">
      <c r="A23" s="387"/>
      <c r="B23" s="587" t="s">
        <v>2506</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27"/>
      <c r="Q23" s="1538" t="str">
        <f>B23</f>
        <v>环境质量</v>
      </c>
      <c r="R23" s="714" t="s">
        <v>17</v>
      </c>
      <c r="S23" s="715">
        <f>F23</f>
        <v>100</v>
      </c>
      <c r="T23" s="714" t="s">
        <v>17</v>
      </c>
      <c r="U23" s="715">
        <f>H23</f>
        <v>100</v>
      </c>
      <c r="V23" s="714" t="s">
        <v>17</v>
      </c>
      <c r="W23" s="715">
        <f>J23</f>
        <v>100</v>
      </c>
      <c r="X23" s="1541"/>
      <c r="Y23" s="3320"/>
      <c r="Z23" s="1542" t="str">
        <f>Q23</f>
        <v>环境质量</v>
      </c>
      <c r="AA23" s="1539">
        <f t="shared" si="3"/>
        <v>1</v>
      </c>
      <c r="AB23" s="1539">
        <f t="shared" si="4"/>
        <v>1</v>
      </c>
      <c r="AC23" s="2149">
        <f t="shared" si="5"/>
        <v>1</v>
      </c>
    </row>
    <row r="24" spans="1:29" ht="15">
      <c r="A24" s="387"/>
      <c r="B24" s="589"/>
      <c r="C24" s="2091"/>
      <c r="D24" s="407"/>
      <c r="E24" s="2084"/>
      <c r="F24" s="407"/>
      <c r="G24" s="2085"/>
      <c r="H24" s="407"/>
      <c r="I24" s="2085"/>
      <c r="J24" s="407"/>
      <c r="K24" s="572"/>
      <c r="L24" s="2952"/>
      <c r="M24" s="2946"/>
      <c r="N24" s="2946"/>
      <c r="O24" s="2946"/>
      <c r="P24" s="3327"/>
      <c r="Q24" s="1538"/>
      <c r="R24" s="714"/>
      <c r="S24" s="715"/>
      <c r="T24" s="714"/>
      <c r="U24" s="715"/>
      <c r="V24" s="714"/>
      <c r="W24" s="715"/>
      <c r="X24" s="1541"/>
      <c r="Y24" s="3320"/>
      <c r="Z24" s="1542"/>
      <c r="AA24" s="1539">
        <v>1</v>
      </c>
      <c r="AB24" s="1539">
        <v>1</v>
      </c>
      <c r="AC24" s="2149">
        <v>1</v>
      </c>
    </row>
    <row r="25" spans="1:29" ht="27">
      <c r="A25" s="364"/>
      <c r="B25" s="587" t="s">
        <v>2507</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27"/>
      <c r="Q25" s="1538" t="str">
        <f>B25</f>
        <v>毗邻道路的类型与等级</v>
      </c>
      <c r="R25" s="714" t="s">
        <v>17</v>
      </c>
      <c r="S25" s="715">
        <f>F25</f>
        <v>100</v>
      </c>
      <c r="T25" s="714" t="s">
        <v>17</v>
      </c>
      <c r="U25" s="715">
        <f>H25</f>
        <v>100</v>
      </c>
      <c r="V25" s="714" t="s">
        <v>17</v>
      </c>
      <c r="W25" s="715">
        <f>J25</f>
        <v>100</v>
      </c>
      <c r="X25" s="1541"/>
      <c r="Y25" s="3320"/>
      <c r="Z25" s="1542" t="str">
        <f>Q25</f>
        <v>毗邻道路的类型与等级</v>
      </c>
      <c r="AA25" s="1539">
        <f t="shared" si="3"/>
        <v>1</v>
      </c>
      <c r="AB25" s="1539">
        <f t="shared" si="4"/>
        <v>1</v>
      </c>
      <c r="AC25" s="2149">
        <f t="shared" si="5"/>
        <v>1</v>
      </c>
    </row>
    <row r="26" spans="1:29" ht="15">
      <c r="A26" s="364"/>
      <c r="B26" s="588"/>
      <c r="C26" s="590"/>
      <c r="D26" s="394"/>
      <c r="E26" s="573"/>
      <c r="F26" s="394"/>
      <c r="G26" s="590"/>
      <c r="H26" s="394"/>
      <c r="I26" s="573"/>
      <c r="J26" s="394"/>
      <c r="K26" s="572"/>
      <c r="L26" s="2952"/>
      <c r="M26" s="2946"/>
      <c r="N26" s="2946"/>
      <c r="O26" s="2946"/>
      <c r="P26" s="3327"/>
      <c r="Q26" s="1538"/>
      <c r="R26" s="714"/>
      <c r="S26" s="715"/>
      <c r="T26" s="714"/>
      <c r="U26" s="715"/>
      <c r="V26" s="714"/>
      <c r="W26" s="715"/>
      <c r="X26" s="1541"/>
      <c r="Y26" s="3320"/>
      <c r="Z26" s="1542"/>
      <c r="AA26" s="1539">
        <v>1</v>
      </c>
      <c r="AB26" s="1539">
        <v>1</v>
      </c>
      <c r="AC26" s="2149">
        <v>1</v>
      </c>
    </row>
    <row r="27" spans="1:29" ht="15">
      <c r="A27" s="387"/>
      <c r="B27" s="588" t="s">
        <v>2475</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27"/>
      <c r="Q27" s="1538" t="str">
        <f t="shared" ref="Q27:Q47" si="11">B27</f>
        <v>楼层</v>
      </c>
      <c r="R27" s="714" t="s">
        <v>17</v>
      </c>
      <c r="S27" s="715">
        <f>F27</f>
        <v>100</v>
      </c>
      <c r="T27" s="714" t="s">
        <v>17</v>
      </c>
      <c r="U27" s="715">
        <f>H27</f>
        <v>100</v>
      </c>
      <c r="V27" s="714" t="s">
        <v>17</v>
      </c>
      <c r="W27" s="715">
        <f>J27</f>
        <v>100</v>
      </c>
      <c r="X27" s="1541"/>
      <c r="Y27" s="3320"/>
      <c r="Z27" s="1542" t="str">
        <f>Q27</f>
        <v>楼层</v>
      </c>
      <c r="AA27" s="1539">
        <f t="shared" si="3"/>
        <v>1</v>
      </c>
      <c r="AB27" s="1539">
        <f t="shared" si="4"/>
        <v>1</v>
      </c>
      <c r="AC27" s="2149">
        <f t="shared" si="5"/>
        <v>1</v>
      </c>
    </row>
    <row r="28" spans="1:29" s="113" customFormat="1" ht="15">
      <c r="A28" s="390"/>
      <c r="B28" s="587" t="s">
        <v>2508</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27"/>
      <c r="Q28" s="1529" t="str">
        <f t="shared" si="11"/>
        <v>朝向</v>
      </c>
      <c r="R28" s="710" t="s">
        <v>17</v>
      </c>
      <c r="S28" s="711">
        <f>F28</f>
        <v>100</v>
      </c>
      <c r="T28" s="710" t="s">
        <v>17</v>
      </c>
      <c r="U28" s="711">
        <f>H28</f>
        <v>100</v>
      </c>
      <c r="V28" s="710" t="s">
        <v>17</v>
      </c>
      <c r="W28" s="711">
        <f>J28</f>
        <v>100</v>
      </c>
      <c r="X28" s="712"/>
      <c r="Y28" s="3320"/>
      <c r="Z28" s="55" t="str">
        <f>Q28</f>
        <v>朝向</v>
      </c>
      <c r="AA28" s="1539">
        <f>D28/F28</f>
        <v>1</v>
      </c>
      <c r="AB28" s="1539">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27"/>
      <c r="Q29" s="1538">
        <f t="shared" si="11"/>
        <v>111</v>
      </c>
      <c r="R29" s="714" t="s">
        <v>17</v>
      </c>
      <c r="S29" s="715">
        <f t="shared" ref="S29:S47" si="12">F29</f>
        <v>100</v>
      </c>
      <c r="T29" s="714" t="s">
        <v>17</v>
      </c>
      <c r="U29" s="715">
        <f t="shared" ref="U29:U47" si="13">H29</f>
        <v>100</v>
      </c>
      <c r="V29" s="714" t="s">
        <v>17</v>
      </c>
      <c r="W29" s="715">
        <f t="shared" ref="W29:W47" si="14">J29</f>
        <v>100</v>
      </c>
      <c r="X29" s="1541"/>
      <c r="Y29" s="3320"/>
      <c r="Z29" s="1542">
        <f t="shared" ref="Z29:Z47" si="15">Q29</f>
        <v>111</v>
      </c>
      <c r="AA29" s="1539">
        <f t="shared" si="3"/>
        <v>1</v>
      </c>
      <c r="AB29" s="1539">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27"/>
      <c r="Q30" s="1538">
        <f t="shared" si="11"/>
        <v>111</v>
      </c>
      <c r="R30" s="714" t="s">
        <v>17</v>
      </c>
      <c r="S30" s="715">
        <f t="shared" si="12"/>
        <v>100</v>
      </c>
      <c r="T30" s="714" t="s">
        <v>17</v>
      </c>
      <c r="U30" s="715">
        <f t="shared" si="13"/>
        <v>100</v>
      </c>
      <c r="V30" s="714" t="s">
        <v>17</v>
      </c>
      <c r="W30" s="715">
        <f t="shared" si="14"/>
        <v>100</v>
      </c>
      <c r="X30" s="1541"/>
      <c r="Y30" s="3320"/>
      <c r="Z30" s="1542">
        <f t="shared" si="15"/>
        <v>111</v>
      </c>
      <c r="AA30" s="1539">
        <f t="shared" si="3"/>
        <v>1</v>
      </c>
      <c r="AB30" s="1539">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27"/>
      <c r="Q31" s="1538">
        <f t="shared" si="11"/>
        <v>111</v>
      </c>
      <c r="R31" s="714" t="s">
        <v>17</v>
      </c>
      <c r="S31" s="715">
        <f t="shared" si="12"/>
        <v>100</v>
      </c>
      <c r="T31" s="714" t="s">
        <v>17</v>
      </c>
      <c r="U31" s="715">
        <f t="shared" si="13"/>
        <v>100</v>
      </c>
      <c r="V31" s="714" t="s">
        <v>17</v>
      </c>
      <c r="W31" s="715">
        <f t="shared" si="14"/>
        <v>100</v>
      </c>
      <c r="X31" s="1541"/>
      <c r="Y31" s="3320"/>
      <c r="Z31" s="1542">
        <f t="shared" si="15"/>
        <v>111</v>
      </c>
      <c r="AA31" s="1539">
        <f t="shared" si="3"/>
        <v>1</v>
      </c>
      <c r="AB31" s="1539">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27"/>
      <c r="Q32" s="1538">
        <f t="shared" si="11"/>
        <v>111</v>
      </c>
      <c r="R32" s="714" t="s">
        <v>17</v>
      </c>
      <c r="S32" s="715">
        <f t="shared" si="12"/>
        <v>100</v>
      </c>
      <c r="T32" s="714" t="s">
        <v>17</v>
      </c>
      <c r="U32" s="715">
        <f t="shared" si="13"/>
        <v>100</v>
      </c>
      <c r="V32" s="714" t="s">
        <v>17</v>
      </c>
      <c r="W32" s="715">
        <f t="shared" si="14"/>
        <v>100</v>
      </c>
      <c r="X32" s="1541"/>
      <c r="Y32" s="3320"/>
      <c r="Z32" s="1542">
        <f t="shared" si="15"/>
        <v>111</v>
      </c>
      <c r="AA32" s="1539">
        <f t="shared" si="3"/>
        <v>1</v>
      </c>
      <c r="AB32" s="1539">
        <f t="shared" si="4"/>
        <v>1</v>
      </c>
      <c r="AC32" s="2149">
        <f t="shared" si="5"/>
        <v>1</v>
      </c>
    </row>
    <row r="33" spans="1:29" ht="15">
      <c r="A33" s="399" t="s">
        <v>2379</v>
      </c>
      <c r="B33" s="67" t="s">
        <v>2509</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21" t="s">
        <v>2381</v>
      </c>
      <c r="Q33" s="1538" t="str">
        <f t="shared" si="11"/>
        <v>建筑类型</v>
      </c>
      <c r="R33" s="714" t="s">
        <v>17</v>
      </c>
      <c r="S33" s="715">
        <f t="shared" si="12"/>
        <v>100</v>
      </c>
      <c r="T33" s="714" t="s">
        <v>17</v>
      </c>
      <c r="U33" s="715">
        <f t="shared" si="13"/>
        <v>100</v>
      </c>
      <c r="V33" s="714" t="s">
        <v>17</v>
      </c>
      <c r="W33" s="715">
        <f t="shared" si="14"/>
        <v>100</v>
      </c>
      <c r="X33" s="1541"/>
      <c r="Y33" s="3324" t="s">
        <v>2381</v>
      </c>
      <c r="Z33" s="1542" t="str">
        <f t="shared" si="15"/>
        <v>建筑类型</v>
      </c>
      <c r="AA33" s="1539">
        <f t="shared" si="3"/>
        <v>1</v>
      </c>
      <c r="AB33" s="1539">
        <f t="shared" si="4"/>
        <v>1</v>
      </c>
      <c r="AC33" s="2149">
        <f t="shared" si="5"/>
        <v>1</v>
      </c>
    </row>
    <row r="34" spans="1:29" s="430" customFormat="1" ht="15">
      <c r="A34" s="427"/>
      <c r="B34" s="381" t="s">
        <v>2382</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22"/>
      <c r="Q34" s="716" t="str">
        <f t="shared" si="11"/>
        <v>项目建筑规模</v>
      </c>
      <c r="R34" s="717" t="s">
        <v>17</v>
      </c>
      <c r="S34" s="718" t="e">
        <f t="shared" si="12"/>
        <v>#N/A</v>
      </c>
      <c r="T34" s="717" t="s">
        <v>17</v>
      </c>
      <c r="U34" s="718" t="e">
        <f t="shared" si="13"/>
        <v>#N/A</v>
      </c>
      <c r="V34" s="717" t="s">
        <v>17</v>
      </c>
      <c r="W34" s="718" t="e">
        <f t="shared" si="14"/>
        <v>#N/A</v>
      </c>
      <c r="X34" s="719"/>
      <c r="Y34" s="3324"/>
      <c r="Z34" s="720" t="str">
        <f t="shared" si="15"/>
        <v>项目建筑规模</v>
      </c>
      <c r="AA34" s="1539" t="e">
        <f t="shared" si="3"/>
        <v>#N/A</v>
      </c>
      <c r="AB34" s="1539" t="e">
        <f t="shared" si="4"/>
        <v>#N/A</v>
      </c>
      <c r="AC34" s="2149" t="e">
        <f t="shared" si="5"/>
        <v>#N/A</v>
      </c>
    </row>
    <row r="35" spans="1:29" ht="15">
      <c r="A35" s="431"/>
      <c r="B35" s="381" t="s">
        <v>2383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22"/>
      <c r="Q35" s="1538" t="str">
        <f t="shared" si="11"/>
        <v>建筑结构</v>
      </c>
      <c r="R35" s="714" t="s">
        <v>17</v>
      </c>
      <c r="S35" s="715">
        <f t="shared" si="12"/>
        <v>100</v>
      </c>
      <c r="T35" s="714" t="s">
        <v>17</v>
      </c>
      <c r="U35" s="715">
        <f t="shared" si="13"/>
        <v>100</v>
      </c>
      <c r="V35" s="714" t="s">
        <v>17</v>
      </c>
      <c r="W35" s="715">
        <f t="shared" si="14"/>
        <v>100</v>
      </c>
      <c r="X35" s="1541"/>
      <c r="Y35" s="3324"/>
      <c r="Z35" s="1542" t="str">
        <f t="shared" si="15"/>
        <v>建筑结构</v>
      </c>
      <c r="AA35" s="1539">
        <f t="shared" si="3"/>
        <v>1</v>
      </c>
      <c r="AB35" s="1539">
        <f t="shared" si="4"/>
        <v>1</v>
      </c>
      <c r="AC35" s="2149">
        <f t="shared" si="5"/>
        <v>1</v>
      </c>
    </row>
    <row r="36" spans="1:29" ht="15">
      <c r="A36" s="431"/>
      <c r="B36" s="381" t="s">
        <v>2477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22"/>
      <c r="Q36" s="1538" t="str">
        <f t="shared" si="11"/>
        <v>公共部分装修</v>
      </c>
      <c r="R36" s="714" t="s">
        <v>17</v>
      </c>
      <c r="S36" s="715">
        <f t="shared" si="12"/>
        <v>100</v>
      </c>
      <c r="T36" s="714" t="s">
        <v>17</v>
      </c>
      <c r="U36" s="715">
        <f t="shared" si="13"/>
        <v>100</v>
      </c>
      <c r="V36" s="714" t="s">
        <v>17</v>
      </c>
      <c r="W36" s="715">
        <f t="shared" si="14"/>
        <v>100</v>
      </c>
      <c r="X36" s="1541"/>
      <c r="Y36" s="3324"/>
      <c r="Z36" s="1542" t="str">
        <f t="shared" si="15"/>
        <v>公共部分装修</v>
      </c>
      <c r="AA36" s="1539">
        <f t="shared" si="3"/>
        <v>1</v>
      </c>
      <c r="AB36" s="1539">
        <f t="shared" si="4"/>
        <v>1</v>
      </c>
      <c r="AC36" s="2149">
        <f t="shared" si="5"/>
        <v>1</v>
      </c>
    </row>
    <row r="37" spans="1:29" ht="15">
      <c r="A37" s="431"/>
      <c r="B37" s="381" t="s">
        <v>2478</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22"/>
      <c r="Q37" s="1538" t="str">
        <f t="shared" si="11"/>
        <v>成新度</v>
      </c>
      <c r="R37" s="714" t="s">
        <v>17</v>
      </c>
      <c r="S37" s="715" t="e">
        <f t="shared" si="12"/>
        <v>#N/A</v>
      </c>
      <c r="T37" s="714" t="s">
        <v>17</v>
      </c>
      <c r="U37" s="715" t="e">
        <f t="shared" si="13"/>
        <v>#N/A</v>
      </c>
      <c r="V37" s="714" t="s">
        <v>17</v>
      </c>
      <c r="W37" s="715" t="e">
        <f t="shared" si="14"/>
        <v>#N/A</v>
      </c>
      <c r="X37" s="1541"/>
      <c r="Y37" s="3324"/>
      <c r="Z37" s="1542" t="str">
        <f t="shared" si="15"/>
        <v>成新度</v>
      </c>
      <c r="AA37" s="1539" t="e">
        <f t="shared" si="3"/>
        <v>#N/A</v>
      </c>
      <c r="AB37" s="1539" t="e">
        <f t="shared" si="4"/>
        <v>#N/A</v>
      </c>
      <c r="AC37" s="2149" t="e">
        <f t="shared" si="5"/>
        <v>#N/A</v>
      </c>
    </row>
    <row r="38" spans="1:29" s="113" customFormat="1" ht="15">
      <c r="A38" s="432"/>
      <c r="B38" s="381" t="s">
        <v>2510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22"/>
      <c r="Q38" s="1529" t="str">
        <f t="shared" si="11"/>
        <v>写字楼等级</v>
      </c>
      <c r="R38" s="710" t="s">
        <v>17</v>
      </c>
      <c r="S38" s="711">
        <f t="shared" si="12"/>
        <v>100</v>
      </c>
      <c r="T38" s="710" t="s">
        <v>17</v>
      </c>
      <c r="U38" s="711">
        <f t="shared" si="13"/>
        <v>100</v>
      </c>
      <c r="V38" s="710" t="s">
        <v>17</v>
      </c>
      <c r="W38" s="711">
        <f t="shared" si="14"/>
        <v>100</v>
      </c>
      <c r="X38" s="712"/>
      <c r="Y38" s="3324"/>
      <c r="Z38" s="55" t="str">
        <f t="shared" si="15"/>
        <v>写字楼等级</v>
      </c>
      <c r="AA38" s="713">
        <f t="shared" si="3"/>
        <v>1</v>
      </c>
      <c r="AB38" s="713">
        <f t="shared" si="4"/>
        <v>1</v>
      </c>
      <c r="AC38" s="2146">
        <f t="shared" si="5"/>
        <v>1</v>
      </c>
    </row>
    <row r="39" spans="1:29" ht="15">
      <c r="A39" s="431"/>
      <c r="B39" s="381" t="s">
        <v>2511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22" t="s">
        <v>2381</v>
      </c>
      <c r="Q39" s="1538" t="str">
        <f t="shared" si="11"/>
        <v>物业管理</v>
      </c>
      <c r="R39" s="714" t="s">
        <v>17</v>
      </c>
      <c r="S39" s="715">
        <f t="shared" si="12"/>
        <v>100</v>
      </c>
      <c r="T39" s="714" t="s">
        <v>17</v>
      </c>
      <c r="U39" s="715">
        <f t="shared" si="13"/>
        <v>100</v>
      </c>
      <c r="V39" s="714" t="s">
        <v>17</v>
      </c>
      <c r="W39" s="715">
        <f t="shared" si="14"/>
        <v>100</v>
      </c>
      <c r="X39" s="1541"/>
      <c r="Y39" s="3324" t="s">
        <v>2381</v>
      </c>
      <c r="Z39" s="1542" t="str">
        <f t="shared" si="15"/>
        <v>物业管理</v>
      </c>
      <c r="AA39" s="1539">
        <f t="shared" si="3"/>
        <v>1</v>
      </c>
      <c r="AB39" s="1539">
        <f t="shared" si="4"/>
        <v>1</v>
      </c>
      <c r="AC39" s="2149">
        <f t="shared" si="5"/>
        <v>1</v>
      </c>
    </row>
    <row r="40" spans="1:29" ht="15">
      <c r="A40" s="431"/>
      <c r="B40" s="381" t="s">
        <v>2479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22"/>
      <c r="Q40" s="1538" t="str">
        <f t="shared" si="11"/>
        <v>市政基础设施</v>
      </c>
      <c r="R40" s="714" t="s">
        <v>17</v>
      </c>
      <c r="S40" s="715">
        <f t="shared" si="12"/>
        <v>100</v>
      </c>
      <c r="T40" s="714" t="s">
        <v>17</v>
      </c>
      <c r="U40" s="715">
        <f t="shared" si="13"/>
        <v>100</v>
      </c>
      <c r="V40" s="714" t="s">
        <v>17</v>
      </c>
      <c r="W40" s="715">
        <f t="shared" si="14"/>
        <v>100</v>
      </c>
      <c r="X40" s="1541"/>
      <c r="Y40" s="3324"/>
      <c r="Z40" s="1542" t="str">
        <f t="shared" si="15"/>
        <v>市政基础设施</v>
      </c>
      <c r="AA40" s="1539">
        <f t="shared" si="3"/>
        <v>1</v>
      </c>
      <c r="AB40" s="1539">
        <f t="shared" si="4"/>
        <v>1</v>
      </c>
      <c r="AC40" s="2149">
        <f t="shared" si="5"/>
        <v>1</v>
      </c>
    </row>
    <row r="41" spans="1:29" ht="15">
      <c r="A41" s="431"/>
      <c r="B41" s="381" t="s">
        <v>2481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22"/>
      <c r="Q41" s="1538" t="str">
        <f t="shared" si="11"/>
        <v>层高</v>
      </c>
      <c r="R41" s="714" t="s">
        <v>17</v>
      </c>
      <c r="S41" s="715">
        <f t="shared" si="12"/>
        <v>100</v>
      </c>
      <c r="T41" s="714" t="s">
        <v>17</v>
      </c>
      <c r="U41" s="715">
        <f t="shared" si="13"/>
        <v>100</v>
      </c>
      <c r="V41" s="714" t="s">
        <v>17</v>
      </c>
      <c r="W41" s="715">
        <f t="shared" si="14"/>
        <v>100</v>
      </c>
      <c r="X41" s="1541"/>
      <c r="Y41" s="3324"/>
      <c r="Z41" s="1542" t="str">
        <f t="shared" si="15"/>
        <v>层高</v>
      </c>
      <c r="AA41" s="1539">
        <f t="shared" si="3"/>
        <v>1</v>
      </c>
      <c r="AB41" s="1539">
        <f t="shared" si="4"/>
        <v>1</v>
      </c>
      <c r="AC41" s="2149">
        <f t="shared" si="5"/>
        <v>1</v>
      </c>
    </row>
    <row r="42" spans="1:29" s="430" customFormat="1" ht="15">
      <c r="A42" s="427"/>
      <c r="B42" s="1540" t="s">
        <v>2512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22"/>
      <c r="Q42" s="716" t="str">
        <f t="shared" si="11"/>
        <v>单套建筑面积</v>
      </c>
      <c r="R42" s="717" t="s">
        <v>17</v>
      </c>
      <c r="S42" s="718">
        <f t="shared" si="12"/>
        <v>100</v>
      </c>
      <c r="T42" s="717" t="s">
        <v>17</v>
      </c>
      <c r="U42" s="718">
        <f t="shared" si="13"/>
        <v>100</v>
      </c>
      <c r="V42" s="717" t="s">
        <v>17</v>
      </c>
      <c r="W42" s="718">
        <f t="shared" si="14"/>
        <v>100</v>
      </c>
      <c r="X42" s="719"/>
      <c r="Y42" s="3324"/>
      <c r="Z42" s="720" t="str">
        <f t="shared" si="15"/>
        <v>单套建筑面积</v>
      </c>
      <c r="AA42" s="1539">
        <f t="shared" si="3"/>
        <v>1</v>
      </c>
      <c r="AB42" s="1539">
        <f t="shared" si="4"/>
        <v>1</v>
      </c>
      <c r="AC42" s="2149">
        <f t="shared" si="5"/>
        <v>1</v>
      </c>
    </row>
    <row r="43" spans="1:29" ht="15">
      <c r="A43" s="431"/>
      <c r="B43" s="381" t="s">
        <v>2484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22"/>
      <c r="Q43" s="1538" t="str">
        <f t="shared" si="11"/>
        <v>内部装修</v>
      </c>
      <c r="R43" s="714" t="s">
        <v>17</v>
      </c>
      <c r="S43" s="715">
        <f t="shared" si="12"/>
        <v>100</v>
      </c>
      <c r="T43" s="714" t="s">
        <v>17</v>
      </c>
      <c r="U43" s="715">
        <f t="shared" si="13"/>
        <v>100</v>
      </c>
      <c r="V43" s="714" t="s">
        <v>17</v>
      </c>
      <c r="W43" s="715">
        <f t="shared" si="14"/>
        <v>100</v>
      </c>
      <c r="X43" s="1541"/>
      <c r="Y43" s="3324"/>
      <c r="Z43" s="1542" t="str">
        <f t="shared" si="15"/>
        <v>内部装修</v>
      </c>
      <c r="AA43" s="1539">
        <f t="shared" si="3"/>
        <v>1</v>
      </c>
      <c r="AB43" s="1539">
        <f t="shared" si="4"/>
        <v>1</v>
      </c>
      <c r="AC43" s="2149">
        <f t="shared" si="5"/>
        <v>1</v>
      </c>
    </row>
    <row r="44" spans="1:29" ht="15">
      <c r="A44" s="431"/>
      <c r="B44" s="381" t="s">
        <v>2392</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22"/>
      <c r="Q44" s="1538" t="str">
        <f t="shared" si="11"/>
        <v>内部装修维护情况</v>
      </c>
      <c r="R44" s="714" t="s">
        <v>17</v>
      </c>
      <c r="S44" s="715">
        <f t="shared" si="12"/>
        <v>100</v>
      </c>
      <c r="T44" s="714" t="s">
        <v>17</v>
      </c>
      <c r="U44" s="715">
        <f t="shared" si="13"/>
        <v>100</v>
      </c>
      <c r="V44" s="714" t="s">
        <v>17</v>
      </c>
      <c r="W44" s="715">
        <f t="shared" si="14"/>
        <v>100</v>
      </c>
      <c r="X44" s="1541"/>
      <c r="Y44" s="3324"/>
      <c r="Z44" s="1542" t="str">
        <f t="shared" si="15"/>
        <v>内部装修维护情况</v>
      </c>
      <c r="AA44" s="1539">
        <f t="shared" si="3"/>
        <v>1</v>
      </c>
      <c r="AB44" s="1539">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22"/>
      <c r="Q45" s="1529">
        <f t="shared" si="11"/>
        <v>111</v>
      </c>
      <c r="R45" s="710" t="s">
        <v>17</v>
      </c>
      <c r="S45" s="711">
        <f t="shared" si="12"/>
        <v>100</v>
      </c>
      <c r="T45" s="710" t="s">
        <v>17</v>
      </c>
      <c r="U45" s="711">
        <f t="shared" si="13"/>
        <v>100</v>
      </c>
      <c r="V45" s="710" t="s">
        <v>17</v>
      </c>
      <c r="W45" s="711">
        <f t="shared" si="14"/>
        <v>100</v>
      </c>
      <c r="X45" s="712"/>
      <c r="Y45" s="3324"/>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22"/>
      <c r="Q46" s="1538">
        <f t="shared" si="11"/>
        <v>111</v>
      </c>
      <c r="R46" s="714" t="s">
        <v>17</v>
      </c>
      <c r="S46" s="715">
        <f t="shared" si="12"/>
        <v>100</v>
      </c>
      <c r="T46" s="714" t="s">
        <v>17</v>
      </c>
      <c r="U46" s="715">
        <f t="shared" si="13"/>
        <v>100</v>
      </c>
      <c r="V46" s="714" t="s">
        <v>17</v>
      </c>
      <c r="W46" s="715">
        <f t="shared" si="14"/>
        <v>100</v>
      </c>
      <c r="X46" s="1541"/>
      <c r="Y46" s="3324"/>
      <c r="Z46" s="1542">
        <f t="shared" si="15"/>
        <v>111</v>
      </c>
      <c r="AA46" s="1539">
        <f t="shared" si="3"/>
        <v>1</v>
      </c>
      <c r="AB46" s="1539">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23"/>
      <c r="Q47" s="1538">
        <f t="shared" si="11"/>
        <v>111</v>
      </c>
      <c r="R47" s="714" t="s">
        <v>17</v>
      </c>
      <c r="S47" s="715">
        <f t="shared" si="12"/>
        <v>100</v>
      </c>
      <c r="T47" s="714" t="s">
        <v>17</v>
      </c>
      <c r="U47" s="715">
        <f t="shared" si="13"/>
        <v>100</v>
      </c>
      <c r="V47" s="714" t="s">
        <v>17</v>
      </c>
      <c r="W47" s="715">
        <f t="shared" si="14"/>
        <v>100</v>
      </c>
      <c r="X47" s="1541"/>
      <c r="Y47" s="3325"/>
      <c r="Z47" s="1542">
        <f t="shared" si="15"/>
        <v>111</v>
      </c>
      <c r="AA47" s="1539">
        <f t="shared" si="3"/>
        <v>1</v>
      </c>
      <c r="AB47" s="1539">
        <f t="shared" si="4"/>
        <v>1</v>
      </c>
      <c r="AC47" s="2149">
        <f t="shared" si="5"/>
        <v>1</v>
      </c>
    </row>
    <row r="48" spans="1:29" ht="15">
      <c r="A48" s="438" t="s">
        <v>2393</v>
      </c>
      <c r="B48" s="439"/>
      <c r="C48" s="1316" t="s">
        <v>1</v>
      </c>
      <c r="D48" s="1317"/>
      <c r="E48" s="1318"/>
      <c r="F48" s="1319"/>
      <c r="G48" s="1320"/>
      <c r="H48" s="1321"/>
      <c r="I48" s="1318"/>
      <c r="J48" s="444"/>
      <c r="K48" s="723"/>
      <c r="L48" s="2954"/>
      <c r="M48" s="2946"/>
      <c r="N48" s="2946"/>
      <c r="O48" s="2946"/>
      <c r="P48" s="3328" t="str">
        <f>A48</f>
        <v>成交单价（元/平方米）</v>
      </c>
      <c r="Q48" s="3317"/>
      <c r="R48" s="3318">
        <f>E48</f>
        <v>0</v>
      </c>
      <c r="S48" s="3318"/>
      <c r="T48" s="3318">
        <f>G48</f>
        <v>0</v>
      </c>
      <c r="U48" s="3318"/>
      <c r="V48" s="3318">
        <f>I48</f>
        <v>0</v>
      </c>
      <c r="W48" s="3318"/>
      <c r="X48" s="405"/>
      <c r="Y48" s="721"/>
      <c r="Z48" s="405"/>
      <c r="AA48" s="405"/>
      <c r="AB48" s="405"/>
      <c r="AC48" s="586"/>
    </row>
    <row r="49" spans="1:29" ht="15.75" thickBot="1">
      <c r="A49" s="445" t="s">
        <v>2485</v>
      </c>
      <c r="B49" s="446"/>
      <c r="C49" s="1322" t="e">
        <f>R50</f>
        <v>#DIV/0!</v>
      </c>
      <c r="D49" s="2539" t="s">
        <v>2876</v>
      </c>
      <c r="E49" s="1323" t="e">
        <f>R49</f>
        <v>#DIV/0!</v>
      </c>
      <c r="F49" s="2540"/>
      <c r="G49" s="1322" t="e">
        <f>T49</f>
        <v>#DIV/0!</v>
      </c>
      <c r="H49" s="2540"/>
      <c r="I49" s="1323" t="e">
        <f>V49</f>
        <v>#DIV/0!</v>
      </c>
      <c r="J49" s="2540"/>
      <c r="K49" s="2542">
        <f>F49+H49+J49</f>
        <v>0</v>
      </c>
      <c r="L49" s="2954"/>
      <c r="M49" s="2946"/>
      <c r="N49" s="2946"/>
      <c r="O49" s="2946"/>
      <c r="P49" s="3328" t="str">
        <f>A49</f>
        <v>比较价值（元/平方米）</v>
      </c>
      <c r="Q49" s="3317"/>
      <c r="R49" s="3318" t="e">
        <f>IF(F1="售价",ROUND(PRODUCT(R48,AA7:AA47),0),ROUND(PRODUCT(R48,AA7:AA47),1))</f>
        <v>#DIV/0!</v>
      </c>
      <c r="S49" s="3318"/>
      <c r="T49" s="3318" t="e">
        <f>IF(F1="售价",ROUND(PRODUCT(T48,AB7:AB47),0),ROUND(PRODUCT(T48,AB7:AB47),1))</f>
        <v>#DIV/0!</v>
      </c>
      <c r="U49" s="3318"/>
      <c r="V49" s="3318" t="e">
        <f>IF(F1="售价",ROUND(PRODUCT(V48,AC7:AC47),0),ROUND(PRODUCT(V48,AC7:AC47),1))</f>
        <v>#DIV/0!</v>
      </c>
      <c r="W49" s="3318"/>
      <c r="X49" s="405"/>
      <c r="Y49" s="405"/>
      <c r="Z49" s="405"/>
      <c r="AA49" s="405"/>
      <c r="AB49" s="405"/>
      <c r="AC49" s="586"/>
    </row>
    <row r="50" spans="1:29" ht="15.75" thickBot="1">
      <c r="A50" s="449" t="s">
        <v>2486</v>
      </c>
      <c r="B50" s="450"/>
      <c r="C50" s="1325" t="e">
        <f>R50</f>
        <v>#DIV/0!</v>
      </c>
      <c r="D50" s="1325"/>
      <c r="E50" s="1325"/>
      <c r="F50" s="1325"/>
      <c r="G50" s="1325"/>
      <c r="H50" s="1325"/>
      <c r="I50" s="1325"/>
      <c r="J50" s="451"/>
      <c r="K50" s="724"/>
      <c r="L50" s="2954"/>
      <c r="M50" s="2946"/>
      <c r="N50" s="2946"/>
      <c r="O50" s="2946"/>
      <c r="P50" s="3360" t="str">
        <f>A50</f>
        <v>估价对象XX用房的比较价值（楼面单价，元/平方米）</v>
      </c>
      <c r="Q50" s="3361"/>
      <c r="R50" s="3362" t="e">
        <f>IF(F1="售价",ROUND(IF(D49="简单平均",AVERAGE(R49:V49),R49*F49+T49*H49+V49*J49),0),ROUND(IF(D49="简单平均",AVERAGE(R49:V49),R49*F49+T49*H49+V49*J49),1))</f>
        <v>#DIV/0!</v>
      </c>
      <c r="S50" s="3362"/>
      <c r="T50" s="3362"/>
      <c r="U50" s="3362"/>
      <c r="V50" s="3362"/>
      <c r="W50" s="3362"/>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2487</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2488</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2489</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2490</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2364</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2401</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2366</v>
      </c>
      <c r="B62" s="467"/>
      <c r="C62" s="479" t="s">
        <v>2468</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2404</v>
      </c>
      <c r="B64" s="485" t="s">
        <v>2370</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2373</v>
      </c>
      <c r="C66" s="496" t="s">
        <v>2405</v>
      </c>
      <c r="D66" s="496" t="s">
        <v>2406</v>
      </c>
      <c r="E66" s="496" t="s">
        <v>2407</v>
      </c>
      <c r="F66" s="496" t="s">
        <v>2408</v>
      </c>
      <c r="G66" s="496" t="s">
        <v>2409</v>
      </c>
      <c r="H66" s="496" t="s">
        <v>2410</v>
      </c>
      <c r="I66" s="496" t="s">
        <v>2411</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2374</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2375</v>
      </c>
      <c r="B77" s="485" t="s">
        <v>2513</v>
      </c>
      <c r="C77" s="530" t="s">
        <v>2413</v>
      </c>
      <c r="D77" s="530" t="s">
        <v>2414</v>
      </c>
      <c r="E77" s="530" t="s">
        <v>2415</v>
      </c>
      <c r="F77" s="530" t="s">
        <v>2416</v>
      </c>
      <c r="G77" s="530" t="s">
        <v>2417</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2418</v>
      </c>
      <c r="C79" s="535" t="s">
        <v>2413</v>
      </c>
      <c r="D79" s="535" t="s">
        <v>2414</v>
      </c>
      <c r="E79" s="535" t="s">
        <v>2415</v>
      </c>
      <c r="F79" s="535" t="s">
        <v>2416</v>
      </c>
      <c r="G79" s="535" t="s">
        <v>2417</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2419</v>
      </c>
      <c r="C81" s="535" t="s">
        <v>2413</v>
      </c>
      <c r="D81" s="535" t="s">
        <v>2414</v>
      </c>
      <c r="E81" s="535" t="s">
        <v>2415</v>
      </c>
      <c r="F81" s="535" t="s">
        <v>2416</v>
      </c>
      <c r="G81" s="535" t="s">
        <v>2417</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2505</v>
      </c>
      <c r="C83" s="616" t="s">
        <v>2491</v>
      </c>
      <c r="D83" s="616" t="s">
        <v>2492</v>
      </c>
      <c r="E83" s="616" t="s">
        <v>2493</v>
      </c>
      <c r="F83" s="616" t="s">
        <v>2494</v>
      </c>
      <c r="G83" s="616" t="s">
        <v>2495</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2514</v>
      </c>
      <c r="C85" s="535" t="s">
        <v>2413</v>
      </c>
      <c r="D85" s="535" t="s">
        <v>2414</v>
      </c>
      <c r="E85" s="535" t="s">
        <v>2415</v>
      </c>
      <c r="F85" s="535" t="s">
        <v>2416</v>
      </c>
      <c r="G85" s="535" t="s">
        <v>2417</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2515</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2379</v>
      </c>
      <c r="B101" s="485" t="s">
        <v>2428</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2429</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2430</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2432</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2516</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2433</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2434</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2517</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2500</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2436</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2437</v>
      </c>
      <c r="C125" s="535" t="s">
        <v>2413</v>
      </c>
      <c r="D125" s="535" t="s">
        <v>2414</v>
      </c>
      <c r="E125" s="535" t="s">
        <v>2415</v>
      </c>
      <c r="F125" s="535" t="s">
        <v>2416</v>
      </c>
      <c r="G125" s="535" t="s">
        <v>2417</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144" t="s">
        <v>2518</v>
      </c>
      <c r="C1" s="1392" t="s">
        <v>2346</v>
      </c>
      <c r="D1" s="1393"/>
      <c r="E1" s="1402"/>
      <c r="F1" s="2066"/>
      <c r="G1" s="1403" t="s">
        <v>2459</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8"/>
      <c r="D2" s="1038" t="e">
        <f ca="1">SUMIF(INDIRECT("'"&amp;F2&amp;"'"&amp;"!A:A"),"承租人权益价值",INDIRECT("'"&amp;F2&amp;"'"&amp;"!c:c"))</f>
        <v>#REF!</v>
      </c>
      <c r="E2" s="2069" t="s">
        <v>2147</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2460</v>
      </c>
      <c r="D3" s="359">
        <f>IF(D1="",'数据-汇总表'!E3,SUMIF('数据-汇总表'!$C19:$C33,D1,'数据-汇总表'!$E19:$E33))</f>
        <v>107747.01000000001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2461</v>
      </c>
      <c r="B4" s="362"/>
      <c r="C4" s="3332" t="s">
        <v>2462</v>
      </c>
      <c r="D4" s="3333"/>
      <c r="E4" s="3334" t="s">
        <v>2463</v>
      </c>
      <c r="F4" s="3335"/>
      <c r="G4" s="3332" t="s">
        <v>2464</v>
      </c>
      <c r="H4" s="3333"/>
      <c r="I4" s="3332" t="s">
        <v>2465</v>
      </c>
      <c r="J4" s="3333"/>
      <c r="K4" s="567" t="s">
        <v>2466</v>
      </c>
      <c r="L4" s="1044"/>
      <c r="M4" s="1045"/>
      <c r="N4" s="1045"/>
      <c r="O4" s="1045"/>
      <c r="P4" s="3336" t="s">
        <v>2467</v>
      </c>
      <c r="Q4" s="3337"/>
      <c r="R4" s="3342" t="s">
        <v>2463</v>
      </c>
      <c r="S4" s="3343"/>
      <c r="T4" s="3342" t="s">
        <v>2464</v>
      </c>
      <c r="U4" s="3343"/>
      <c r="V4" s="3348" t="s">
        <v>2465</v>
      </c>
      <c r="W4" s="3348"/>
      <c r="X4" s="1541"/>
      <c r="Y4" s="3342" t="s">
        <v>2467</v>
      </c>
      <c r="Z4" s="3343"/>
      <c r="AA4" s="3329" t="s">
        <v>2463</v>
      </c>
      <c r="AB4" s="3330" t="s">
        <v>2464</v>
      </c>
      <c r="AC4" s="3329" t="s">
        <v>2465</v>
      </c>
    </row>
    <row r="5" spans="1:29" ht="15">
      <c r="A5" s="364"/>
      <c r="B5" s="365"/>
      <c r="C5" s="3351" t="s">
        <v>2358</v>
      </c>
      <c r="D5" s="3352"/>
      <c r="E5" s="3358" t="s">
        <v>2359</v>
      </c>
      <c r="F5" s="3359"/>
      <c r="G5" s="3351" t="s">
        <v>2360</v>
      </c>
      <c r="H5" s="3352"/>
      <c r="I5" s="3351" t="s">
        <v>2361</v>
      </c>
      <c r="J5" s="3352"/>
      <c r="K5" s="567"/>
      <c r="L5" s="1044"/>
      <c r="M5" s="1045"/>
      <c r="N5" s="1045"/>
      <c r="O5" s="1045"/>
      <c r="P5" s="3338"/>
      <c r="Q5" s="3339"/>
      <c r="R5" s="3344"/>
      <c r="S5" s="3345"/>
      <c r="T5" s="3344"/>
      <c r="U5" s="3345"/>
      <c r="V5" s="3348"/>
      <c r="W5" s="3348"/>
      <c r="X5" s="1541"/>
      <c r="Y5" s="3344"/>
      <c r="Z5" s="3345"/>
      <c r="AA5" s="3330"/>
      <c r="AB5" s="3330"/>
      <c r="AC5" s="3330"/>
    </row>
    <row r="6" spans="1:29" ht="15.75" thickBot="1">
      <c r="A6" s="366"/>
      <c r="B6" s="367"/>
      <c r="C6" s="3349" t="s">
        <v>2362</v>
      </c>
      <c r="D6" s="3350"/>
      <c r="E6" s="3356" t="s">
        <v>2362</v>
      </c>
      <c r="F6" s="3357"/>
      <c r="G6" s="3349" t="s">
        <v>2362</v>
      </c>
      <c r="H6" s="3350"/>
      <c r="I6" s="3349" t="s">
        <v>2362</v>
      </c>
      <c r="J6" s="3350"/>
      <c r="K6" s="567" t="s">
        <v>2363</v>
      </c>
      <c r="L6" s="1044"/>
      <c r="M6" s="1045"/>
      <c r="N6" s="1045"/>
      <c r="O6" s="1045"/>
      <c r="P6" s="3340"/>
      <c r="Q6" s="3341"/>
      <c r="R6" s="3344"/>
      <c r="S6" s="3345"/>
      <c r="T6" s="3346"/>
      <c r="U6" s="3347"/>
      <c r="V6" s="3348"/>
      <c r="W6" s="3348"/>
      <c r="X6" s="1541"/>
      <c r="Y6" s="3346"/>
      <c r="Z6" s="3347"/>
      <c r="AA6" s="3331"/>
      <c r="AB6" s="3331"/>
      <c r="AC6" s="3331"/>
    </row>
    <row r="7" spans="1:29" s="113" customFormat="1" ht="15.75" thickBot="1">
      <c r="A7" s="368" t="s">
        <v>2364</v>
      </c>
      <c r="B7" s="369"/>
      <c r="C7" s="370">
        <f>'数据-取费表'!B2</f>
        <v>44134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3" t="s">
        <v>2365</v>
      </c>
      <c r="Q7" s="3355"/>
      <c r="R7" s="710" t="s">
        <v>17</v>
      </c>
      <c r="S7" s="711">
        <f t="shared" ref="S7:S15" si="0">F7</f>
        <v>0</v>
      </c>
      <c r="T7" s="710" t="s">
        <v>17</v>
      </c>
      <c r="U7" s="711">
        <f t="shared" ref="U7:U15" si="1">H7</f>
        <v>0</v>
      </c>
      <c r="V7" s="710" t="s">
        <v>17</v>
      </c>
      <c r="W7" s="711">
        <f t="shared" ref="W7:W15" si="2">J7</f>
        <v>0</v>
      </c>
      <c r="X7" s="712"/>
      <c r="Y7" s="3353" t="s">
        <v>2365</v>
      </c>
      <c r="Z7" s="3354"/>
      <c r="AA7" s="713" t="e">
        <f>D7/F7</f>
        <v>#DIV/0!</v>
      </c>
      <c r="AB7" s="713" t="e">
        <f>D7/H7</f>
        <v>#DIV/0!</v>
      </c>
      <c r="AC7" s="713" t="e">
        <f>D7/J7</f>
        <v>#DIV/0!</v>
      </c>
    </row>
    <row r="8" spans="1:29" s="113" customFormat="1" ht="15.75" thickBot="1">
      <c r="A8" s="368" t="s">
        <v>2366</v>
      </c>
      <c r="B8" s="369"/>
      <c r="C8" s="374" t="s">
        <v>2367</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3" t="s">
        <v>2368</v>
      </c>
      <c r="Q8" s="3354"/>
      <c r="R8" s="710" t="s">
        <v>17</v>
      </c>
      <c r="S8" s="711">
        <f t="shared" si="0"/>
        <v>0</v>
      </c>
      <c r="T8" s="710" t="s">
        <v>17</v>
      </c>
      <c r="U8" s="711">
        <f t="shared" si="1"/>
        <v>0</v>
      </c>
      <c r="V8" s="710" t="s">
        <v>17</v>
      </c>
      <c r="W8" s="711">
        <f t="shared" si="2"/>
        <v>0</v>
      </c>
      <c r="X8" s="712"/>
      <c r="Y8" s="3353" t="s">
        <v>2368</v>
      </c>
      <c r="Z8" s="3354"/>
      <c r="AA8" s="713" t="e">
        <f t="shared" ref="AA8:AA40" si="3">D8/F8</f>
        <v>#DIV/0!</v>
      </c>
      <c r="AB8" s="713" t="e">
        <f t="shared" ref="AB8:AB40" si="4">D8/H8</f>
        <v>#DIV/0!</v>
      </c>
      <c r="AC8" s="713" t="e">
        <f t="shared" ref="AC8:AC40" si="5">D8/J8</f>
        <v>#DIV/0!</v>
      </c>
    </row>
    <row r="9" spans="1:29" s="113" customFormat="1">
      <c r="A9" s="375" t="s">
        <v>2369</v>
      </c>
      <c r="B9" s="67" t="s">
        <v>2370</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7" t="s">
        <v>2371</v>
      </c>
      <c r="Q9" s="1529" t="str">
        <f t="shared" ref="Q9:Q15" si="6">B9</f>
        <v>用途</v>
      </c>
      <c r="R9" s="710" t="s">
        <v>17</v>
      </c>
      <c r="S9" s="711">
        <f t="shared" si="0"/>
        <v>100</v>
      </c>
      <c r="T9" s="710" t="s">
        <v>17</v>
      </c>
      <c r="U9" s="711">
        <f t="shared" si="1"/>
        <v>100</v>
      </c>
      <c r="V9" s="710" t="s">
        <v>17</v>
      </c>
      <c r="W9" s="711">
        <f t="shared" si="2"/>
        <v>100</v>
      </c>
      <c r="X9" s="712"/>
      <c r="Y9" s="3187"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7"/>
      <c r="Q10" s="1529"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381" t="s">
        <v>2374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7"/>
      <c r="Q11" s="1529"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7"/>
      <c r="Q12" s="1529">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7"/>
      <c r="Q13" s="1529">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7"/>
      <c r="Q14" s="1529">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713">
        <f t="shared" si="5"/>
        <v>1</v>
      </c>
    </row>
    <row r="15" spans="1:29" ht="57">
      <c r="A15" s="399" t="s">
        <v>2375</v>
      </c>
      <c r="B15" s="65" t="s">
        <v>2519</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9" t="s">
        <v>2376</v>
      </c>
      <c r="Q15" s="1538" t="str">
        <f t="shared" si="6"/>
        <v>产业集聚程度</v>
      </c>
      <c r="R15" s="714" t="s">
        <v>17</v>
      </c>
      <c r="S15" s="715">
        <f t="shared" si="0"/>
        <v>100</v>
      </c>
      <c r="T15" s="714" t="s">
        <v>17</v>
      </c>
      <c r="U15" s="715">
        <f t="shared" si="1"/>
        <v>100</v>
      </c>
      <c r="V15" s="714" t="s">
        <v>17</v>
      </c>
      <c r="W15" s="715">
        <f t="shared" si="2"/>
        <v>100</v>
      </c>
      <c r="X15" s="1541"/>
      <c r="Y15" s="3319" t="s">
        <v>2376</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20"/>
      <c r="Q16" s="1538"/>
      <c r="R16" s="714"/>
      <c r="S16" s="715"/>
      <c r="T16" s="714"/>
      <c r="U16" s="715"/>
      <c r="V16" s="714"/>
      <c r="W16" s="715"/>
      <c r="X16" s="1541"/>
      <c r="Y16" s="3320"/>
      <c r="Z16" s="1542"/>
      <c r="AA16" s="1539">
        <v>1</v>
      </c>
      <c r="AB16" s="1539">
        <v>1</v>
      </c>
      <c r="AC16" s="1539">
        <v>1</v>
      </c>
    </row>
    <row r="17" spans="1:29" ht="85.5">
      <c r="A17" s="387"/>
      <c r="B17" s="410" t="s">
        <v>1943</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0"/>
      <c r="Q17" s="1538" t="str">
        <f>B17</f>
        <v>交通便捷度</v>
      </c>
      <c r="R17" s="714" t="s">
        <v>17</v>
      </c>
      <c r="S17" s="715">
        <f>F17</f>
        <v>100</v>
      </c>
      <c r="T17" s="714" t="s">
        <v>17</v>
      </c>
      <c r="U17" s="715">
        <f>H17</f>
        <v>100</v>
      </c>
      <c r="V17" s="714" t="s">
        <v>17</v>
      </c>
      <c r="W17" s="715">
        <f>J17</f>
        <v>100</v>
      </c>
      <c r="X17" s="1541"/>
      <c r="Y17" s="3320"/>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20"/>
      <c r="Q18" s="1538"/>
      <c r="R18" s="714"/>
      <c r="S18" s="715"/>
      <c r="T18" s="714"/>
      <c r="U18" s="715"/>
      <c r="V18" s="714"/>
      <c r="W18" s="715"/>
      <c r="X18" s="1541"/>
      <c r="Y18" s="3320"/>
      <c r="Z18" s="1542"/>
      <c r="AA18" s="1539">
        <v>1</v>
      </c>
      <c r="AB18" s="1539">
        <v>1</v>
      </c>
      <c r="AC18" s="1539">
        <v>1</v>
      </c>
    </row>
    <row r="19" spans="1:29" ht="42.75">
      <c r="A19" s="387"/>
      <c r="B19" s="410" t="s">
        <v>2504</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0"/>
      <c r="Q19" s="1538" t="str">
        <f>B19</f>
        <v>公共配套设施</v>
      </c>
      <c r="R19" s="714" t="s">
        <v>17</v>
      </c>
      <c r="S19" s="715">
        <f>F19</f>
        <v>100</v>
      </c>
      <c r="T19" s="714" t="s">
        <v>17</v>
      </c>
      <c r="U19" s="715">
        <f>H19</f>
        <v>100</v>
      </c>
      <c r="V19" s="714" t="s">
        <v>17</v>
      </c>
      <c r="W19" s="715">
        <f>J19</f>
        <v>100</v>
      </c>
      <c r="X19" s="1541"/>
      <c r="Y19" s="3320"/>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20"/>
      <c r="Q20" s="1538"/>
      <c r="R20" s="714"/>
      <c r="S20" s="715"/>
      <c r="T20" s="714"/>
      <c r="U20" s="715"/>
      <c r="V20" s="714"/>
      <c r="W20" s="715"/>
      <c r="X20" s="1541"/>
      <c r="Y20" s="3320"/>
      <c r="Z20" s="1542"/>
      <c r="AA20" s="1539">
        <v>1</v>
      </c>
      <c r="AB20" s="1539">
        <v>1</v>
      </c>
      <c r="AC20" s="1539">
        <v>1</v>
      </c>
    </row>
    <row r="21" spans="1:29" ht="28.5">
      <c r="A21" s="387"/>
      <c r="B21" s="1293" t="s">
        <v>2505</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0"/>
      <c r="Q21" s="1538" t="str">
        <f>B21</f>
        <v>基础设施水平</v>
      </c>
      <c r="R21" s="714" t="s">
        <v>17</v>
      </c>
      <c r="S21" s="715">
        <f>F21</f>
        <v>100</v>
      </c>
      <c r="T21" s="714" t="s">
        <v>17</v>
      </c>
      <c r="U21" s="715">
        <f>H21</f>
        <v>100</v>
      </c>
      <c r="V21" s="714" t="s">
        <v>17</v>
      </c>
      <c r="W21" s="715">
        <f>J21</f>
        <v>100</v>
      </c>
      <c r="X21" s="1541"/>
      <c r="Y21" s="3320"/>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320"/>
      <c r="Q22" s="1538"/>
      <c r="R22" s="714"/>
      <c r="S22" s="715"/>
      <c r="T22" s="714"/>
      <c r="U22" s="715"/>
      <c r="V22" s="714"/>
      <c r="W22" s="715"/>
      <c r="X22" s="1541"/>
      <c r="Y22" s="3320"/>
      <c r="Z22" s="1542"/>
      <c r="AA22" s="1539">
        <v>1</v>
      </c>
      <c r="AB22" s="1539">
        <v>1</v>
      </c>
      <c r="AC22" s="1539">
        <v>1</v>
      </c>
    </row>
    <row r="23" spans="1:29" ht="71.25">
      <c r="A23" s="387"/>
      <c r="B23" s="410" t="s">
        <v>2506</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0"/>
      <c r="Q23" s="1538" t="str">
        <f>B23</f>
        <v>环境质量</v>
      </c>
      <c r="R23" s="714" t="s">
        <v>17</v>
      </c>
      <c r="S23" s="715">
        <f>F23</f>
        <v>100</v>
      </c>
      <c r="T23" s="714" t="s">
        <v>17</v>
      </c>
      <c r="U23" s="715">
        <f>H23</f>
        <v>100</v>
      </c>
      <c r="V23" s="714" t="s">
        <v>17</v>
      </c>
      <c r="W23" s="715">
        <f>J23</f>
        <v>100</v>
      </c>
      <c r="X23" s="1541"/>
      <c r="Y23" s="3320"/>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20"/>
      <c r="Q24" s="1538"/>
      <c r="R24" s="714"/>
      <c r="S24" s="715"/>
      <c r="T24" s="714"/>
      <c r="U24" s="715"/>
      <c r="V24" s="714"/>
      <c r="W24" s="715"/>
      <c r="X24" s="1541"/>
      <c r="Y24" s="3320"/>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0"/>
      <c r="Q25" s="1538">
        <f>B25</f>
        <v>111</v>
      </c>
      <c r="R25" s="714" t="s">
        <v>17</v>
      </c>
      <c r="S25" s="715">
        <f>F25</f>
        <v>100</v>
      </c>
      <c r="T25" s="714" t="s">
        <v>17</v>
      </c>
      <c r="U25" s="715">
        <f>H25</f>
        <v>100</v>
      </c>
      <c r="V25" s="714" t="s">
        <v>17</v>
      </c>
      <c r="W25" s="715">
        <f>J25</f>
        <v>100</v>
      </c>
      <c r="X25" s="1541"/>
      <c r="Y25" s="3320"/>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0"/>
      <c r="Q26" s="1538">
        <f t="shared" ref="Q26:Q40" si="11">B26</f>
        <v>111</v>
      </c>
      <c r="R26" s="714" t="s">
        <v>17</v>
      </c>
      <c r="S26" s="715">
        <f>F26</f>
        <v>100</v>
      </c>
      <c r="T26" s="714" t="s">
        <v>17</v>
      </c>
      <c r="U26" s="715">
        <f>H26</f>
        <v>100</v>
      </c>
      <c r="V26" s="714" t="s">
        <v>17</v>
      </c>
      <c r="W26" s="715">
        <f>J26</f>
        <v>100</v>
      </c>
      <c r="X26" s="1541"/>
      <c r="Y26" s="3320"/>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0"/>
      <c r="Q27" s="1529">
        <f t="shared" si="11"/>
        <v>111</v>
      </c>
      <c r="R27" s="710" t="s">
        <v>17</v>
      </c>
      <c r="S27" s="711">
        <f>F27</f>
        <v>100</v>
      </c>
      <c r="T27" s="710" t="s">
        <v>17</v>
      </c>
      <c r="U27" s="711">
        <f>H27</f>
        <v>100</v>
      </c>
      <c r="V27" s="710" t="s">
        <v>17</v>
      </c>
      <c r="W27" s="711">
        <f>J27</f>
        <v>100</v>
      </c>
      <c r="X27" s="712"/>
      <c r="Y27" s="3320"/>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0"/>
      <c r="Q28" s="1538">
        <f t="shared" si="11"/>
        <v>111</v>
      </c>
      <c r="R28" s="714" t="s">
        <v>17</v>
      </c>
      <c r="S28" s="715">
        <f t="shared" ref="S28:S40" si="12">F28</f>
        <v>100</v>
      </c>
      <c r="T28" s="714" t="s">
        <v>17</v>
      </c>
      <c r="U28" s="715">
        <f t="shared" ref="U28:U40" si="13">H28</f>
        <v>100</v>
      </c>
      <c r="V28" s="714" t="s">
        <v>17</v>
      </c>
      <c r="W28" s="715">
        <f t="shared" ref="W28:W40" si="14">J28</f>
        <v>100</v>
      </c>
      <c r="X28" s="1541"/>
      <c r="Y28" s="3320"/>
      <c r="Z28" s="1542">
        <f t="shared" ref="Z28:Z40" si="15">Q28</f>
        <v>111</v>
      </c>
      <c r="AA28" s="1539">
        <f t="shared" si="3"/>
        <v>1</v>
      </c>
      <c r="AB28" s="1539">
        <f t="shared" si="4"/>
        <v>1</v>
      </c>
      <c r="AC28" s="1539">
        <f t="shared" si="5"/>
        <v>1</v>
      </c>
    </row>
    <row r="29" spans="1:29" ht="28.5">
      <c r="A29" s="425" t="s">
        <v>2379</v>
      </c>
      <c r="B29" s="67" t="s">
        <v>2509</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75" t="s">
        <v>2381</v>
      </c>
      <c r="Q29" s="1538" t="str">
        <f t="shared" si="11"/>
        <v>建筑类型</v>
      </c>
      <c r="R29" s="714" t="s">
        <v>17</v>
      </c>
      <c r="S29" s="715">
        <f t="shared" si="12"/>
        <v>100</v>
      </c>
      <c r="T29" s="714" t="s">
        <v>17</v>
      </c>
      <c r="U29" s="715">
        <f t="shared" si="13"/>
        <v>100</v>
      </c>
      <c r="V29" s="714" t="s">
        <v>17</v>
      </c>
      <c r="W29" s="715">
        <f t="shared" si="14"/>
        <v>100</v>
      </c>
      <c r="X29" s="1541"/>
      <c r="Y29" s="3324" t="s">
        <v>2381</v>
      </c>
      <c r="Z29" s="1542" t="str">
        <f t="shared" si="15"/>
        <v>建筑类型</v>
      </c>
      <c r="AA29" s="1539">
        <f t="shared" si="3"/>
        <v>1</v>
      </c>
      <c r="AB29" s="1539">
        <f t="shared" si="4"/>
        <v>1</v>
      </c>
      <c r="AC29" s="1539">
        <f t="shared" si="5"/>
        <v>1</v>
      </c>
    </row>
    <row r="30" spans="1:29" s="430" customFormat="1" ht="15">
      <c r="A30" s="427"/>
      <c r="B30" s="381" t="s">
        <v>2382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4"/>
      <c r="Q30" s="716" t="str">
        <f t="shared" si="11"/>
        <v>项目建筑规模</v>
      </c>
      <c r="R30" s="717" t="s">
        <v>17</v>
      </c>
      <c r="S30" s="718" t="e">
        <f t="shared" si="12"/>
        <v>#N/A</v>
      </c>
      <c r="T30" s="717" t="s">
        <v>17</v>
      </c>
      <c r="U30" s="718" t="e">
        <f t="shared" si="13"/>
        <v>#N/A</v>
      </c>
      <c r="V30" s="717" t="s">
        <v>17</v>
      </c>
      <c r="W30" s="718" t="e">
        <f t="shared" si="14"/>
        <v>#N/A</v>
      </c>
      <c r="X30" s="719"/>
      <c r="Y30" s="3324"/>
      <c r="Z30" s="720" t="str">
        <f t="shared" si="15"/>
        <v>项目建筑规模</v>
      </c>
      <c r="AA30" s="1539" t="e">
        <f t="shared" si="3"/>
        <v>#N/A</v>
      </c>
      <c r="AB30" s="1539" t="e">
        <f t="shared" si="4"/>
        <v>#N/A</v>
      </c>
      <c r="AC30" s="1539" t="e">
        <f t="shared" si="5"/>
        <v>#N/A</v>
      </c>
    </row>
    <row r="31" spans="1:29" ht="15">
      <c r="A31" s="431"/>
      <c r="B31" s="381" t="s">
        <v>2383</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4"/>
      <c r="Q31" s="1538" t="str">
        <f t="shared" si="11"/>
        <v>建筑结构</v>
      </c>
      <c r="R31" s="714" t="s">
        <v>17</v>
      </c>
      <c r="S31" s="715">
        <f t="shared" si="12"/>
        <v>100</v>
      </c>
      <c r="T31" s="714" t="s">
        <v>17</v>
      </c>
      <c r="U31" s="715">
        <f t="shared" si="13"/>
        <v>100</v>
      </c>
      <c r="V31" s="714" t="s">
        <v>17</v>
      </c>
      <c r="W31" s="715">
        <f t="shared" si="14"/>
        <v>100</v>
      </c>
      <c r="X31" s="1541"/>
      <c r="Y31" s="3324"/>
      <c r="Z31" s="1542" t="str">
        <f t="shared" si="15"/>
        <v>建筑结构</v>
      </c>
      <c r="AA31" s="1539">
        <f t="shared" si="3"/>
        <v>1</v>
      </c>
      <c r="AB31" s="1539">
        <f t="shared" si="4"/>
        <v>1</v>
      </c>
      <c r="AC31" s="1539">
        <f t="shared" si="5"/>
        <v>1</v>
      </c>
    </row>
    <row r="32" spans="1:29" ht="15">
      <c r="A32" s="431"/>
      <c r="B32" s="381" t="s">
        <v>2477</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4"/>
      <c r="Q32" s="1538" t="str">
        <f t="shared" si="11"/>
        <v>公共部分装修</v>
      </c>
      <c r="R32" s="714" t="s">
        <v>17</v>
      </c>
      <c r="S32" s="715">
        <f t="shared" si="12"/>
        <v>100</v>
      </c>
      <c r="T32" s="714" t="s">
        <v>17</v>
      </c>
      <c r="U32" s="715">
        <f t="shared" si="13"/>
        <v>100</v>
      </c>
      <c r="V32" s="714" t="s">
        <v>17</v>
      </c>
      <c r="W32" s="715">
        <f t="shared" si="14"/>
        <v>100</v>
      </c>
      <c r="X32" s="1541"/>
      <c r="Y32" s="3324"/>
      <c r="Z32" s="1542" t="str">
        <f t="shared" si="15"/>
        <v>公共部分装修</v>
      </c>
      <c r="AA32" s="1539">
        <f t="shared" si="3"/>
        <v>1</v>
      </c>
      <c r="AB32" s="1539">
        <f t="shared" si="4"/>
        <v>1</v>
      </c>
      <c r="AC32" s="1539">
        <f t="shared" si="5"/>
        <v>1</v>
      </c>
    </row>
    <row r="33" spans="1:29" ht="15">
      <c r="A33" s="431"/>
      <c r="B33" s="381" t="s">
        <v>2478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4"/>
      <c r="Q33" s="1538" t="str">
        <f t="shared" si="11"/>
        <v>成新度</v>
      </c>
      <c r="R33" s="714" t="s">
        <v>17</v>
      </c>
      <c r="S33" s="715" t="e">
        <f t="shared" si="12"/>
        <v>#N/A</v>
      </c>
      <c r="T33" s="714" t="s">
        <v>17</v>
      </c>
      <c r="U33" s="715" t="e">
        <f t="shared" si="13"/>
        <v>#N/A</v>
      </c>
      <c r="V33" s="714" t="s">
        <v>17</v>
      </c>
      <c r="W33" s="715" t="e">
        <f t="shared" si="14"/>
        <v>#N/A</v>
      </c>
      <c r="X33" s="1541"/>
      <c r="Y33" s="3324"/>
      <c r="Z33" s="1542" t="str">
        <f t="shared" si="15"/>
        <v>成新度</v>
      </c>
      <c r="AA33" s="1539" t="e">
        <f t="shared" si="3"/>
        <v>#N/A</v>
      </c>
      <c r="AB33" s="1539" t="e">
        <f t="shared" si="4"/>
        <v>#N/A</v>
      </c>
      <c r="AC33" s="1539" t="e">
        <f t="shared" si="5"/>
        <v>#N/A</v>
      </c>
    </row>
    <row r="34" spans="1:29" s="113" customFormat="1" ht="15">
      <c r="A34" s="432"/>
      <c r="B34" s="381" t="s">
        <v>2511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4"/>
      <c r="Q34" s="1529" t="str">
        <f t="shared" si="11"/>
        <v>物业管理</v>
      </c>
      <c r="R34" s="710" t="s">
        <v>17</v>
      </c>
      <c r="S34" s="711">
        <f t="shared" si="12"/>
        <v>100</v>
      </c>
      <c r="T34" s="710" t="s">
        <v>17</v>
      </c>
      <c r="U34" s="711">
        <f t="shared" si="13"/>
        <v>100</v>
      </c>
      <c r="V34" s="710" t="s">
        <v>17</v>
      </c>
      <c r="W34" s="711">
        <f t="shared" si="14"/>
        <v>100</v>
      </c>
      <c r="X34" s="712"/>
      <c r="Y34" s="3324"/>
      <c r="Z34" s="55" t="str">
        <f t="shared" si="15"/>
        <v>物业管理</v>
      </c>
      <c r="AA34" s="713">
        <f t="shared" si="3"/>
        <v>1</v>
      </c>
      <c r="AB34" s="713">
        <f t="shared" si="4"/>
        <v>1</v>
      </c>
      <c r="AC34" s="713">
        <f t="shared" si="5"/>
        <v>1</v>
      </c>
    </row>
    <row r="35" spans="1:29" ht="15">
      <c r="A35" s="431"/>
      <c r="B35" s="381" t="s">
        <v>2479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4" t="s">
        <v>2381</v>
      </c>
      <c r="Q35" s="1538" t="str">
        <f t="shared" si="11"/>
        <v>市政基础设施</v>
      </c>
      <c r="R35" s="714" t="s">
        <v>17</v>
      </c>
      <c r="S35" s="715">
        <f t="shared" si="12"/>
        <v>100</v>
      </c>
      <c r="T35" s="714" t="s">
        <v>17</v>
      </c>
      <c r="U35" s="715">
        <f t="shared" si="13"/>
        <v>100</v>
      </c>
      <c r="V35" s="714" t="s">
        <v>17</v>
      </c>
      <c r="W35" s="715">
        <f t="shared" si="14"/>
        <v>100</v>
      </c>
      <c r="X35" s="1541"/>
      <c r="Y35" s="3324" t="s">
        <v>2381</v>
      </c>
      <c r="Z35" s="1542" t="str">
        <f t="shared" si="15"/>
        <v>市政基础设施</v>
      </c>
      <c r="AA35" s="1539">
        <f t="shared" si="3"/>
        <v>1</v>
      </c>
      <c r="AB35" s="1539">
        <f t="shared" si="4"/>
        <v>1</v>
      </c>
      <c r="AC35" s="1539">
        <f t="shared" si="5"/>
        <v>1</v>
      </c>
    </row>
    <row r="36" spans="1:29" ht="15">
      <c r="A36" s="431"/>
      <c r="B36" s="381" t="s">
        <v>2484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4"/>
      <c r="Q36" s="1538" t="str">
        <f t="shared" si="11"/>
        <v>内部装修</v>
      </c>
      <c r="R36" s="714" t="s">
        <v>17</v>
      </c>
      <c r="S36" s="715">
        <f t="shared" si="12"/>
        <v>100</v>
      </c>
      <c r="T36" s="714" t="s">
        <v>17</v>
      </c>
      <c r="U36" s="715">
        <f t="shared" si="13"/>
        <v>100</v>
      </c>
      <c r="V36" s="714" t="s">
        <v>17</v>
      </c>
      <c r="W36" s="715">
        <f t="shared" si="14"/>
        <v>100</v>
      </c>
      <c r="X36" s="1541"/>
      <c r="Y36" s="3324"/>
      <c r="Z36" s="1542" t="str">
        <f t="shared" si="15"/>
        <v>内部装修</v>
      </c>
      <c r="AA36" s="1539">
        <f t="shared" si="3"/>
        <v>1</v>
      </c>
      <c r="AB36" s="1539">
        <f t="shared" si="4"/>
        <v>1</v>
      </c>
      <c r="AC36" s="1539">
        <f t="shared" si="5"/>
        <v>1</v>
      </c>
    </row>
    <row r="37" spans="1:29" ht="15">
      <c r="A37" s="431"/>
      <c r="B37" s="381" t="s">
        <v>2520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4"/>
      <c r="Q37" s="1538" t="str">
        <f t="shared" si="11"/>
        <v>内部装修状况</v>
      </c>
      <c r="R37" s="714" t="s">
        <v>17</v>
      </c>
      <c r="S37" s="715">
        <f t="shared" si="12"/>
        <v>100</v>
      </c>
      <c r="T37" s="714" t="s">
        <v>17</v>
      </c>
      <c r="U37" s="715">
        <f t="shared" si="13"/>
        <v>100</v>
      </c>
      <c r="V37" s="714" t="s">
        <v>17</v>
      </c>
      <c r="W37" s="715">
        <f t="shared" si="14"/>
        <v>100</v>
      </c>
      <c r="X37" s="1541"/>
      <c r="Y37" s="3324"/>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4"/>
      <c r="Q38" s="716">
        <f t="shared" si="11"/>
        <v>111</v>
      </c>
      <c r="R38" s="717" t="s">
        <v>17</v>
      </c>
      <c r="S38" s="718">
        <f t="shared" si="12"/>
        <v>100</v>
      </c>
      <c r="T38" s="717" t="s">
        <v>17</v>
      </c>
      <c r="U38" s="718">
        <f t="shared" si="13"/>
        <v>100</v>
      </c>
      <c r="V38" s="717" t="s">
        <v>17</v>
      </c>
      <c r="W38" s="718">
        <f t="shared" si="14"/>
        <v>100</v>
      </c>
      <c r="X38" s="719"/>
      <c r="Y38" s="3324"/>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4"/>
      <c r="Q39" s="1538">
        <f t="shared" si="11"/>
        <v>111</v>
      </c>
      <c r="R39" s="714" t="s">
        <v>17</v>
      </c>
      <c r="S39" s="715">
        <f t="shared" si="12"/>
        <v>100</v>
      </c>
      <c r="T39" s="714" t="s">
        <v>17</v>
      </c>
      <c r="U39" s="715">
        <f t="shared" si="13"/>
        <v>100</v>
      </c>
      <c r="V39" s="714" t="s">
        <v>17</v>
      </c>
      <c r="W39" s="715">
        <f t="shared" si="14"/>
        <v>100</v>
      </c>
      <c r="X39" s="1541"/>
      <c r="Y39" s="3324"/>
      <c r="Z39" s="1542">
        <f t="shared" si="15"/>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5"/>
      <c r="Q40" s="1538">
        <f t="shared" si="11"/>
        <v>111</v>
      </c>
      <c r="R40" s="714" t="s">
        <v>17</v>
      </c>
      <c r="S40" s="715">
        <f t="shared" si="12"/>
        <v>100</v>
      </c>
      <c r="T40" s="714" t="s">
        <v>17</v>
      </c>
      <c r="U40" s="715">
        <f t="shared" si="13"/>
        <v>100</v>
      </c>
      <c r="V40" s="714" t="s">
        <v>17</v>
      </c>
      <c r="W40" s="715">
        <f t="shared" si="14"/>
        <v>100</v>
      </c>
      <c r="X40" s="1541"/>
      <c r="Y40" s="3325"/>
      <c r="Z40" s="1542">
        <f t="shared" si="15"/>
        <v>111</v>
      </c>
      <c r="AA40" s="1539">
        <f t="shared" si="3"/>
        <v>1</v>
      </c>
      <c r="AB40" s="1539">
        <f t="shared" si="4"/>
        <v>1</v>
      </c>
      <c r="AC40" s="1539">
        <f t="shared" si="5"/>
        <v>1</v>
      </c>
    </row>
    <row r="41" spans="1:29" ht="15">
      <c r="A41" s="438" t="s">
        <v>2393</v>
      </c>
      <c r="B41" s="439"/>
      <c r="C41" s="1316" t="s">
        <v>1</v>
      </c>
      <c r="D41" s="1317"/>
      <c r="E41" s="1318"/>
      <c r="F41" s="1319"/>
      <c r="G41" s="1320"/>
      <c r="H41" s="1321"/>
      <c r="I41" s="1318"/>
      <c r="J41" s="1321"/>
      <c r="K41" s="723"/>
      <c r="L41" s="1057"/>
      <c r="M41" s="1058"/>
      <c r="N41" s="1045"/>
      <c r="O41" s="1058"/>
      <c r="P41" s="3317" t="str">
        <f>A41</f>
        <v>成交单价（元/平方米）</v>
      </c>
      <c r="Q41" s="3317"/>
      <c r="R41" s="3318">
        <f>E41</f>
        <v>0</v>
      </c>
      <c r="S41" s="3318"/>
      <c r="T41" s="3318">
        <f>G41</f>
        <v>0</v>
      </c>
      <c r="U41" s="3318"/>
      <c r="V41" s="3318">
        <f>I41</f>
        <v>0</v>
      </c>
      <c r="W41" s="3318"/>
      <c r="X41" s="699"/>
      <c r="Y41" s="721"/>
      <c r="Z41" s="699"/>
      <c r="AA41" s="699"/>
      <c r="AB41" s="699"/>
      <c r="AC41" s="699"/>
    </row>
    <row r="42" spans="1:29" ht="15.75" thickBot="1">
      <c r="A42" s="445" t="s">
        <v>2485</v>
      </c>
      <c r="B42" s="446"/>
      <c r="C42" s="1322" t="e">
        <f>R43</f>
        <v>#DIV/0!</v>
      </c>
      <c r="D42" s="2539" t="s">
        <v>2876</v>
      </c>
      <c r="E42" s="1323" t="e">
        <f>R42</f>
        <v>#DIV/0!</v>
      </c>
      <c r="F42" s="2540"/>
      <c r="G42" s="1322" t="e">
        <f>T42</f>
        <v>#DIV/0!</v>
      </c>
      <c r="H42" s="2540"/>
      <c r="I42" s="1323" t="e">
        <f>V42</f>
        <v>#DIV/0!</v>
      </c>
      <c r="J42" s="2540"/>
      <c r="K42" s="2542">
        <f>F42+H42+J42</f>
        <v>0</v>
      </c>
      <c r="L42" s="1057"/>
      <c r="M42" s="1058"/>
      <c r="N42" s="1045"/>
      <c r="O42" s="1058"/>
      <c r="P42" s="3317" t="str">
        <f>A42</f>
        <v>比较价值（元/平方米）</v>
      </c>
      <c r="Q42" s="3317"/>
      <c r="R42" s="3318" t="e">
        <f>IF(F1="售价",ROUND(PRODUCT(R41,AA7:AA40),0),ROUND(PRODUCT(R41,AA7:AA40),1))</f>
        <v>#DIV/0!</v>
      </c>
      <c r="S42" s="3318"/>
      <c r="T42" s="3318" t="e">
        <f>IF(F1="售价",ROUND(PRODUCT(T41,AB7:AB40),0),ROUND(PRODUCT(T41,AB7:AB40),1))</f>
        <v>#DIV/0!</v>
      </c>
      <c r="U42" s="3318"/>
      <c r="V42" s="3318" t="e">
        <f>IF(F1="售价",ROUND(PRODUCT(V41,AC7:AC40),0),ROUND(PRODUCT(V41,AC7:AC40),1))</f>
        <v>#DIV/0!</v>
      </c>
      <c r="W42" s="3318"/>
      <c r="X42" s="699"/>
      <c r="Y42" s="699"/>
      <c r="Z42" s="699"/>
      <c r="AA42" s="699"/>
      <c r="AB42" s="699"/>
      <c r="AC42" s="699"/>
    </row>
    <row r="43" spans="1:29" ht="15.75" thickBot="1">
      <c r="A43" s="449" t="s">
        <v>2486</v>
      </c>
      <c r="B43" s="450"/>
      <c r="C43" s="1325" t="e">
        <f>R43</f>
        <v>#DIV/0!</v>
      </c>
      <c r="D43" s="1325"/>
      <c r="E43" s="1325"/>
      <c r="F43" s="1325"/>
      <c r="G43" s="1325"/>
      <c r="H43" s="1325"/>
      <c r="I43" s="1325"/>
      <c r="J43" s="1325"/>
      <c r="K43" s="724"/>
      <c r="L43" s="1057"/>
      <c r="M43" s="1058"/>
      <c r="N43" s="1058"/>
      <c r="O43" s="1058"/>
      <c r="P43" s="3314" t="str">
        <f>A43</f>
        <v>估价对象XX用房的比较价值（楼面单价，元/平方米）</v>
      </c>
      <c r="Q43" s="3315"/>
      <c r="R43" s="3316" t="e">
        <f>IF(F1="售价",ROUND(IF(D42="简单平均",AVERAGE(R42:V42),R42*F42+T42*H42+V42*J42),0),ROUND(IF(D42="简单平均",AVERAGE(R42:V42),R42*F42+T42*H42+V42*J42),1))</f>
        <v>#DIV/0!</v>
      </c>
      <c r="S43" s="3316"/>
      <c r="T43" s="3316"/>
      <c r="U43" s="3316"/>
      <c r="V43" s="3316"/>
      <c r="W43" s="3316"/>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2487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2488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2489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2490</v>
      </c>
      <c r="B51" s="699"/>
      <c r="C51" s="704"/>
      <c r="D51" s="704"/>
      <c r="E51" s="704"/>
      <c r="F51" s="705"/>
      <c r="G51" s="705"/>
      <c r="H51" s="704"/>
      <c r="I51" s="704"/>
      <c r="J51" s="704"/>
      <c r="K51" s="1072"/>
      <c r="L51" s="1073"/>
      <c r="M51" s="1071"/>
      <c r="N51" s="1071"/>
      <c r="O51" s="1071"/>
      <c r="P51" s="460"/>
      <c r="Q51" s="461"/>
    </row>
    <row r="52" spans="1:17" s="465" customFormat="1" ht="15">
      <c r="A52" s="462" t="s">
        <v>2364</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2401</v>
      </c>
      <c r="B54" s="473"/>
      <c r="C54" s="474"/>
      <c r="D54" s="475"/>
      <c r="E54" s="475"/>
      <c r="F54" s="475"/>
      <c r="G54" s="475"/>
      <c r="H54" s="475"/>
      <c r="I54" s="475"/>
      <c r="J54" s="475"/>
      <c r="K54" s="475"/>
      <c r="L54" s="475"/>
      <c r="M54" s="476"/>
      <c r="N54" s="3000"/>
      <c r="O54" s="3001"/>
      <c r="P54" s="461"/>
      <c r="Q54" s="461"/>
    </row>
    <row r="55" spans="1:17" s="113" customFormat="1" ht="15">
      <c r="A55" s="478" t="s">
        <v>2366</v>
      </c>
      <c r="B55" s="467"/>
      <c r="C55" s="479" t="s">
        <v>2468</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2404</v>
      </c>
      <c r="B57" s="485" t="s">
        <v>2370</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2373</v>
      </c>
      <c r="C59" s="496" t="s">
        <v>2405</v>
      </c>
      <c r="D59" s="496" t="s">
        <v>2406</v>
      </c>
      <c r="E59" s="496" t="s">
        <v>2407</v>
      </c>
      <c r="F59" s="496" t="s">
        <v>2408</v>
      </c>
      <c r="G59" s="496" t="s">
        <v>2409</v>
      </c>
      <c r="H59" s="496" t="s">
        <v>2410</v>
      </c>
      <c r="I59" s="496" t="s">
        <v>2411</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2375</v>
      </c>
      <c r="B70" s="485" t="s">
        <v>2521</v>
      </c>
      <c r="C70" s="530" t="s">
        <v>2413</v>
      </c>
      <c r="D70" s="530" t="s">
        <v>2414</v>
      </c>
      <c r="E70" s="530" t="s">
        <v>2415</v>
      </c>
      <c r="F70" s="530" t="s">
        <v>2416</v>
      </c>
      <c r="G70" s="530" t="s">
        <v>2417</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2418</v>
      </c>
      <c r="C72" s="535" t="s">
        <v>2413</v>
      </c>
      <c r="D72" s="535" t="s">
        <v>2414</v>
      </c>
      <c r="E72" s="535" t="s">
        <v>2415</v>
      </c>
      <c r="F72" s="535" t="s">
        <v>2416</v>
      </c>
      <c r="G72" s="535" t="s">
        <v>2417</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2419</v>
      </c>
      <c r="C74" s="535" t="s">
        <v>2413</v>
      </c>
      <c r="D74" s="535" t="s">
        <v>2414</v>
      </c>
      <c r="E74" s="535" t="s">
        <v>2415</v>
      </c>
      <c r="F74" s="535" t="s">
        <v>2416</v>
      </c>
      <c r="G74" s="535" t="s">
        <v>2417</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2505</v>
      </c>
      <c r="C76" s="616" t="s">
        <v>2491</v>
      </c>
      <c r="D76" s="616" t="s">
        <v>2492</v>
      </c>
      <c r="E76" s="616" t="s">
        <v>2493</v>
      </c>
      <c r="F76" s="616" t="s">
        <v>2494</v>
      </c>
      <c r="G76" s="616" t="s">
        <v>2495</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2514</v>
      </c>
      <c r="C78" s="535" t="s">
        <v>2413</v>
      </c>
      <c r="D78" s="535" t="s">
        <v>2414</v>
      </c>
      <c r="E78" s="535" t="s">
        <v>2415</v>
      </c>
      <c r="F78" s="535" t="s">
        <v>2416</v>
      </c>
      <c r="G78" s="535" t="s">
        <v>2417</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2379</v>
      </c>
      <c r="B88" s="485" t="s">
        <v>2428</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2429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2430</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2432</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2433</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2434</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2436</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2522</v>
      </c>
      <c r="C106" s="535" t="s">
        <v>2413</v>
      </c>
      <c r="D106" s="535" t="s">
        <v>2414</v>
      </c>
      <c r="E106" s="535" t="s">
        <v>2415</v>
      </c>
      <c r="F106" s="535" t="s">
        <v>2416</v>
      </c>
      <c r="G106" s="535" t="s">
        <v>2417</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2523</v>
      </c>
      <c r="B1" s="1391"/>
      <c r="C1" s="1392" t="s">
        <v>2346</v>
      </c>
      <c r="D1" s="1393"/>
      <c r="E1" s="1394"/>
      <c r="F1" s="2066"/>
      <c r="G1" s="1395" t="s">
        <v>2459</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8"/>
      <c r="D2" s="1038" t="e">
        <f ca="1">SUMIF(INDIRECT("'"&amp;F2&amp;"'"&amp;"!A:A"),"承租人权益价值",INDIRECT("'"&amp;F2&amp;"'"&amp;"!c:c"))</f>
        <v>#REF!</v>
      </c>
      <c r="E2" s="2069" t="s">
        <v>2147</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2460</v>
      </c>
      <c r="D3" s="359">
        <f>SUMIF('数据-汇总表'!$C19:$C33,D1,'数据-汇总表'!$E19:$E33)</f>
        <v>0</v>
      </c>
      <c r="E3" s="360" t="s">
        <v>2524</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2461</v>
      </c>
      <c r="B4" s="362"/>
      <c r="C4" s="3332" t="s">
        <v>2462</v>
      </c>
      <c r="D4" s="3333"/>
      <c r="E4" s="3334" t="s">
        <v>2463</v>
      </c>
      <c r="F4" s="3335"/>
      <c r="G4" s="3332" t="s">
        <v>2464</v>
      </c>
      <c r="H4" s="3333"/>
      <c r="I4" s="3332" t="s">
        <v>2465</v>
      </c>
      <c r="J4" s="3333"/>
      <c r="K4" s="567" t="s">
        <v>2466</v>
      </c>
      <c r="L4" s="2945"/>
      <c r="M4" s="2946"/>
      <c r="N4" s="2946"/>
      <c r="O4" s="2946"/>
      <c r="P4" s="3336" t="s">
        <v>2467</v>
      </c>
      <c r="Q4" s="3337"/>
      <c r="R4" s="3342" t="s">
        <v>2463</v>
      </c>
      <c r="S4" s="3343"/>
      <c r="T4" s="3342" t="s">
        <v>2464</v>
      </c>
      <c r="U4" s="3343"/>
      <c r="V4" s="3348" t="s">
        <v>2465</v>
      </c>
      <c r="W4" s="3348"/>
      <c r="X4" s="1541"/>
      <c r="Y4" s="3342" t="s">
        <v>2467</v>
      </c>
      <c r="Z4" s="3343"/>
      <c r="AA4" s="3329" t="s">
        <v>2463</v>
      </c>
      <c r="AB4" s="3330" t="s">
        <v>2464</v>
      </c>
      <c r="AC4" s="3329" t="s">
        <v>2465</v>
      </c>
    </row>
    <row r="5" spans="1:29" ht="15">
      <c r="A5" s="364"/>
      <c r="B5" s="365"/>
      <c r="C5" s="3351" t="s">
        <v>2358</v>
      </c>
      <c r="D5" s="3352"/>
      <c r="E5" s="3358" t="s">
        <v>2359</v>
      </c>
      <c r="F5" s="3359"/>
      <c r="G5" s="3351" t="s">
        <v>2360</v>
      </c>
      <c r="H5" s="3352"/>
      <c r="I5" s="3351" t="s">
        <v>2361</v>
      </c>
      <c r="J5" s="3352"/>
      <c r="K5" s="567"/>
      <c r="L5" s="2945"/>
      <c r="M5" s="2946"/>
      <c r="N5" s="2946"/>
      <c r="O5" s="2946"/>
      <c r="P5" s="3338"/>
      <c r="Q5" s="3339"/>
      <c r="R5" s="3344"/>
      <c r="S5" s="3345"/>
      <c r="T5" s="3344"/>
      <c r="U5" s="3345"/>
      <c r="V5" s="3348"/>
      <c r="W5" s="3348"/>
      <c r="X5" s="1541"/>
      <c r="Y5" s="3344"/>
      <c r="Z5" s="3345"/>
      <c r="AA5" s="3330"/>
      <c r="AB5" s="3330"/>
      <c r="AC5" s="3330"/>
    </row>
    <row r="6" spans="1:29" ht="15.75" thickBot="1">
      <c r="A6" s="366"/>
      <c r="B6" s="367"/>
      <c r="C6" s="3349" t="s">
        <v>2362</v>
      </c>
      <c r="D6" s="3350"/>
      <c r="E6" s="3356" t="s">
        <v>2362</v>
      </c>
      <c r="F6" s="3357"/>
      <c r="G6" s="3349" t="s">
        <v>2362</v>
      </c>
      <c r="H6" s="3350"/>
      <c r="I6" s="3349" t="s">
        <v>2362</v>
      </c>
      <c r="J6" s="3350"/>
      <c r="K6" s="567" t="s">
        <v>2363</v>
      </c>
      <c r="L6" s="2945"/>
      <c r="M6" s="2946"/>
      <c r="N6" s="2946"/>
      <c r="O6" s="2946"/>
      <c r="P6" s="3340"/>
      <c r="Q6" s="3341"/>
      <c r="R6" s="3344"/>
      <c r="S6" s="3345"/>
      <c r="T6" s="3346"/>
      <c r="U6" s="3347"/>
      <c r="V6" s="3348"/>
      <c r="W6" s="3348"/>
      <c r="X6" s="1541"/>
      <c r="Y6" s="3346"/>
      <c r="Z6" s="3347"/>
      <c r="AA6" s="3331"/>
      <c r="AB6" s="3331"/>
      <c r="AC6" s="3331"/>
    </row>
    <row r="7" spans="1:29" s="113" customFormat="1" ht="15.75" thickBot="1">
      <c r="A7" s="368" t="s">
        <v>2364</v>
      </c>
      <c r="B7" s="369"/>
      <c r="C7" s="370">
        <f>'数据-取费表'!B2</f>
        <v>44134</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53" t="s">
        <v>2365</v>
      </c>
      <c r="Q7" s="3355"/>
      <c r="R7" s="710" t="s">
        <v>17</v>
      </c>
      <c r="S7" s="711">
        <f t="shared" ref="S7:S14" si="0">F7</f>
        <v>0</v>
      </c>
      <c r="T7" s="710" t="s">
        <v>17</v>
      </c>
      <c r="U7" s="711">
        <f t="shared" ref="U7:U14" si="1">H7</f>
        <v>0</v>
      </c>
      <c r="V7" s="710" t="s">
        <v>17</v>
      </c>
      <c r="W7" s="711">
        <f t="shared" ref="W7:W14" si="2">J7</f>
        <v>0</v>
      </c>
      <c r="X7" s="712"/>
      <c r="Y7" s="3353" t="s">
        <v>2365</v>
      </c>
      <c r="Z7" s="3354"/>
      <c r="AA7" s="713" t="e">
        <f>D7/F7</f>
        <v>#DIV/0!</v>
      </c>
      <c r="AB7" s="713" t="e">
        <f>D7/H7</f>
        <v>#DIV/0!</v>
      </c>
      <c r="AC7" s="713" t="e">
        <f>D7/J7</f>
        <v>#DIV/0!</v>
      </c>
    </row>
    <row r="8" spans="1:29" s="113" customFormat="1" ht="15.75" thickBot="1">
      <c r="A8" s="368" t="s">
        <v>2366</v>
      </c>
      <c r="B8" s="369"/>
      <c r="C8" s="374" t="s">
        <v>2468</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53" t="s">
        <v>2368</v>
      </c>
      <c r="Q8" s="3354"/>
      <c r="R8" s="710" t="s">
        <v>17</v>
      </c>
      <c r="S8" s="711">
        <f t="shared" si="0"/>
        <v>0</v>
      </c>
      <c r="T8" s="710" t="s">
        <v>17</v>
      </c>
      <c r="U8" s="711">
        <f t="shared" si="1"/>
        <v>0</v>
      </c>
      <c r="V8" s="710" t="s">
        <v>17</v>
      </c>
      <c r="W8" s="711">
        <f t="shared" si="2"/>
        <v>0</v>
      </c>
      <c r="X8" s="712"/>
      <c r="Y8" s="3353" t="s">
        <v>2368</v>
      </c>
      <c r="Z8" s="3354"/>
      <c r="AA8" s="713" t="e">
        <f t="shared" ref="AA8:AA36" si="3">D8/F8</f>
        <v>#DIV/0!</v>
      </c>
      <c r="AB8" s="713" t="e">
        <f t="shared" ref="AB8:AB36" si="4">D8/H8</f>
        <v>#DIV/0!</v>
      </c>
      <c r="AC8" s="713" t="e">
        <f t="shared" ref="AC8:AC36" si="5">D8/J8</f>
        <v>#DIV/0!</v>
      </c>
    </row>
    <row r="9" spans="1:29" s="113" customFormat="1">
      <c r="A9" s="64" t="s">
        <v>2369</v>
      </c>
      <c r="B9" s="596" t="s">
        <v>2370</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17" t="s">
        <v>2371</v>
      </c>
      <c r="Q9" s="1529" t="str">
        <f t="shared" ref="Q9:Q14" si="6">B9</f>
        <v>用途</v>
      </c>
      <c r="R9" s="710" t="s">
        <v>17</v>
      </c>
      <c r="S9" s="711">
        <f t="shared" si="0"/>
        <v>100</v>
      </c>
      <c r="T9" s="710" t="s">
        <v>17</v>
      </c>
      <c r="U9" s="711">
        <f t="shared" si="1"/>
        <v>100</v>
      </c>
      <c r="V9" s="710" t="s">
        <v>17</v>
      </c>
      <c r="W9" s="711">
        <f t="shared" si="2"/>
        <v>100</v>
      </c>
      <c r="X9" s="712"/>
      <c r="Y9" s="3187" t="s">
        <v>2372</v>
      </c>
      <c r="Z9" s="55" t="str">
        <f t="shared" ref="Z9:Z14" si="7">Q9</f>
        <v>用途</v>
      </c>
      <c r="AA9" s="713">
        <f t="shared" si="3"/>
        <v>1</v>
      </c>
      <c r="AB9" s="713">
        <f t="shared" si="4"/>
        <v>1</v>
      </c>
      <c r="AC9" s="713">
        <f t="shared" si="5"/>
        <v>1</v>
      </c>
    </row>
    <row r="10" spans="1:29" s="386" customFormat="1" ht="27">
      <c r="A10" s="597"/>
      <c r="B10" s="598" t="s">
        <v>2373</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17"/>
      <c r="Q10" s="1529"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17"/>
      <c r="Q11" s="1529">
        <f t="shared" si="6"/>
        <v>111</v>
      </c>
      <c r="R11" s="710" t="s">
        <v>17</v>
      </c>
      <c r="S11" s="711">
        <f t="shared" si="0"/>
        <v>100</v>
      </c>
      <c r="T11" s="710" t="s">
        <v>17</v>
      </c>
      <c r="U11" s="711">
        <f t="shared" si="1"/>
        <v>100</v>
      </c>
      <c r="V11" s="710" t="s">
        <v>17</v>
      </c>
      <c r="W11" s="711">
        <f t="shared" si="2"/>
        <v>100</v>
      </c>
      <c r="X11" s="712"/>
      <c r="Y11" s="318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17"/>
      <c r="Q12" s="1529">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17"/>
      <c r="Q13" s="1529">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85.5">
      <c r="A14" s="361" t="s">
        <v>2375</v>
      </c>
      <c r="B14" s="585" t="s">
        <v>2525</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19" t="s">
        <v>2376</v>
      </c>
      <c r="Q14" s="1538" t="str">
        <f t="shared" si="6"/>
        <v>交通便捷度</v>
      </c>
      <c r="R14" s="714" t="s">
        <v>17</v>
      </c>
      <c r="S14" s="715">
        <f t="shared" si="0"/>
        <v>100</v>
      </c>
      <c r="T14" s="714" t="s">
        <v>17</v>
      </c>
      <c r="U14" s="715">
        <f t="shared" si="1"/>
        <v>100</v>
      </c>
      <c r="V14" s="714" t="s">
        <v>17</v>
      </c>
      <c r="W14" s="715">
        <f t="shared" si="2"/>
        <v>100</v>
      </c>
      <c r="X14" s="1541"/>
      <c r="Y14" s="3319" t="s">
        <v>2376</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20"/>
      <c r="Q15" s="1538"/>
      <c r="R15" s="714"/>
      <c r="S15" s="715"/>
      <c r="T15" s="714"/>
      <c r="U15" s="715"/>
      <c r="V15" s="714"/>
      <c r="W15" s="715"/>
      <c r="X15" s="1541"/>
      <c r="Y15" s="3320"/>
      <c r="Z15" s="1542"/>
      <c r="AA15" s="1539">
        <v>1</v>
      </c>
      <c r="AB15" s="1539">
        <v>1</v>
      </c>
      <c r="AC15" s="1539">
        <v>1</v>
      </c>
    </row>
    <row r="16" spans="1:29" ht="42.75">
      <c r="A16" s="364"/>
      <c r="B16" s="587" t="s">
        <v>2504</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20"/>
      <c r="Q16" s="1538" t="str">
        <f>B16</f>
        <v>公共配套设施</v>
      </c>
      <c r="R16" s="714" t="s">
        <v>17</v>
      </c>
      <c r="S16" s="715">
        <f>F16</f>
        <v>100</v>
      </c>
      <c r="T16" s="714" t="s">
        <v>17</v>
      </c>
      <c r="U16" s="715">
        <f>H16</f>
        <v>100</v>
      </c>
      <c r="V16" s="714" t="s">
        <v>17</v>
      </c>
      <c r="W16" s="715">
        <f>J16</f>
        <v>100</v>
      </c>
      <c r="X16" s="1541"/>
      <c r="Y16" s="3320"/>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2"/>
      <c r="M17" s="2946"/>
      <c r="N17" s="2946"/>
      <c r="O17" s="2946"/>
      <c r="P17" s="3320"/>
      <c r="Q17" s="1538"/>
      <c r="R17" s="714"/>
      <c r="S17" s="715"/>
      <c r="T17" s="714"/>
      <c r="U17" s="715"/>
      <c r="V17" s="714"/>
      <c r="W17" s="715"/>
      <c r="X17" s="1541"/>
      <c r="Y17" s="3320"/>
      <c r="Z17" s="1542"/>
      <c r="AA17" s="1539">
        <v>1</v>
      </c>
      <c r="AB17" s="1539">
        <v>1</v>
      </c>
      <c r="AC17" s="1539">
        <v>1</v>
      </c>
    </row>
    <row r="18" spans="1:29" ht="28.5">
      <c r="A18" s="364"/>
      <c r="B18" s="589" t="s">
        <v>2505</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20"/>
      <c r="Q18" s="1538" t="str">
        <f>B18</f>
        <v>基础设施水平</v>
      </c>
      <c r="R18" s="714" t="s">
        <v>17</v>
      </c>
      <c r="S18" s="715">
        <f>F18</f>
        <v>100</v>
      </c>
      <c r="T18" s="714" t="s">
        <v>17</v>
      </c>
      <c r="U18" s="715">
        <f>H18</f>
        <v>100</v>
      </c>
      <c r="V18" s="714" t="s">
        <v>17</v>
      </c>
      <c r="W18" s="715">
        <f>J18</f>
        <v>100</v>
      </c>
      <c r="X18" s="1541"/>
      <c r="Y18" s="3320"/>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2"/>
      <c r="M19" s="2946"/>
      <c r="N19" s="2946"/>
      <c r="O19" s="2946"/>
      <c r="P19" s="3320"/>
      <c r="Q19" s="1538"/>
      <c r="R19" s="714"/>
      <c r="S19" s="715"/>
      <c r="T19" s="714"/>
      <c r="U19" s="715"/>
      <c r="V19" s="714"/>
      <c r="W19" s="715"/>
      <c r="X19" s="1541"/>
      <c r="Y19" s="3320"/>
      <c r="Z19" s="1542"/>
      <c r="AA19" s="1539">
        <v>1</v>
      </c>
      <c r="AB19" s="1539">
        <v>1</v>
      </c>
      <c r="AC19" s="1539">
        <v>1</v>
      </c>
    </row>
    <row r="20" spans="1:29" ht="57">
      <c r="A20" s="364"/>
      <c r="B20" s="587" t="s">
        <v>2526</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20"/>
      <c r="Q20" s="1538" t="str">
        <f>B20</f>
        <v>自然及人文环境</v>
      </c>
      <c r="R20" s="714" t="s">
        <v>17</v>
      </c>
      <c r="S20" s="715">
        <f>F20</f>
        <v>100</v>
      </c>
      <c r="T20" s="714" t="s">
        <v>17</v>
      </c>
      <c r="U20" s="715">
        <f>H20</f>
        <v>100</v>
      </c>
      <c r="V20" s="714" t="s">
        <v>17</v>
      </c>
      <c r="W20" s="715">
        <f>J20</f>
        <v>100</v>
      </c>
      <c r="X20" s="1541"/>
      <c r="Y20" s="3320"/>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20"/>
      <c r="Q21" s="1538"/>
      <c r="R21" s="714"/>
      <c r="S21" s="715"/>
      <c r="T21" s="714"/>
      <c r="U21" s="715"/>
      <c r="V21" s="714"/>
      <c r="W21" s="715"/>
      <c r="X21" s="1541"/>
      <c r="Y21" s="3320"/>
      <c r="Z21" s="1542"/>
      <c r="AA21" s="1539">
        <v>1</v>
      </c>
      <c r="AB21" s="1539">
        <v>1</v>
      </c>
      <c r="AC21" s="1539">
        <v>1</v>
      </c>
    </row>
    <row r="22" spans="1:29" ht="15">
      <c r="A22" s="364"/>
      <c r="B22" s="587" t="s">
        <v>2527</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20"/>
      <c r="Q22" s="1538" t="str">
        <f>B22</f>
        <v>楼层</v>
      </c>
      <c r="R22" s="714" t="s">
        <v>17</v>
      </c>
      <c r="S22" s="715">
        <f>F22</f>
        <v>100</v>
      </c>
      <c r="T22" s="714" t="s">
        <v>17</v>
      </c>
      <c r="U22" s="715">
        <f>H22</f>
        <v>100</v>
      </c>
      <c r="V22" s="714" t="s">
        <v>17</v>
      </c>
      <c r="W22" s="715">
        <f>J22</f>
        <v>100</v>
      </c>
      <c r="X22" s="1541"/>
      <c r="Y22" s="3320"/>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20"/>
      <c r="Q23" s="1538">
        <f>B23</f>
        <v>111</v>
      </c>
      <c r="R23" s="714" t="s">
        <v>17</v>
      </c>
      <c r="S23" s="715">
        <f>F23</f>
        <v>100</v>
      </c>
      <c r="T23" s="714" t="s">
        <v>17</v>
      </c>
      <c r="U23" s="715">
        <f>H23</f>
        <v>100</v>
      </c>
      <c r="V23" s="714" t="s">
        <v>17</v>
      </c>
      <c r="W23" s="715">
        <f>J23</f>
        <v>100</v>
      </c>
      <c r="X23" s="1541"/>
      <c r="Y23" s="3320"/>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20"/>
      <c r="Q24" s="1538">
        <f t="shared" ref="Q24:Q36" si="11">B24</f>
        <v>111</v>
      </c>
      <c r="R24" s="714" t="s">
        <v>17</v>
      </c>
      <c r="S24" s="715">
        <f>F24</f>
        <v>100</v>
      </c>
      <c r="T24" s="714" t="s">
        <v>17</v>
      </c>
      <c r="U24" s="715">
        <f>H24</f>
        <v>100</v>
      </c>
      <c r="V24" s="714" t="s">
        <v>17</v>
      </c>
      <c r="W24" s="715">
        <f>J24</f>
        <v>100</v>
      </c>
      <c r="X24" s="1541"/>
      <c r="Y24" s="3320"/>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20"/>
      <c r="Q25" s="1529">
        <f t="shared" si="11"/>
        <v>111</v>
      </c>
      <c r="R25" s="710" t="s">
        <v>17</v>
      </c>
      <c r="S25" s="711">
        <f>F25</f>
        <v>100</v>
      </c>
      <c r="T25" s="710" t="s">
        <v>17</v>
      </c>
      <c r="U25" s="711">
        <f>H25</f>
        <v>100</v>
      </c>
      <c r="V25" s="710" t="s">
        <v>17</v>
      </c>
      <c r="W25" s="711">
        <f>J25</f>
        <v>100</v>
      </c>
      <c r="X25" s="712"/>
      <c r="Y25" s="3320"/>
      <c r="Z25" s="55">
        <f>Q25</f>
        <v>111</v>
      </c>
      <c r="AA25" s="1539">
        <f>D25/F25</f>
        <v>1</v>
      </c>
      <c r="AB25" s="1539">
        <f>D25/H25</f>
        <v>1</v>
      </c>
      <c r="AC25" s="1539">
        <f>D25/J25</f>
        <v>1</v>
      </c>
    </row>
    <row r="26" spans="1:29" ht="28.5">
      <c r="A26" s="608" t="s">
        <v>2379</v>
      </c>
      <c r="B26" s="66" t="s">
        <v>2528</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75" t="s">
        <v>2381</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4" t="s">
        <v>2381</v>
      </c>
      <c r="Z26" s="1542" t="str">
        <f t="shared" ref="Z26:Z36" si="15">Q26</f>
        <v>配套类型</v>
      </c>
      <c r="AA26" s="1539">
        <f t="shared" si="3"/>
        <v>1</v>
      </c>
      <c r="AB26" s="1539">
        <f t="shared" si="4"/>
        <v>1</v>
      </c>
      <c r="AC26" s="1539">
        <f t="shared" si="5"/>
        <v>1</v>
      </c>
    </row>
    <row r="27" spans="1:29" s="430" customFormat="1" ht="15">
      <c r="A27" s="609"/>
      <c r="B27" s="610" t="s">
        <v>2529</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24"/>
      <c r="Q27" s="716" t="str">
        <f t="shared" si="11"/>
        <v>项目停车位配比</v>
      </c>
      <c r="R27" s="717" t="s">
        <v>17</v>
      </c>
      <c r="S27" s="718">
        <f t="shared" si="12"/>
        <v>100</v>
      </c>
      <c r="T27" s="717" t="s">
        <v>17</v>
      </c>
      <c r="U27" s="718">
        <f t="shared" si="13"/>
        <v>100</v>
      </c>
      <c r="V27" s="717" t="s">
        <v>17</v>
      </c>
      <c r="W27" s="718">
        <f t="shared" si="14"/>
        <v>100</v>
      </c>
      <c r="X27" s="719"/>
      <c r="Y27" s="3324"/>
      <c r="Z27" s="720" t="str">
        <f t="shared" si="15"/>
        <v>项目停车位配比</v>
      </c>
      <c r="AA27" s="1539">
        <f t="shared" si="3"/>
        <v>1</v>
      </c>
      <c r="AB27" s="1539">
        <f t="shared" si="4"/>
        <v>1</v>
      </c>
      <c r="AC27" s="1539">
        <f t="shared" si="5"/>
        <v>1</v>
      </c>
    </row>
    <row r="28" spans="1:29" ht="15">
      <c r="A28" s="612"/>
      <c r="B28" s="610" t="s">
        <v>2530</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24"/>
      <c r="Q28" s="1538" t="str">
        <f t="shared" si="11"/>
        <v>公共部分装修</v>
      </c>
      <c r="R28" s="714" t="s">
        <v>17</v>
      </c>
      <c r="S28" s="715">
        <f t="shared" si="12"/>
        <v>100</v>
      </c>
      <c r="T28" s="714" t="s">
        <v>17</v>
      </c>
      <c r="U28" s="715">
        <f t="shared" si="13"/>
        <v>100</v>
      </c>
      <c r="V28" s="714" t="s">
        <v>17</v>
      </c>
      <c r="W28" s="715">
        <f t="shared" si="14"/>
        <v>100</v>
      </c>
      <c r="X28" s="1541"/>
      <c r="Y28" s="3324"/>
      <c r="Z28" s="1542" t="str">
        <f t="shared" si="15"/>
        <v>公共部分装修</v>
      </c>
      <c r="AA28" s="1539">
        <f t="shared" si="3"/>
        <v>1</v>
      </c>
      <c r="AB28" s="1539">
        <f t="shared" si="4"/>
        <v>1</v>
      </c>
      <c r="AC28" s="1539">
        <f t="shared" si="5"/>
        <v>1</v>
      </c>
    </row>
    <row r="29" spans="1:29" ht="15">
      <c r="A29" s="612"/>
      <c r="B29" s="610" t="s">
        <v>2531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24"/>
      <c r="Q29" s="1538" t="str">
        <f t="shared" si="11"/>
        <v>成新率</v>
      </c>
      <c r="R29" s="714" t="s">
        <v>17</v>
      </c>
      <c r="S29" s="715" t="e">
        <f t="shared" si="12"/>
        <v>#N/A</v>
      </c>
      <c r="T29" s="714" t="s">
        <v>17</v>
      </c>
      <c r="U29" s="715" t="e">
        <f t="shared" si="13"/>
        <v>#N/A</v>
      </c>
      <c r="V29" s="714" t="s">
        <v>17</v>
      </c>
      <c r="W29" s="715" t="e">
        <f t="shared" si="14"/>
        <v>#N/A</v>
      </c>
      <c r="X29" s="1541"/>
      <c r="Y29" s="3324"/>
      <c r="Z29" s="1542" t="str">
        <f t="shared" si="15"/>
        <v>成新率</v>
      </c>
      <c r="AA29" s="1539" t="e">
        <f t="shared" si="3"/>
        <v>#N/A</v>
      </c>
      <c r="AB29" s="1539" t="e">
        <f t="shared" si="4"/>
        <v>#N/A</v>
      </c>
      <c r="AC29" s="1539" t="e">
        <f t="shared" si="5"/>
        <v>#N/A</v>
      </c>
    </row>
    <row r="30" spans="1:29" ht="15">
      <c r="A30" s="612"/>
      <c r="B30" s="610" t="s">
        <v>2532</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24"/>
      <c r="Q30" s="1538" t="str">
        <f t="shared" si="11"/>
        <v>物业等级</v>
      </c>
      <c r="R30" s="714" t="s">
        <v>17</v>
      </c>
      <c r="S30" s="715">
        <f t="shared" si="12"/>
        <v>100</v>
      </c>
      <c r="T30" s="714" t="s">
        <v>17</v>
      </c>
      <c r="U30" s="715">
        <f t="shared" si="13"/>
        <v>100</v>
      </c>
      <c r="V30" s="714" t="s">
        <v>17</v>
      </c>
      <c r="W30" s="715">
        <f t="shared" si="14"/>
        <v>100</v>
      </c>
      <c r="X30" s="1541"/>
      <c r="Y30" s="3324"/>
      <c r="Z30" s="1542" t="str">
        <f t="shared" si="15"/>
        <v>物业等级</v>
      </c>
      <c r="AA30" s="1539">
        <f t="shared" si="3"/>
        <v>1</v>
      </c>
      <c r="AB30" s="1539">
        <f t="shared" si="4"/>
        <v>1</v>
      </c>
      <c r="AC30" s="1539">
        <f t="shared" si="5"/>
        <v>1</v>
      </c>
    </row>
    <row r="31" spans="1:29" s="113" customFormat="1" ht="15">
      <c r="A31" s="614"/>
      <c r="B31" s="610" t="s">
        <v>2533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24"/>
      <c r="Q31" s="1529" t="str">
        <f t="shared" si="11"/>
        <v>停车位面积</v>
      </c>
      <c r="R31" s="710" t="s">
        <v>17</v>
      </c>
      <c r="S31" s="711" t="e">
        <f t="shared" si="12"/>
        <v>#N/A</v>
      </c>
      <c r="T31" s="710" t="s">
        <v>17</v>
      </c>
      <c r="U31" s="711" t="e">
        <f t="shared" si="13"/>
        <v>#N/A</v>
      </c>
      <c r="V31" s="710" t="s">
        <v>17</v>
      </c>
      <c r="W31" s="711" t="e">
        <f t="shared" si="14"/>
        <v>#N/A</v>
      </c>
      <c r="X31" s="712"/>
      <c r="Y31" s="3324"/>
      <c r="Z31" s="55" t="str">
        <f t="shared" si="15"/>
        <v>停车位面积</v>
      </c>
      <c r="AA31" s="713" t="e">
        <f t="shared" si="3"/>
        <v>#N/A</v>
      </c>
      <c r="AB31" s="713" t="e">
        <f t="shared" si="4"/>
        <v>#N/A</v>
      </c>
      <c r="AC31" s="713" t="e">
        <f t="shared" si="5"/>
        <v>#N/A</v>
      </c>
    </row>
    <row r="32" spans="1:29" ht="15">
      <c r="A32" s="612"/>
      <c r="B32" s="610" t="s">
        <v>2534</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24" t="s">
        <v>2381</v>
      </c>
      <c r="Q32" s="1538" t="str">
        <f t="shared" si="11"/>
        <v>车位类型</v>
      </c>
      <c r="R32" s="714" t="s">
        <v>17</v>
      </c>
      <c r="S32" s="715">
        <f t="shared" si="12"/>
        <v>100</v>
      </c>
      <c r="T32" s="714" t="s">
        <v>17</v>
      </c>
      <c r="U32" s="715">
        <f t="shared" si="13"/>
        <v>100</v>
      </c>
      <c r="V32" s="714" t="s">
        <v>17</v>
      </c>
      <c r="W32" s="715">
        <f t="shared" si="14"/>
        <v>100</v>
      </c>
      <c r="X32" s="1541"/>
      <c r="Y32" s="3324" t="s">
        <v>2381</v>
      </c>
      <c r="Z32" s="1542" t="str">
        <f t="shared" si="15"/>
        <v>车位类型</v>
      </c>
      <c r="AA32" s="1539">
        <f t="shared" si="3"/>
        <v>1</v>
      </c>
      <c r="AB32" s="1539">
        <f t="shared" si="4"/>
        <v>1</v>
      </c>
      <c r="AC32" s="1539">
        <f t="shared" si="5"/>
        <v>1</v>
      </c>
    </row>
    <row r="33" spans="1:29" ht="15">
      <c r="A33" s="612"/>
      <c r="B33" s="610" t="s">
        <v>2535</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24"/>
      <c r="Q33" s="1538" t="str">
        <f t="shared" si="11"/>
        <v>是否直接入户</v>
      </c>
      <c r="R33" s="714" t="s">
        <v>17</v>
      </c>
      <c r="S33" s="715">
        <f t="shared" si="12"/>
        <v>100</v>
      </c>
      <c r="T33" s="714" t="s">
        <v>17</v>
      </c>
      <c r="U33" s="715">
        <f t="shared" si="13"/>
        <v>100</v>
      </c>
      <c r="V33" s="714" t="s">
        <v>17</v>
      </c>
      <c r="W33" s="715">
        <f t="shared" si="14"/>
        <v>100</v>
      </c>
      <c r="X33" s="1541"/>
      <c r="Y33" s="3324"/>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24"/>
      <c r="Q34" s="1538">
        <f t="shared" si="11"/>
        <v>111</v>
      </c>
      <c r="R34" s="714" t="s">
        <v>17</v>
      </c>
      <c r="S34" s="715">
        <f t="shared" si="12"/>
        <v>100</v>
      </c>
      <c r="T34" s="714" t="s">
        <v>17</v>
      </c>
      <c r="U34" s="715">
        <f t="shared" si="13"/>
        <v>100</v>
      </c>
      <c r="V34" s="714" t="s">
        <v>17</v>
      </c>
      <c r="W34" s="715">
        <f t="shared" si="14"/>
        <v>100</v>
      </c>
      <c r="X34" s="1541"/>
      <c r="Y34" s="3324"/>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24"/>
      <c r="Q35" s="716">
        <f t="shared" si="11"/>
        <v>111</v>
      </c>
      <c r="R35" s="717" t="s">
        <v>17</v>
      </c>
      <c r="S35" s="718">
        <f t="shared" si="12"/>
        <v>100</v>
      </c>
      <c r="T35" s="717" t="s">
        <v>17</v>
      </c>
      <c r="U35" s="718">
        <f t="shared" si="13"/>
        <v>100</v>
      </c>
      <c r="V35" s="717" t="s">
        <v>17</v>
      </c>
      <c r="W35" s="718">
        <f t="shared" si="14"/>
        <v>100</v>
      </c>
      <c r="X35" s="719"/>
      <c r="Y35" s="3324"/>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24"/>
      <c r="Q36" s="1538">
        <f t="shared" si="11"/>
        <v>111</v>
      </c>
      <c r="R36" s="714" t="s">
        <v>17</v>
      </c>
      <c r="S36" s="715">
        <f t="shared" si="12"/>
        <v>100</v>
      </c>
      <c r="T36" s="714" t="s">
        <v>17</v>
      </c>
      <c r="U36" s="715">
        <f t="shared" si="13"/>
        <v>100</v>
      </c>
      <c r="V36" s="714" t="s">
        <v>17</v>
      </c>
      <c r="W36" s="715">
        <f t="shared" si="14"/>
        <v>100</v>
      </c>
      <c r="X36" s="1541"/>
      <c r="Y36" s="3324"/>
      <c r="Z36" s="1542">
        <f t="shared" si="15"/>
        <v>111</v>
      </c>
      <c r="AA36" s="1539">
        <f t="shared" si="3"/>
        <v>1</v>
      </c>
      <c r="AB36" s="1539">
        <f t="shared" si="4"/>
        <v>1</v>
      </c>
      <c r="AC36" s="1539">
        <f t="shared" si="5"/>
        <v>1</v>
      </c>
    </row>
    <row r="37" spans="1:29" ht="15">
      <c r="A37" s="438" t="s">
        <v>2536</v>
      </c>
      <c r="B37" s="2160" t="s">
        <v>2537</v>
      </c>
      <c r="C37" s="1316" t="s">
        <v>1</v>
      </c>
      <c r="D37" s="1317"/>
      <c r="E37" s="1318"/>
      <c r="F37" s="1319"/>
      <c r="G37" s="1320"/>
      <c r="H37" s="1321"/>
      <c r="I37" s="1318"/>
      <c r="J37" s="1321"/>
      <c r="K37" s="576"/>
      <c r="L37" s="2954"/>
      <c r="M37" s="2955"/>
      <c r="N37" s="2946"/>
      <c r="O37" s="2955"/>
      <c r="P37" s="3317" t="str">
        <f>A37</f>
        <v>成交单价</v>
      </c>
      <c r="Q37" s="3317"/>
      <c r="R37" s="3318">
        <f>E37</f>
        <v>0</v>
      </c>
      <c r="S37" s="3318"/>
      <c r="T37" s="3318">
        <f>G37</f>
        <v>0</v>
      </c>
      <c r="U37" s="3318"/>
      <c r="V37" s="3318">
        <f>I37</f>
        <v>0</v>
      </c>
      <c r="W37" s="3318"/>
      <c r="X37" s="699"/>
      <c r="Y37" s="721"/>
      <c r="Z37" s="699"/>
      <c r="AA37" s="699"/>
      <c r="AB37" s="699"/>
      <c r="AC37" s="699"/>
    </row>
    <row r="38" spans="1:29" ht="15.75" thickBot="1">
      <c r="A38" s="445" t="s">
        <v>2538</v>
      </c>
      <c r="B38" s="446" t="str">
        <f>B37</f>
        <v>元/车位</v>
      </c>
      <c r="C38" s="1322" t="e">
        <f>R39</f>
        <v>#DIV/0!</v>
      </c>
      <c r="D38" s="2539" t="s">
        <v>2876</v>
      </c>
      <c r="E38" s="1323" t="e">
        <f>R38</f>
        <v>#DIV/0!</v>
      </c>
      <c r="F38" s="2540"/>
      <c r="G38" s="1322" t="e">
        <f>T38</f>
        <v>#DIV/0!</v>
      </c>
      <c r="H38" s="2540"/>
      <c r="I38" s="1323" t="e">
        <f>V38</f>
        <v>#DIV/0!</v>
      </c>
      <c r="J38" s="2540"/>
      <c r="K38" s="2542">
        <f>F38+H38+J38</f>
        <v>0</v>
      </c>
      <c r="L38" s="2954"/>
      <c r="M38" s="2955"/>
      <c r="N38" s="2955"/>
      <c r="O38" s="2955"/>
      <c r="P38" s="3317" t="str">
        <f>A38</f>
        <v>比较价值（元/平方米）</v>
      </c>
      <c r="Q38" s="3317"/>
      <c r="R38" s="3318" t="e">
        <f>IF(F1="售价",ROUND(PRODUCT(R37,AA7:AA36),0),ROUND(PRODUCT(R37,AA7:AA36),1))</f>
        <v>#DIV/0!</v>
      </c>
      <c r="S38" s="3318"/>
      <c r="T38" s="3318" t="e">
        <f>IF(F1="售价",ROUND(PRODUCT(T37,AB7:AB36),0),ROUND(PRODUCT(T37,AB7:AB36),1))</f>
        <v>#DIV/0!</v>
      </c>
      <c r="U38" s="3318"/>
      <c r="V38" s="3318" t="e">
        <f>IF(F1="售价",ROUND(PRODUCT(V37,AC7:AC36),0),ROUND(PRODUCT(V37,AC7:AC36),1))</f>
        <v>#DIV/0!</v>
      </c>
      <c r="W38" s="3318"/>
      <c r="X38" s="699"/>
      <c r="Y38" s="699"/>
      <c r="Z38" s="699"/>
      <c r="AA38" s="699"/>
      <c r="AB38" s="699"/>
      <c r="AC38" s="699"/>
    </row>
    <row r="39" spans="1:29" ht="15.75" thickBot="1">
      <c r="A39" s="449" t="s">
        <v>2539</v>
      </c>
      <c r="B39" s="450"/>
      <c r="C39" s="1325" t="e">
        <f>R39</f>
        <v>#DIV/0!</v>
      </c>
      <c r="D39" s="1325"/>
      <c r="E39" s="1325"/>
      <c r="F39" s="1325"/>
      <c r="G39" s="1325"/>
      <c r="H39" s="1325"/>
      <c r="I39" s="1325"/>
      <c r="J39" s="1325"/>
      <c r="K39" s="577"/>
      <c r="L39" s="2954"/>
      <c r="M39" s="2955"/>
      <c r="N39" s="2955"/>
      <c r="O39" s="2955"/>
      <c r="P39" s="3314" t="str">
        <f>A39</f>
        <v>估价对象XX用房的比较价值（楼面单价，元/平方米）</v>
      </c>
      <c r="Q39" s="3315"/>
      <c r="R39" s="3376" t="e">
        <f>IF(F1="售价",ROUND(IF(D38="简单平均",AVERAGE(R38:W38),R38*F38+T38*H38+V38*J38),0),ROUND(IF(D38="简单平均",AVERAGE(R38:V38),R38*F38+T38*H38+V38*J38),1))</f>
        <v>#DIV/0!</v>
      </c>
      <c r="S39" s="3376"/>
      <c r="T39" s="3376"/>
      <c r="U39" s="3376"/>
      <c r="V39" s="3376"/>
      <c r="W39" s="3376"/>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2543</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2544</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2401</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2366</v>
      </c>
      <c r="B51" s="467"/>
      <c r="C51" s="479" t="s">
        <v>2468</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2404</v>
      </c>
      <c r="B53" s="485" t="s">
        <v>2370</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2373</v>
      </c>
      <c r="C55" s="496" t="s">
        <v>2405</v>
      </c>
      <c r="D55" s="496" t="s">
        <v>2406</v>
      </c>
      <c r="E55" s="496" t="s">
        <v>2407</v>
      </c>
      <c r="F55" s="496" t="s">
        <v>2408</v>
      </c>
      <c r="G55" s="496" t="s">
        <v>2409</v>
      </c>
      <c r="H55" s="496" t="s">
        <v>2410</v>
      </c>
      <c r="I55" s="496" t="s">
        <v>2411</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2375</v>
      </c>
      <c r="B63" s="485" t="s">
        <v>2418</v>
      </c>
      <c r="C63" s="530" t="s">
        <v>2413</v>
      </c>
      <c r="D63" s="530" t="s">
        <v>2414</v>
      </c>
      <c r="E63" s="530" t="s">
        <v>2415</v>
      </c>
      <c r="F63" s="530" t="s">
        <v>2416</v>
      </c>
      <c r="G63" s="530" t="s">
        <v>2417</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2419</v>
      </c>
      <c r="C65" s="535" t="s">
        <v>2413</v>
      </c>
      <c r="D65" s="535" t="s">
        <v>2414</v>
      </c>
      <c r="E65" s="535" t="s">
        <v>2415</v>
      </c>
      <c r="F65" s="535" t="s">
        <v>2416</v>
      </c>
      <c r="G65" s="535" t="s">
        <v>2417</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2505</v>
      </c>
      <c r="C67" s="616" t="s">
        <v>2491</v>
      </c>
      <c r="D67" s="616" t="s">
        <v>2492</v>
      </c>
      <c r="E67" s="616" t="s">
        <v>2493</v>
      </c>
      <c r="F67" s="616" t="s">
        <v>2494</v>
      </c>
      <c r="G67" s="616" t="s">
        <v>2495</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2425</v>
      </c>
      <c r="C69" s="535" t="s">
        <v>2413</v>
      </c>
      <c r="D69" s="535" t="s">
        <v>2414</v>
      </c>
      <c r="E69" s="535" t="s">
        <v>2415</v>
      </c>
      <c r="F69" s="535" t="s">
        <v>2416</v>
      </c>
      <c r="G69" s="535" t="s">
        <v>2417</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2545</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2379</v>
      </c>
      <c r="B79" s="485" t="s">
        <v>2546</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2547</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2432</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2548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2549</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2550</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2551</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2552</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2523</v>
      </c>
      <c r="B1" s="1391"/>
      <c r="C1" s="1392" t="s">
        <v>2346</v>
      </c>
      <c r="D1" s="1393"/>
      <c r="E1" s="1402"/>
      <c r="F1" s="2066"/>
      <c r="G1" s="1403" t="s">
        <v>2459</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8"/>
      <c r="D2" s="1038" t="e">
        <f ca="1">SUMIF(INDIRECT("'"&amp;F2&amp;"'"&amp;"!A:A"),"承租人权益价值",INDIRECT("'"&amp;F2&amp;"'"&amp;"!c:c"))</f>
        <v>#REF!</v>
      </c>
      <c r="E2" s="2069" t="s">
        <v>2147</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2460</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2461</v>
      </c>
      <c r="B4" s="362"/>
      <c r="C4" s="3332" t="s">
        <v>2462</v>
      </c>
      <c r="D4" s="3333"/>
      <c r="E4" s="3334" t="s">
        <v>2463</v>
      </c>
      <c r="F4" s="3335"/>
      <c r="G4" s="3332" t="s">
        <v>2464</v>
      </c>
      <c r="H4" s="3333"/>
      <c r="I4" s="3332" t="s">
        <v>2465</v>
      </c>
      <c r="J4" s="3333"/>
      <c r="K4" s="567" t="s">
        <v>2466</v>
      </c>
      <c r="L4" s="2945"/>
      <c r="M4" s="2946"/>
      <c r="N4" s="2946"/>
      <c r="O4" s="2946"/>
      <c r="P4" s="3336" t="s">
        <v>2467</v>
      </c>
      <c r="Q4" s="3337"/>
      <c r="R4" s="3342" t="s">
        <v>2463</v>
      </c>
      <c r="S4" s="3343"/>
      <c r="T4" s="3342" t="s">
        <v>2464</v>
      </c>
      <c r="U4" s="3343"/>
      <c r="V4" s="3348" t="s">
        <v>2465</v>
      </c>
      <c r="W4" s="3348"/>
      <c r="X4" s="1541"/>
      <c r="Y4" s="3342" t="s">
        <v>2467</v>
      </c>
      <c r="Z4" s="3343"/>
      <c r="AA4" s="3329" t="s">
        <v>2463</v>
      </c>
      <c r="AB4" s="3330" t="s">
        <v>2464</v>
      </c>
      <c r="AC4" s="3329" t="s">
        <v>2465</v>
      </c>
    </row>
    <row r="5" spans="1:29" ht="15">
      <c r="A5" s="364"/>
      <c r="B5" s="365"/>
      <c r="C5" s="3351" t="s">
        <v>2358</v>
      </c>
      <c r="D5" s="3352"/>
      <c r="E5" s="3358" t="s">
        <v>2359</v>
      </c>
      <c r="F5" s="3359"/>
      <c r="G5" s="3351" t="s">
        <v>2360</v>
      </c>
      <c r="H5" s="3352"/>
      <c r="I5" s="3351" t="s">
        <v>2361</v>
      </c>
      <c r="J5" s="3352"/>
      <c r="K5" s="567"/>
      <c r="L5" s="2945"/>
      <c r="M5" s="2946"/>
      <c r="N5" s="2946"/>
      <c r="O5" s="2946"/>
      <c r="P5" s="3338"/>
      <c r="Q5" s="3339"/>
      <c r="R5" s="3344"/>
      <c r="S5" s="3345"/>
      <c r="T5" s="3344"/>
      <c r="U5" s="3345"/>
      <c r="V5" s="3348"/>
      <c r="W5" s="3348"/>
      <c r="X5" s="1541"/>
      <c r="Y5" s="3344"/>
      <c r="Z5" s="3345"/>
      <c r="AA5" s="3330"/>
      <c r="AB5" s="3330"/>
      <c r="AC5" s="3330"/>
    </row>
    <row r="6" spans="1:29" ht="15.75" thickBot="1">
      <c r="A6" s="366"/>
      <c r="B6" s="367"/>
      <c r="C6" s="3349" t="s">
        <v>2362</v>
      </c>
      <c r="D6" s="3350"/>
      <c r="E6" s="3356" t="s">
        <v>2362</v>
      </c>
      <c r="F6" s="3357"/>
      <c r="G6" s="3349" t="s">
        <v>2362</v>
      </c>
      <c r="H6" s="3350"/>
      <c r="I6" s="3349" t="s">
        <v>2362</v>
      </c>
      <c r="J6" s="3350"/>
      <c r="K6" s="567" t="s">
        <v>2363</v>
      </c>
      <c r="L6" s="2945"/>
      <c r="M6" s="2946"/>
      <c r="N6" s="2946"/>
      <c r="O6" s="2946"/>
      <c r="P6" s="3340"/>
      <c r="Q6" s="3341"/>
      <c r="R6" s="3344"/>
      <c r="S6" s="3345"/>
      <c r="T6" s="3346"/>
      <c r="U6" s="3347"/>
      <c r="V6" s="3348"/>
      <c r="W6" s="3348"/>
      <c r="X6" s="1541"/>
      <c r="Y6" s="3346"/>
      <c r="Z6" s="3347"/>
      <c r="AA6" s="3331"/>
      <c r="AB6" s="3331"/>
      <c r="AC6" s="3331"/>
    </row>
    <row r="7" spans="1:29" s="113" customFormat="1" ht="15.75" thickBot="1">
      <c r="A7" s="368" t="s">
        <v>2364</v>
      </c>
      <c r="B7" s="369"/>
      <c r="C7" s="370">
        <f>'数据-取费表'!B2</f>
        <v>44134</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53" t="s">
        <v>2365</v>
      </c>
      <c r="Q7" s="3355"/>
      <c r="R7" s="710" t="s">
        <v>17</v>
      </c>
      <c r="S7" s="711">
        <f t="shared" ref="S7:S14" si="0">F7</f>
        <v>0</v>
      </c>
      <c r="T7" s="710" t="s">
        <v>17</v>
      </c>
      <c r="U7" s="711">
        <f t="shared" ref="U7:U14" si="1">H7</f>
        <v>0</v>
      </c>
      <c r="V7" s="710" t="s">
        <v>17</v>
      </c>
      <c r="W7" s="711">
        <f t="shared" ref="W7:W14" si="2">J7</f>
        <v>0</v>
      </c>
      <c r="X7" s="712"/>
      <c r="Y7" s="3353" t="s">
        <v>2365</v>
      </c>
      <c r="Z7" s="3354"/>
      <c r="AA7" s="713" t="e">
        <f>D7/F7</f>
        <v>#DIV/0!</v>
      </c>
      <c r="AB7" s="713" t="e">
        <f>D7/H7</f>
        <v>#DIV/0!</v>
      </c>
      <c r="AC7" s="713" t="e">
        <f>D7/J7</f>
        <v>#DIV/0!</v>
      </c>
    </row>
    <row r="8" spans="1:29" s="113" customFormat="1" ht="15.75" thickBot="1">
      <c r="A8" s="368" t="s">
        <v>2366</v>
      </c>
      <c r="B8" s="369"/>
      <c r="C8" s="374" t="s">
        <v>2468</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53" t="s">
        <v>2368</v>
      </c>
      <c r="Q8" s="3354"/>
      <c r="R8" s="710" t="s">
        <v>17</v>
      </c>
      <c r="S8" s="711">
        <f t="shared" si="0"/>
        <v>0</v>
      </c>
      <c r="T8" s="710" t="s">
        <v>17</v>
      </c>
      <c r="U8" s="711">
        <f t="shared" si="1"/>
        <v>0</v>
      </c>
      <c r="V8" s="710" t="s">
        <v>17</v>
      </c>
      <c r="W8" s="711">
        <f t="shared" si="2"/>
        <v>0</v>
      </c>
      <c r="X8" s="712"/>
      <c r="Y8" s="3353" t="s">
        <v>2368</v>
      </c>
      <c r="Z8" s="3354"/>
      <c r="AA8" s="713" t="e">
        <f t="shared" ref="AA8:AA34" si="3">D8/F8</f>
        <v>#DIV/0!</v>
      </c>
      <c r="AB8" s="713" t="e">
        <f t="shared" ref="AB8:AB34" si="4">D8/H8</f>
        <v>#DIV/0!</v>
      </c>
      <c r="AC8" s="713" t="e">
        <f t="shared" ref="AC8:AC34" si="5">D8/J8</f>
        <v>#DIV/0!</v>
      </c>
    </row>
    <row r="9" spans="1:29" s="113" customFormat="1">
      <c r="A9" s="375" t="s">
        <v>2369</v>
      </c>
      <c r="B9" s="67" t="s">
        <v>2370</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17" t="s">
        <v>2371</v>
      </c>
      <c r="Q9" s="1529" t="str">
        <f t="shared" ref="Q9:Q14" si="6">B9</f>
        <v>用途</v>
      </c>
      <c r="R9" s="710" t="s">
        <v>17</v>
      </c>
      <c r="S9" s="711">
        <f t="shared" si="0"/>
        <v>100</v>
      </c>
      <c r="T9" s="710" t="s">
        <v>17</v>
      </c>
      <c r="U9" s="711">
        <f t="shared" si="1"/>
        <v>100</v>
      </c>
      <c r="V9" s="710" t="s">
        <v>17</v>
      </c>
      <c r="W9" s="711">
        <f t="shared" si="2"/>
        <v>100</v>
      </c>
      <c r="X9" s="712"/>
      <c r="Y9" s="3187" t="s">
        <v>2372</v>
      </c>
      <c r="Z9" s="55" t="str">
        <f t="shared" ref="Z9:Z14" si="7">Q9</f>
        <v>用途</v>
      </c>
      <c r="AA9" s="713">
        <f t="shared" si="3"/>
        <v>1</v>
      </c>
      <c r="AB9" s="713">
        <f t="shared" si="4"/>
        <v>1</v>
      </c>
      <c r="AC9" s="713">
        <f t="shared" si="5"/>
        <v>1</v>
      </c>
    </row>
    <row r="10" spans="1:29" s="386" customFormat="1" ht="27">
      <c r="A10" s="380"/>
      <c r="B10" s="381" t="s">
        <v>2373</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17"/>
      <c r="Q10" s="1529"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17"/>
      <c r="Q11" s="1529">
        <f t="shared" si="6"/>
        <v>111</v>
      </c>
      <c r="R11" s="710" t="s">
        <v>17</v>
      </c>
      <c r="S11" s="711">
        <f t="shared" si="0"/>
        <v>100</v>
      </c>
      <c r="T11" s="710" t="s">
        <v>17</v>
      </c>
      <c r="U11" s="711">
        <f t="shared" si="1"/>
        <v>100</v>
      </c>
      <c r="V11" s="710" t="s">
        <v>17</v>
      </c>
      <c r="W11" s="711">
        <f t="shared" si="2"/>
        <v>100</v>
      </c>
      <c r="X11" s="712"/>
      <c r="Y11" s="3187"/>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17"/>
      <c r="Q12" s="1529">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17"/>
      <c r="Q13" s="1529">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85.5">
      <c r="A14" s="399" t="s">
        <v>2375</v>
      </c>
      <c r="B14" s="65" t="s">
        <v>2525</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19" t="s">
        <v>2376</v>
      </c>
      <c r="Q14" s="1538" t="str">
        <f t="shared" si="6"/>
        <v>交通便捷度</v>
      </c>
      <c r="R14" s="714" t="s">
        <v>17</v>
      </c>
      <c r="S14" s="715">
        <f t="shared" si="0"/>
        <v>100</v>
      </c>
      <c r="T14" s="714" t="s">
        <v>17</v>
      </c>
      <c r="U14" s="715">
        <f t="shared" si="1"/>
        <v>100</v>
      </c>
      <c r="V14" s="714" t="s">
        <v>17</v>
      </c>
      <c r="W14" s="715">
        <f t="shared" si="2"/>
        <v>100</v>
      </c>
      <c r="X14" s="1541"/>
      <c r="Y14" s="3319" t="s">
        <v>2376</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20"/>
      <c r="Q15" s="1538"/>
      <c r="R15" s="714"/>
      <c r="S15" s="715"/>
      <c r="T15" s="714"/>
      <c r="U15" s="715"/>
      <c r="V15" s="714"/>
      <c r="W15" s="715"/>
      <c r="X15" s="1541"/>
      <c r="Y15" s="3320"/>
      <c r="Z15" s="1542"/>
      <c r="AA15" s="1539">
        <v>1</v>
      </c>
      <c r="AB15" s="1539">
        <v>1</v>
      </c>
      <c r="AC15" s="1539">
        <v>1</v>
      </c>
    </row>
    <row r="16" spans="1:29" ht="42.75">
      <c r="A16" s="387"/>
      <c r="B16" s="410" t="s">
        <v>2504</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20"/>
      <c r="Q16" s="1538" t="str">
        <f>B16</f>
        <v>公共配套设施</v>
      </c>
      <c r="R16" s="714" t="s">
        <v>17</v>
      </c>
      <c r="S16" s="715">
        <f>F16</f>
        <v>100</v>
      </c>
      <c r="T16" s="714" t="s">
        <v>17</v>
      </c>
      <c r="U16" s="715">
        <f>H16</f>
        <v>100</v>
      </c>
      <c r="V16" s="714" t="s">
        <v>17</v>
      </c>
      <c r="W16" s="715">
        <f>J16</f>
        <v>100</v>
      </c>
      <c r="X16" s="1541"/>
      <c r="Y16" s="3320"/>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2"/>
      <c r="M17" s="2946"/>
      <c r="N17" s="2946"/>
      <c r="O17" s="3004"/>
      <c r="P17" s="3320"/>
      <c r="Q17" s="1538"/>
      <c r="R17" s="714"/>
      <c r="S17" s="715"/>
      <c r="T17" s="714"/>
      <c r="U17" s="715"/>
      <c r="V17" s="714"/>
      <c r="W17" s="715"/>
      <c r="X17" s="1541"/>
      <c r="Y17" s="3320"/>
      <c r="Z17" s="1542"/>
      <c r="AA17" s="1539">
        <v>1</v>
      </c>
      <c r="AB17" s="1539">
        <v>1</v>
      </c>
      <c r="AC17" s="1539">
        <v>1</v>
      </c>
    </row>
    <row r="18" spans="1:29" ht="28.5">
      <c r="A18" s="387"/>
      <c r="B18" s="1293" t="s">
        <v>2505</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20"/>
      <c r="Q18" s="1538" t="str">
        <f>B18</f>
        <v>基础设施水平</v>
      </c>
      <c r="R18" s="714" t="s">
        <v>17</v>
      </c>
      <c r="S18" s="715">
        <f>F18</f>
        <v>100</v>
      </c>
      <c r="T18" s="714" t="s">
        <v>17</v>
      </c>
      <c r="U18" s="715">
        <f>H18</f>
        <v>100</v>
      </c>
      <c r="V18" s="714" t="s">
        <v>17</v>
      </c>
      <c r="W18" s="715">
        <f>J18</f>
        <v>100</v>
      </c>
      <c r="X18" s="1541"/>
      <c r="Y18" s="3320"/>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2"/>
      <c r="M19" s="2946"/>
      <c r="N19" s="2946"/>
      <c r="O19" s="3004"/>
      <c r="P19" s="3320"/>
      <c r="Q19" s="1538"/>
      <c r="R19" s="714"/>
      <c r="S19" s="715"/>
      <c r="T19" s="714"/>
      <c r="U19" s="715"/>
      <c r="V19" s="714"/>
      <c r="W19" s="715"/>
      <c r="X19" s="1541"/>
      <c r="Y19" s="3320"/>
      <c r="Z19" s="1542"/>
      <c r="AA19" s="1539">
        <v>1</v>
      </c>
      <c r="AB19" s="1539">
        <v>1</v>
      </c>
      <c r="AC19" s="1539">
        <v>1</v>
      </c>
    </row>
    <row r="20" spans="1:29" ht="57">
      <c r="A20" s="387"/>
      <c r="B20" s="410" t="s">
        <v>2526</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20"/>
      <c r="Q20" s="1538" t="str">
        <f>B20</f>
        <v>自然及人文环境</v>
      </c>
      <c r="R20" s="714" t="s">
        <v>17</v>
      </c>
      <c r="S20" s="715">
        <f>F20</f>
        <v>100</v>
      </c>
      <c r="T20" s="714" t="s">
        <v>17</v>
      </c>
      <c r="U20" s="715">
        <f>H20</f>
        <v>100</v>
      </c>
      <c r="V20" s="714" t="s">
        <v>17</v>
      </c>
      <c r="W20" s="715">
        <f>J20</f>
        <v>100</v>
      </c>
      <c r="X20" s="1541"/>
      <c r="Y20" s="3320"/>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20"/>
      <c r="Q21" s="1538"/>
      <c r="R21" s="714"/>
      <c r="S21" s="715"/>
      <c r="T21" s="714"/>
      <c r="U21" s="715"/>
      <c r="V21" s="714"/>
      <c r="W21" s="715"/>
      <c r="X21" s="1541"/>
      <c r="Y21" s="3320"/>
      <c r="Z21" s="1542"/>
      <c r="AA21" s="1539">
        <v>1</v>
      </c>
      <c r="AB21" s="1539">
        <v>1</v>
      </c>
      <c r="AC21" s="1539">
        <v>1</v>
      </c>
    </row>
    <row r="22" spans="1:29" ht="15">
      <c r="A22" s="387"/>
      <c r="B22" s="410" t="s">
        <v>2527</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20"/>
      <c r="Q22" s="1538" t="str">
        <f>B22</f>
        <v>楼层</v>
      </c>
      <c r="R22" s="714" t="s">
        <v>17</v>
      </c>
      <c r="S22" s="715">
        <f>F22</f>
        <v>100</v>
      </c>
      <c r="T22" s="714" t="s">
        <v>17</v>
      </c>
      <c r="U22" s="715">
        <f>H22</f>
        <v>100</v>
      </c>
      <c r="V22" s="714" t="s">
        <v>17</v>
      </c>
      <c r="W22" s="715">
        <f>J22</f>
        <v>100</v>
      </c>
      <c r="X22" s="1541"/>
      <c r="Y22" s="3320"/>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20"/>
      <c r="Q23" s="1538">
        <f>B23</f>
        <v>111</v>
      </c>
      <c r="R23" s="714" t="s">
        <v>17</v>
      </c>
      <c r="S23" s="715">
        <f>F23</f>
        <v>100</v>
      </c>
      <c r="T23" s="714" t="s">
        <v>17</v>
      </c>
      <c r="U23" s="715">
        <f>H23</f>
        <v>100</v>
      </c>
      <c r="V23" s="714" t="s">
        <v>17</v>
      </c>
      <c r="W23" s="715">
        <f>J23</f>
        <v>100</v>
      </c>
      <c r="X23" s="1541"/>
      <c r="Y23" s="3320"/>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20"/>
      <c r="Q24" s="1538">
        <f t="shared" ref="Q24:Q34" si="11">B24</f>
        <v>111</v>
      </c>
      <c r="R24" s="714" t="s">
        <v>17</v>
      </c>
      <c r="S24" s="715">
        <f>F24</f>
        <v>100</v>
      </c>
      <c r="T24" s="714" t="s">
        <v>17</v>
      </c>
      <c r="U24" s="715">
        <f>H24</f>
        <v>100</v>
      </c>
      <c r="V24" s="714" t="s">
        <v>17</v>
      </c>
      <c r="W24" s="715">
        <f>J24</f>
        <v>100</v>
      </c>
      <c r="X24" s="1541"/>
      <c r="Y24" s="3320"/>
      <c r="Z24" s="1542">
        <f>Q24</f>
        <v>111</v>
      </c>
      <c r="AA24" s="1539">
        <f t="shared" si="3"/>
        <v>1</v>
      </c>
      <c r="AB24" s="1539">
        <f t="shared" si="4"/>
        <v>1</v>
      </c>
      <c r="AC24" s="1539">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20"/>
      <c r="Q25" s="1529">
        <f t="shared" si="11"/>
        <v>111</v>
      </c>
      <c r="R25" s="710" t="s">
        <v>17</v>
      </c>
      <c r="S25" s="711">
        <f>F25</f>
        <v>100</v>
      </c>
      <c r="T25" s="710" t="s">
        <v>17</v>
      </c>
      <c r="U25" s="711">
        <f>H25</f>
        <v>100</v>
      </c>
      <c r="V25" s="710" t="s">
        <v>17</v>
      </c>
      <c r="W25" s="711">
        <f>J25</f>
        <v>100</v>
      </c>
      <c r="X25" s="712"/>
      <c r="Y25" s="3320"/>
      <c r="Z25" s="55">
        <f>Q25</f>
        <v>111</v>
      </c>
      <c r="AA25" s="1539">
        <f>D25/F25</f>
        <v>1</v>
      </c>
      <c r="AB25" s="1539">
        <f>D25/H25</f>
        <v>1</v>
      </c>
      <c r="AC25" s="1539">
        <f>D25/J25</f>
        <v>1</v>
      </c>
    </row>
    <row r="26" spans="1:29" ht="28.5">
      <c r="A26" s="425" t="s">
        <v>2379</v>
      </c>
      <c r="B26" s="67" t="s">
        <v>2530</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75" t="s">
        <v>2381</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4" t="s">
        <v>2381</v>
      </c>
      <c r="Z26" s="1542" t="str">
        <f t="shared" ref="Z26:Z34" si="15">Q26</f>
        <v>公共部分装修</v>
      </c>
      <c r="AA26" s="1539">
        <f t="shared" si="3"/>
        <v>1</v>
      </c>
      <c r="AB26" s="1539">
        <f t="shared" si="4"/>
        <v>1</v>
      </c>
      <c r="AC26" s="1539">
        <f t="shared" si="5"/>
        <v>1</v>
      </c>
    </row>
    <row r="27" spans="1:29" s="430" customFormat="1" ht="15">
      <c r="A27" s="427"/>
      <c r="B27" s="381" t="s">
        <v>2531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24"/>
      <c r="Q27" s="716" t="str">
        <f t="shared" si="11"/>
        <v>成新率</v>
      </c>
      <c r="R27" s="717" t="s">
        <v>17</v>
      </c>
      <c r="S27" s="718" t="e">
        <f t="shared" si="12"/>
        <v>#N/A</v>
      </c>
      <c r="T27" s="717" t="s">
        <v>17</v>
      </c>
      <c r="U27" s="718" t="e">
        <f t="shared" si="13"/>
        <v>#N/A</v>
      </c>
      <c r="V27" s="717" t="s">
        <v>17</v>
      </c>
      <c r="W27" s="718" t="e">
        <f t="shared" si="14"/>
        <v>#N/A</v>
      </c>
      <c r="X27" s="719"/>
      <c r="Y27" s="3324"/>
      <c r="Z27" s="720" t="str">
        <f t="shared" si="15"/>
        <v>成新率</v>
      </c>
      <c r="AA27" s="1539" t="e">
        <f t="shared" si="3"/>
        <v>#N/A</v>
      </c>
      <c r="AB27" s="1539" t="e">
        <f t="shared" si="4"/>
        <v>#N/A</v>
      </c>
      <c r="AC27" s="1539" t="e">
        <f t="shared" si="5"/>
        <v>#N/A</v>
      </c>
    </row>
    <row r="28" spans="1:29" ht="15">
      <c r="A28" s="431"/>
      <c r="B28" s="381" t="s">
        <v>2532</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24"/>
      <c r="Q28" s="1538" t="str">
        <f t="shared" si="11"/>
        <v>物业等级</v>
      </c>
      <c r="R28" s="714" t="s">
        <v>17</v>
      </c>
      <c r="S28" s="715">
        <f t="shared" si="12"/>
        <v>100</v>
      </c>
      <c r="T28" s="714" t="s">
        <v>17</v>
      </c>
      <c r="U28" s="715">
        <f t="shared" si="13"/>
        <v>100</v>
      </c>
      <c r="V28" s="714" t="s">
        <v>17</v>
      </c>
      <c r="W28" s="715">
        <f t="shared" si="14"/>
        <v>100</v>
      </c>
      <c r="X28" s="1541"/>
      <c r="Y28" s="3324"/>
      <c r="Z28" s="1542" t="str">
        <f t="shared" si="15"/>
        <v>物业等级</v>
      </c>
      <c r="AA28" s="1539">
        <f t="shared" si="3"/>
        <v>1</v>
      </c>
      <c r="AB28" s="1539">
        <f t="shared" si="4"/>
        <v>1</v>
      </c>
      <c r="AC28" s="1539">
        <f t="shared" si="5"/>
        <v>1</v>
      </c>
    </row>
    <row r="29" spans="1:29" ht="15">
      <c r="A29" s="431"/>
      <c r="B29" s="381" t="s">
        <v>2553</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24"/>
      <c r="Q29" s="1538" t="str">
        <f t="shared" si="11"/>
        <v>有无电梯</v>
      </c>
      <c r="R29" s="714" t="s">
        <v>17</v>
      </c>
      <c r="S29" s="715">
        <f t="shared" si="12"/>
        <v>100</v>
      </c>
      <c r="T29" s="714" t="s">
        <v>17</v>
      </c>
      <c r="U29" s="715">
        <f t="shared" si="13"/>
        <v>100</v>
      </c>
      <c r="V29" s="714" t="s">
        <v>17</v>
      </c>
      <c r="W29" s="715">
        <f t="shared" si="14"/>
        <v>100</v>
      </c>
      <c r="X29" s="1541"/>
      <c r="Y29" s="3324"/>
      <c r="Z29" s="1542" t="str">
        <f t="shared" si="15"/>
        <v>有无电梯</v>
      </c>
      <c r="AA29" s="1539">
        <f t="shared" si="3"/>
        <v>1</v>
      </c>
      <c r="AB29" s="1539">
        <f t="shared" si="4"/>
        <v>1</v>
      </c>
      <c r="AC29" s="1539">
        <f t="shared" si="5"/>
        <v>1</v>
      </c>
    </row>
    <row r="30" spans="1:29" ht="15">
      <c r="A30" s="431"/>
      <c r="B30" s="381" t="s">
        <v>2554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24"/>
      <c r="Q30" s="1538" t="str">
        <f t="shared" si="11"/>
        <v>建筑面积</v>
      </c>
      <c r="R30" s="714" t="s">
        <v>17</v>
      </c>
      <c r="S30" s="715" t="e">
        <f t="shared" si="12"/>
        <v>#N/A</v>
      </c>
      <c r="T30" s="714" t="s">
        <v>17</v>
      </c>
      <c r="U30" s="715" t="e">
        <f t="shared" si="13"/>
        <v>#N/A</v>
      </c>
      <c r="V30" s="714" t="s">
        <v>17</v>
      </c>
      <c r="W30" s="715" t="e">
        <f t="shared" si="14"/>
        <v>#N/A</v>
      </c>
      <c r="X30" s="1541"/>
      <c r="Y30" s="3324"/>
      <c r="Z30" s="1542" t="str">
        <f t="shared" si="15"/>
        <v>建筑面积</v>
      </c>
      <c r="AA30" s="1539" t="e">
        <f t="shared" si="3"/>
        <v>#N/A</v>
      </c>
      <c r="AB30" s="1539" t="e">
        <f t="shared" si="4"/>
        <v>#N/A</v>
      </c>
      <c r="AC30" s="1539" t="e">
        <f t="shared" si="5"/>
        <v>#N/A</v>
      </c>
    </row>
    <row r="31" spans="1:29" s="113" customFormat="1" ht="15">
      <c r="A31" s="432"/>
      <c r="B31" s="381" t="s">
        <v>2555</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24"/>
      <c r="Q31" s="1529" t="str">
        <f t="shared" si="11"/>
        <v>是否封闭</v>
      </c>
      <c r="R31" s="710" t="s">
        <v>17</v>
      </c>
      <c r="S31" s="711">
        <f t="shared" si="12"/>
        <v>100</v>
      </c>
      <c r="T31" s="710" t="s">
        <v>17</v>
      </c>
      <c r="U31" s="711">
        <f t="shared" si="13"/>
        <v>100</v>
      </c>
      <c r="V31" s="710" t="s">
        <v>17</v>
      </c>
      <c r="W31" s="711">
        <f t="shared" si="14"/>
        <v>100</v>
      </c>
      <c r="X31" s="712"/>
      <c r="Y31" s="3324"/>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24" t="s">
        <v>2381</v>
      </c>
      <c r="Q32" s="1538">
        <f t="shared" si="11"/>
        <v>111</v>
      </c>
      <c r="R32" s="714" t="s">
        <v>17</v>
      </c>
      <c r="S32" s="715">
        <f t="shared" si="12"/>
        <v>100</v>
      </c>
      <c r="T32" s="714" t="s">
        <v>17</v>
      </c>
      <c r="U32" s="715">
        <f t="shared" si="13"/>
        <v>100</v>
      </c>
      <c r="V32" s="714" t="s">
        <v>17</v>
      </c>
      <c r="W32" s="715">
        <f t="shared" si="14"/>
        <v>100</v>
      </c>
      <c r="X32" s="1541"/>
      <c r="Y32" s="3324" t="s">
        <v>2381</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24"/>
      <c r="Q33" s="1538">
        <f t="shared" si="11"/>
        <v>111</v>
      </c>
      <c r="R33" s="714" t="s">
        <v>17</v>
      </c>
      <c r="S33" s="715">
        <f t="shared" si="12"/>
        <v>100</v>
      </c>
      <c r="T33" s="714" t="s">
        <v>17</v>
      </c>
      <c r="U33" s="715">
        <f t="shared" si="13"/>
        <v>100</v>
      </c>
      <c r="V33" s="714" t="s">
        <v>17</v>
      </c>
      <c r="W33" s="715">
        <f t="shared" si="14"/>
        <v>100</v>
      </c>
      <c r="X33" s="1541"/>
      <c r="Y33" s="3324"/>
      <c r="Z33" s="1542">
        <f t="shared" si="15"/>
        <v>111</v>
      </c>
      <c r="AA33" s="1539">
        <f t="shared" si="3"/>
        <v>1</v>
      </c>
      <c r="AB33" s="1539">
        <f t="shared" si="4"/>
        <v>1</v>
      </c>
      <c r="AC33" s="1539">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24"/>
      <c r="Q34" s="1538">
        <f t="shared" si="11"/>
        <v>111</v>
      </c>
      <c r="R34" s="714" t="s">
        <v>17</v>
      </c>
      <c r="S34" s="715">
        <f t="shared" si="12"/>
        <v>100</v>
      </c>
      <c r="T34" s="714" t="s">
        <v>17</v>
      </c>
      <c r="U34" s="715">
        <f t="shared" si="13"/>
        <v>100</v>
      </c>
      <c r="V34" s="714" t="s">
        <v>17</v>
      </c>
      <c r="W34" s="715">
        <f t="shared" si="14"/>
        <v>100</v>
      </c>
      <c r="X34" s="1541"/>
      <c r="Y34" s="3324"/>
      <c r="Z34" s="1542">
        <f t="shared" si="15"/>
        <v>111</v>
      </c>
      <c r="AA34" s="1539">
        <f t="shared" si="3"/>
        <v>1</v>
      </c>
      <c r="AB34" s="1539">
        <f t="shared" si="4"/>
        <v>1</v>
      </c>
      <c r="AC34" s="1539">
        <f t="shared" si="5"/>
        <v>1</v>
      </c>
    </row>
    <row r="35" spans="1:30" ht="15">
      <c r="A35" s="438" t="s">
        <v>2393</v>
      </c>
      <c r="B35" s="439"/>
      <c r="C35" s="1316" t="s">
        <v>1</v>
      </c>
      <c r="D35" s="1317"/>
      <c r="E35" s="1318"/>
      <c r="F35" s="1319"/>
      <c r="G35" s="1320"/>
      <c r="H35" s="1321"/>
      <c r="I35" s="1318"/>
      <c r="J35" s="1321"/>
      <c r="K35" s="723"/>
      <c r="L35" s="2954"/>
      <c r="M35" s="2955"/>
      <c r="N35" s="2946"/>
      <c r="O35" s="2955"/>
      <c r="P35" s="3317" t="str">
        <f>A35</f>
        <v>成交单价（元/平方米）</v>
      </c>
      <c r="Q35" s="3317"/>
      <c r="R35" s="3318">
        <f>E35</f>
        <v>0</v>
      </c>
      <c r="S35" s="3318"/>
      <c r="T35" s="3318">
        <f>G35</f>
        <v>0</v>
      </c>
      <c r="U35" s="3318"/>
      <c r="V35" s="3318">
        <f>I35</f>
        <v>0</v>
      </c>
      <c r="W35" s="3318"/>
      <c r="X35" s="699"/>
      <c r="Y35" s="721"/>
      <c r="Z35" s="699"/>
      <c r="AA35" s="699"/>
      <c r="AB35" s="699"/>
      <c r="AC35" s="699"/>
    </row>
    <row r="36" spans="1:30" ht="15.75" thickBot="1">
      <c r="A36" s="445" t="s">
        <v>2485</v>
      </c>
      <c r="B36" s="446"/>
      <c r="C36" s="1322" t="e">
        <f>R37</f>
        <v>#DIV/0!</v>
      </c>
      <c r="D36" s="2539" t="s">
        <v>2876</v>
      </c>
      <c r="E36" s="1323" t="e">
        <f>R36</f>
        <v>#DIV/0!</v>
      </c>
      <c r="F36" s="2540"/>
      <c r="G36" s="1322" t="e">
        <f>T36</f>
        <v>#DIV/0!</v>
      </c>
      <c r="H36" s="2540"/>
      <c r="I36" s="1323" t="e">
        <f>V36</f>
        <v>#DIV/0!</v>
      </c>
      <c r="J36" s="2540"/>
      <c r="K36" s="2542">
        <f>F36+H36+J36</f>
        <v>0</v>
      </c>
      <c r="L36" s="2954"/>
      <c r="M36" s="2955"/>
      <c r="N36" s="2946"/>
      <c r="O36" s="2955"/>
      <c r="P36" s="3317" t="str">
        <f>A36</f>
        <v>比较价值（元/平方米）</v>
      </c>
      <c r="Q36" s="3317"/>
      <c r="R36" s="3318" t="e">
        <f>IF(F1="售价",ROUND(PRODUCT(R35,AA7:AA34),0),ROUND(PRODUCT(R35,AA7:AA34),1))</f>
        <v>#DIV/0!</v>
      </c>
      <c r="S36" s="3318"/>
      <c r="T36" s="3318" t="e">
        <f>IF(F1="售价",ROUND(PRODUCT(T35,AB7:AB34),0),ROUND(PRODUCT(T35,AB7:AB34),1))</f>
        <v>#DIV/0!</v>
      </c>
      <c r="U36" s="3318"/>
      <c r="V36" s="3318" t="e">
        <f>IF(F1="售价",ROUND(PRODUCT(V35,AC7:AC34),0),ROUND(PRODUCT(V35,AC7:AC34),1))</f>
        <v>#DIV/0!</v>
      </c>
      <c r="W36" s="3318"/>
      <c r="X36" s="699"/>
      <c r="Y36" s="699"/>
      <c r="Z36" s="699"/>
      <c r="AA36" s="699"/>
      <c r="AB36" s="699"/>
      <c r="AC36" s="699"/>
    </row>
    <row r="37" spans="1:30" ht="15.75" thickBot="1">
      <c r="A37" s="449" t="s">
        <v>2486</v>
      </c>
      <c r="B37" s="450"/>
      <c r="C37" s="1325" t="e">
        <f>R37</f>
        <v>#DIV/0!</v>
      </c>
      <c r="D37" s="1325"/>
      <c r="E37" s="1325"/>
      <c r="F37" s="1325"/>
      <c r="G37" s="1325"/>
      <c r="H37" s="1325"/>
      <c r="I37" s="1325"/>
      <c r="J37" s="1325"/>
      <c r="K37" s="724"/>
      <c r="L37" s="2954"/>
      <c r="M37" s="2955"/>
      <c r="N37" s="2955"/>
      <c r="O37" s="2955"/>
      <c r="P37" s="3314" t="str">
        <f>A37</f>
        <v>估价对象XX用房的比较价值（楼面单价，元/平方米）</v>
      </c>
      <c r="Q37" s="3315"/>
      <c r="R37" s="3376" t="e">
        <f>IF(F1="售价",ROUND(IF(D36="简单平均",AVERAGE(R36:W36),R36*F36+T36*H36+V36*J36),0),ROUND(IF(D36="简单平均",AVERAGE(R36:V36),R36*F36+T36*H36+V36*J36),1))</f>
        <v>#DIV/0!</v>
      </c>
      <c r="S37" s="3376"/>
      <c r="T37" s="3376"/>
      <c r="U37" s="3376"/>
      <c r="V37" s="3376"/>
      <c r="W37" s="3376"/>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2487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2488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2489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2490</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2364</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2401</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2366</v>
      </c>
      <c r="B49" s="467"/>
      <c r="C49" s="479" t="s">
        <v>2468</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2404</v>
      </c>
      <c r="B51" s="485" t="s">
        <v>2370</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2373</v>
      </c>
      <c r="C53" s="496" t="s">
        <v>2405</v>
      </c>
      <c r="D53" s="496" t="s">
        <v>2406</v>
      </c>
      <c r="E53" s="496" t="s">
        <v>2407</v>
      </c>
      <c r="F53" s="496" t="s">
        <v>2408</v>
      </c>
      <c r="G53" s="496" t="s">
        <v>2409</v>
      </c>
      <c r="H53" s="496" t="s">
        <v>2410</v>
      </c>
      <c r="I53" s="496" t="s">
        <v>2411</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2375</v>
      </c>
      <c r="B61" s="485" t="s">
        <v>2418</v>
      </c>
      <c r="C61" s="530" t="s">
        <v>2413</v>
      </c>
      <c r="D61" s="530" t="s">
        <v>2414</v>
      </c>
      <c r="E61" s="530" t="s">
        <v>2415</v>
      </c>
      <c r="F61" s="530" t="s">
        <v>2416</v>
      </c>
      <c r="G61" s="530" t="s">
        <v>2417</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2556</v>
      </c>
      <c r="C63" s="535" t="s">
        <v>2413</v>
      </c>
      <c r="D63" s="535" t="s">
        <v>2414</v>
      </c>
      <c r="E63" s="535" t="s">
        <v>2415</v>
      </c>
      <c r="F63" s="535" t="s">
        <v>2416</v>
      </c>
      <c r="G63" s="535" t="s">
        <v>2417</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2505</v>
      </c>
      <c r="C65" s="616" t="s">
        <v>2491</v>
      </c>
      <c r="D65" s="616" t="s">
        <v>2492</v>
      </c>
      <c r="E65" s="616" t="s">
        <v>2493</v>
      </c>
      <c r="F65" s="616" t="s">
        <v>2494</v>
      </c>
      <c r="G65" s="616" t="s">
        <v>2495</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2425</v>
      </c>
      <c r="C67" s="535" t="s">
        <v>2413</v>
      </c>
      <c r="D67" s="535" t="s">
        <v>2414</v>
      </c>
      <c r="E67" s="535" t="s">
        <v>2415</v>
      </c>
      <c r="F67" s="535" t="s">
        <v>2416</v>
      </c>
      <c r="G67" s="535" t="s">
        <v>2417</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2545</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2379</v>
      </c>
      <c r="B77" s="485" t="s">
        <v>2432</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2548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2549</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2557</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2558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2559</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2560</v>
      </c>
      <c r="B1" s="355"/>
      <c r="C1" s="356" t="s">
        <v>2561</v>
      </c>
      <c r="D1" s="695"/>
      <c r="E1" s="695"/>
      <c r="F1" s="694" t="s">
        <v>2459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2562</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2461</v>
      </c>
      <c r="B4" s="362"/>
      <c r="C4" s="3332" t="s">
        <v>2462</v>
      </c>
      <c r="D4" s="3333"/>
      <c r="E4" s="3334" t="s">
        <v>2463</v>
      </c>
      <c r="F4" s="3335"/>
      <c r="G4" s="3332" t="s">
        <v>2464</v>
      </c>
      <c r="H4" s="3333"/>
      <c r="I4" s="3332" t="s">
        <v>2465</v>
      </c>
      <c r="J4" s="3333"/>
      <c r="K4" s="567" t="s">
        <v>2466</v>
      </c>
      <c r="L4" s="2945"/>
      <c r="M4" s="2946"/>
      <c r="N4" s="2946"/>
      <c r="O4" s="2946"/>
      <c r="P4" s="3336" t="s">
        <v>2467</v>
      </c>
      <c r="Q4" s="3337"/>
      <c r="R4" s="3342" t="s">
        <v>2463</v>
      </c>
      <c r="S4" s="3343"/>
      <c r="T4" s="3342" t="s">
        <v>2464</v>
      </c>
      <c r="U4" s="3343"/>
      <c r="V4" s="3348" t="s">
        <v>2465</v>
      </c>
      <c r="W4" s="3348"/>
      <c r="X4" s="1541"/>
      <c r="Y4" s="3342" t="s">
        <v>2467</v>
      </c>
      <c r="Z4" s="3343"/>
      <c r="AA4" s="3329" t="s">
        <v>2463</v>
      </c>
      <c r="AB4" s="3330" t="s">
        <v>2464</v>
      </c>
      <c r="AC4" s="3329" t="s">
        <v>2465</v>
      </c>
    </row>
    <row r="5" spans="1:30" ht="15">
      <c r="A5" s="364"/>
      <c r="B5" s="365"/>
      <c r="C5" s="3351" t="s">
        <v>2358</v>
      </c>
      <c r="D5" s="3352"/>
      <c r="E5" s="3358" t="s">
        <v>2359</v>
      </c>
      <c r="F5" s="3359"/>
      <c r="G5" s="3351" t="s">
        <v>2360</v>
      </c>
      <c r="H5" s="3352"/>
      <c r="I5" s="3351" t="s">
        <v>2361</v>
      </c>
      <c r="J5" s="3352"/>
      <c r="K5" s="567"/>
      <c r="L5" s="2945"/>
      <c r="M5" s="2946"/>
      <c r="N5" s="2946"/>
      <c r="O5" s="2946"/>
      <c r="P5" s="3338"/>
      <c r="Q5" s="3339"/>
      <c r="R5" s="3344"/>
      <c r="S5" s="3345"/>
      <c r="T5" s="3344"/>
      <c r="U5" s="3345"/>
      <c r="V5" s="3348"/>
      <c r="W5" s="3348"/>
      <c r="X5" s="1541"/>
      <c r="Y5" s="3344"/>
      <c r="Z5" s="3345"/>
      <c r="AA5" s="3330"/>
      <c r="AB5" s="3330"/>
      <c r="AC5" s="3330"/>
    </row>
    <row r="6" spans="1:30" ht="15.75" thickBot="1">
      <c r="A6" s="366"/>
      <c r="B6" s="367"/>
      <c r="C6" s="3349" t="s">
        <v>2362</v>
      </c>
      <c r="D6" s="3350"/>
      <c r="E6" s="3356" t="s">
        <v>2362</v>
      </c>
      <c r="F6" s="3357"/>
      <c r="G6" s="3349" t="s">
        <v>2362</v>
      </c>
      <c r="H6" s="3350"/>
      <c r="I6" s="3349" t="s">
        <v>2362</v>
      </c>
      <c r="J6" s="3350"/>
      <c r="K6" s="567" t="s">
        <v>2363</v>
      </c>
      <c r="L6" s="2945"/>
      <c r="M6" s="2946"/>
      <c r="N6" s="2946"/>
      <c r="O6" s="2946"/>
      <c r="P6" s="3340"/>
      <c r="Q6" s="3341"/>
      <c r="R6" s="3344"/>
      <c r="S6" s="3345"/>
      <c r="T6" s="3346"/>
      <c r="U6" s="3347"/>
      <c r="V6" s="3348"/>
      <c r="W6" s="3348"/>
      <c r="X6" s="1541"/>
      <c r="Y6" s="3346"/>
      <c r="Z6" s="3347"/>
      <c r="AA6" s="3331"/>
      <c r="AB6" s="3331"/>
      <c r="AC6" s="3331"/>
    </row>
    <row r="7" spans="1:30" s="113" customFormat="1" ht="15.75" thickBot="1">
      <c r="A7" s="368" t="s">
        <v>2364</v>
      </c>
      <c r="B7" s="369"/>
      <c r="C7" s="370">
        <f>'数据-取费表'!B2</f>
        <v>44134</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53" t="s">
        <v>2365</v>
      </c>
      <c r="Q7" s="3355"/>
      <c r="R7" s="710" t="s">
        <v>17</v>
      </c>
      <c r="S7" s="711">
        <f t="shared" ref="S7:S15" si="0">F7</f>
        <v>0</v>
      </c>
      <c r="T7" s="710" t="s">
        <v>17</v>
      </c>
      <c r="U7" s="711">
        <f t="shared" ref="U7:U15" si="1">H7</f>
        <v>0</v>
      </c>
      <c r="V7" s="710" t="s">
        <v>17</v>
      </c>
      <c r="W7" s="711">
        <f t="shared" ref="W7:W15" si="2">J7</f>
        <v>0</v>
      </c>
      <c r="X7" s="712"/>
      <c r="Y7" s="3353" t="s">
        <v>2365</v>
      </c>
      <c r="Z7" s="3354"/>
      <c r="AA7" s="713" t="e">
        <f>D7/F7</f>
        <v>#DIV/0!</v>
      </c>
      <c r="AB7" s="713" t="e">
        <f>D7/H7</f>
        <v>#DIV/0!</v>
      </c>
      <c r="AC7" s="713" t="e">
        <f>D7/J7</f>
        <v>#DIV/0!</v>
      </c>
    </row>
    <row r="8" spans="1:30" s="113" customFormat="1" ht="15.75" thickBot="1">
      <c r="A8" s="368" t="s">
        <v>2366</v>
      </c>
      <c r="B8" s="369"/>
      <c r="C8" s="374" t="s">
        <v>2367</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53" t="s">
        <v>2368</v>
      </c>
      <c r="Q8" s="3354"/>
      <c r="R8" s="710" t="s">
        <v>17</v>
      </c>
      <c r="S8" s="711">
        <f t="shared" si="0"/>
        <v>0</v>
      </c>
      <c r="T8" s="710" t="s">
        <v>17</v>
      </c>
      <c r="U8" s="711">
        <f t="shared" si="1"/>
        <v>0</v>
      </c>
      <c r="V8" s="710" t="s">
        <v>17</v>
      </c>
      <c r="W8" s="711">
        <f t="shared" si="2"/>
        <v>0</v>
      </c>
      <c r="X8" s="712"/>
      <c r="Y8" s="3353" t="s">
        <v>2368</v>
      </c>
      <c r="Z8" s="3354"/>
      <c r="AA8" s="713" t="e">
        <f t="shared" ref="AA8:AA45" si="3">D8/F8</f>
        <v>#DIV/0!</v>
      </c>
      <c r="AB8" s="713" t="e">
        <f t="shared" ref="AB8:AB45" si="4">D8/H8</f>
        <v>#DIV/0!</v>
      </c>
      <c r="AC8" s="713" t="e">
        <f t="shared" ref="AC8:AC45" si="5">D8/J8</f>
        <v>#DIV/0!</v>
      </c>
    </row>
    <row r="9" spans="1:30" s="113" customFormat="1">
      <c r="A9" s="375" t="s">
        <v>2369</v>
      </c>
      <c r="B9" s="67" t="s">
        <v>2370</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17" t="s">
        <v>2371</v>
      </c>
      <c r="Q9" s="1529" t="str">
        <f t="shared" ref="Q9:Q15" si="6">B9</f>
        <v>用途</v>
      </c>
      <c r="R9" s="710" t="s">
        <v>17</v>
      </c>
      <c r="S9" s="711">
        <f t="shared" si="0"/>
        <v>100</v>
      </c>
      <c r="T9" s="710" t="s">
        <v>17</v>
      </c>
      <c r="U9" s="711">
        <f t="shared" si="1"/>
        <v>100</v>
      </c>
      <c r="V9" s="710" t="s">
        <v>17</v>
      </c>
      <c r="W9" s="711">
        <f t="shared" si="2"/>
        <v>100</v>
      </c>
      <c r="X9" s="712"/>
      <c r="Y9" s="3187" t="s">
        <v>2372</v>
      </c>
      <c r="Z9" s="55" t="str">
        <f t="shared" ref="Z9:Z15" si="7">Q9</f>
        <v>用途</v>
      </c>
      <c r="AA9" s="713">
        <f t="shared" si="3"/>
        <v>1</v>
      </c>
      <c r="AB9" s="713">
        <f t="shared" si="4"/>
        <v>1</v>
      </c>
      <c r="AC9" s="713">
        <f t="shared" si="5"/>
        <v>1</v>
      </c>
    </row>
    <row r="10" spans="1:30" s="386" customFormat="1" ht="27">
      <c r="A10" s="380"/>
      <c r="B10" s="381" t="s">
        <v>2373</v>
      </c>
      <c r="C10" s="391"/>
      <c r="D10" s="132">
        <v>100</v>
      </c>
      <c r="E10" s="424"/>
      <c r="F10" s="132">
        <f>ROUND(100/'数据-取费表'!G16,0)</f>
        <v>101</v>
      </c>
      <c r="G10" s="422"/>
      <c r="H10" s="132">
        <f>ROUND(100/'数据-取费表'!G16,0)</f>
        <v>101</v>
      </c>
      <c r="I10" s="422"/>
      <c r="J10" s="132">
        <f>ROUND(100/'数据-取费表'!G16,0)</f>
        <v>101</v>
      </c>
      <c r="K10" s="628"/>
      <c r="L10" s="2949"/>
      <c r="M10" s="2950"/>
      <c r="N10" s="2950"/>
      <c r="O10" s="3003"/>
      <c r="P10" s="3317"/>
      <c r="Q10" s="1529" t="str">
        <f t="shared" si="6"/>
        <v>土地使用年限（年）</v>
      </c>
      <c r="R10" s="710" t="s">
        <v>17</v>
      </c>
      <c r="S10" s="711">
        <f t="shared" si="0"/>
        <v>101</v>
      </c>
      <c r="T10" s="710" t="s">
        <v>17</v>
      </c>
      <c r="U10" s="711">
        <f t="shared" si="1"/>
        <v>101</v>
      </c>
      <c r="V10" s="710" t="s">
        <v>17</v>
      </c>
      <c r="W10" s="711">
        <f t="shared" si="2"/>
        <v>101</v>
      </c>
      <c r="X10" s="712"/>
      <c r="Y10" s="3187"/>
      <c r="Z10" s="55" t="str">
        <f t="shared" si="7"/>
        <v>土地使用年限（年）</v>
      </c>
      <c r="AA10" s="713">
        <f t="shared" si="3"/>
        <v>0.99009900990099009</v>
      </c>
      <c r="AB10" s="713">
        <f t="shared" si="4"/>
        <v>0.99009900990099009</v>
      </c>
      <c r="AC10" s="713">
        <f t="shared" si="5"/>
        <v>0.99009900990099009</v>
      </c>
    </row>
    <row r="11" spans="1:30" ht="15">
      <c r="A11" s="387"/>
      <c r="B11" s="381" t="s">
        <v>2374</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17"/>
      <c r="Q11" s="1529"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30" s="113" customFormat="1" ht="15">
      <c r="A12" s="390"/>
      <c r="B12" s="2080" t="s">
        <v>2563</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17"/>
      <c r="Q12" s="1529" t="str">
        <f t="shared" si="6"/>
        <v>配建</v>
      </c>
      <c r="R12" s="710" t="s">
        <v>17</v>
      </c>
      <c r="S12" s="711">
        <f t="shared" si="0"/>
        <v>100</v>
      </c>
      <c r="T12" s="710" t="s">
        <v>17</v>
      </c>
      <c r="U12" s="711">
        <f t="shared" si="1"/>
        <v>100</v>
      </c>
      <c r="V12" s="710" t="s">
        <v>17</v>
      </c>
      <c r="W12" s="711">
        <f t="shared" si="2"/>
        <v>100</v>
      </c>
      <c r="X12" s="712"/>
      <c r="Y12" s="3187"/>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17"/>
      <c r="Q13" s="1529">
        <f t="shared" si="6"/>
        <v>111</v>
      </c>
      <c r="R13" s="710" t="s">
        <v>17</v>
      </c>
      <c r="S13" s="711">
        <f t="shared" si="0"/>
        <v>100</v>
      </c>
      <c r="T13" s="710" t="s">
        <v>17</v>
      </c>
      <c r="U13" s="711">
        <f t="shared" si="1"/>
        <v>100</v>
      </c>
      <c r="V13" s="710" t="s">
        <v>17</v>
      </c>
      <c r="W13" s="711">
        <f t="shared" si="2"/>
        <v>100</v>
      </c>
      <c r="X13" s="712"/>
      <c r="Y13" s="3187"/>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17"/>
      <c r="Q14" s="1529">
        <f t="shared" si="6"/>
        <v>111</v>
      </c>
      <c r="R14" s="710" t="s">
        <v>17</v>
      </c>
      <c r="S14" s="711">
        <f t="shared" si="0"/>
        <v>100</v>
      </c>
      <c r="T14" s="710" t="s">
        <v>17</v>
      </c>
      <c r="U14" s="711">
        <f t="shared" si="1"/>
        <v>100</v>
      </c>
      <c r="V14" s="710" t="s">
        <v>17</v>
      </c>
      <c r="W14" s="711">
        <f t="shared" si="2"/>
        <v>100</v>
      </c>
      <c r="X14" s="712"/>
      <c r="Y14" s="3187"/>
      <c r="Z14" s="55">
        <f t="shared" si="7"/>
        <v>111</v>
      </c>
      <c r="AA14" s="713">
        <f>D14/F14</f>
        <v>1</v>
      </c>
      <c r="AB14" s="713">
        <f>D14/H14</f>
        <v>1</v>
      </c>
      <c r="AC14" s="713">
        <f>D14/J14</f>
        <v>1</v>
      </c>
    </row>
    <row r="15" spans="1:30" ht="99.75">
      <c r="A15" s="399" t="s">
        <v>2375</v>
      </c>
      <c r="B15" s="65" t="s">
        <v>1941</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19" t="s">
        <v>2376</v>
      </c>
      <c r="Q15" s="1538" t="str">
        <f t="shared" si="6"/>
        <v>居住社区成熟度</v>
      </c>
      <c r="R15" s="714" t="s">
        <v>17</v>
      </c>
      <c r="S15" s="715">
        <f t="shared" si="0"/>
        <v>100</v>
      </c>
      <c r="T15" s="714" t="s">
        <v>17</v>
      </c>
      <c r="U15" s="715">
        <f t="shared" si="1"/>
        <v>100</v>
      </c>
      <c r="V15" s="714" t="s">
        <v>17</v>
      </c>
      <c r="W15" s="715">
        <f t="shared" si="2"/>
        <v>100</v>
      </c>
      <c r="X15" s="1541"/>
      <c r="Y15" s="3319" t="s">
        <v>2376</v>
      </c>
      <c r="Z15" s="1542" t="str">
        <f t="shared" si="7"/>
        <v>居住社区成熟度</v>
      </c>
      <c r="AA15" s="1539">
        <f t="shared" si="3"/>
        <v>1</v>
      </c>
      <c r="AB15" s="1539">
        <f t="shared" si="4"/>
        <v>1</v>
      </c>
      <c r="AC15" s="1539">
        <f t="shared" si="5"/>
        <v>1</v>
      </c>
    </row>
    <row r="16" spans="1:30" ht="15">
      <c r="A16" s="387"/>
      <c r="B16" s="405"/>
      <c r="C16" s="406"/>
      <c r="D16" s="407"/>
      <c r="E16" s="2085"/>
      <c r="F16" s="407"/>
      <c r="G16" s="2085"/>
      <c r="H16" s="409"/>
      <c r="I16" s="2084"/>
      <c r="J16" s="407"/>
      <c r="K16" s="628"/>
      <c r="L16" s="2952"/>
      <c r="M16" s="2946"/>
      <c r="N16" s="2946"/>
      <c r="O16" s="3004"/>
      <c r="P16" s="3320"/>
      <c r="Q16" s="1538"/>
      <c r="R16" s="714"/>
      <c r="S16" s="715"/>
      <c r="T16" s="714"/>
      <c r="U16" s="715"/>
      <c r="V16" s="714"/>
      <c r="W16" s="715"/>
      <c r="X16" s="1541"/>
      <c r="Y16" s="3320"/>
      <c r="Z16" s="1542"/>
      <c r="AA16" s="1539">
        <v>1</v>
      </c>
      <c r="AB16" s="1539">
        <v>1</v>
      </c>
      <c r="AC16" s="1539">
        <v>1</v>
      </c>
    </row>
    <row r="17" spans="1:29" ht="71.25">
      <c r="A17" s="387"/>
      <c r="B17" s="410" t="s">
        <v>2469</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20"/>
      <c r="Q17" s="1538" t="str">
        <f>B17</f>
        <v>商业繁华度</v>
      </c>
      <c r="R17" s="714" t="s">
        <v>17</v>
      </c>
      <c r="S17" s="715">
        <f>F17</f>
        <v>100</v>
      </c>
      <c r="T17" s="714" t="s">
        <v>17</v>
      </c>
      <c r="U17" s="715">
        <f>H17</f>
        <v>100</v>
      </c>
      <c r="V17" s="714" t="s">
        <v>17</v>
      </c>
      <c r="W17" s="715">
        <f>J17</f>
        <v>100</v>
      </c>
      <c r="X17" s="1541"/>
      <c r="Y17" s="3320"/>
      <c r="Z17" s="1542" t="str">
        <f>Q17</f>
        <v>商业繁华度</v>
      </c>
      <c r="AA17" s="1539">
        <f t="shared" si="3"/>
        <v>1</v>
      </c>
      <c r="AB17" s="1539">
        <f t="shared" si="4"/>
        <v>1</v>
      </c>
      <c r="AC17" s="1539">
        <f t="shared" si="5"/>
        <v>1</v>
      </c>
    </row>
    <row r="18" spans="1:29" ht="15">
      <c r="A18" s="387"/>
      <c r="B18" s="415"/>
      <c r="C18" s="2088"/>
      <c r="D18" s="409"/>
      <c r="E18" s="2090"/>
      <c r="F18" s="409"/>
      <c r="G18" s="2090"/>
      <c r="H18" s="407"/>
      <c r="I18" s="2089"/>
      <c r="J18" s="407"/>
      <c r="K18" s="628"/>
      <c r="L18" s="2952"/>
      <c r="M18" s="2946"/>
      <c r="N18" s="2946"/>
      <c r="O18" s="3004"/>
      <c r="P18" s="3320"/>
      <c r="Q18" s="1538"/>
      <c r="R18" s="714"/>
      <c r="S18" s="715"/>
      <c r="T18" s="714"/>
      <c r="U18" s="715"/>
      <c r="V18" s="714"/>
      <c r="W18" s="715"/>
      <c r="X18" s="1541"/>
      <c r="Y18" s="3320"/>
      <c r="Z18" s="1542"/>
      <c r="AA18" s="1539">
        <v>1</v>
      </c>
      <c r="AB18" s="1539">
        <v>1</v>
      </c>
      <c r="AC18" s="1539">
        <v>1</v>
      </c>
    </row>
    <row r="19" spans="1:29" ht="71.25">
      <c r="A19" s="387"/>
      <c r="B19" s="410" t="s">
        <v>2503</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20"/>
      <c r="Q19" s="1538" t="str">
        <f>B19</f>
        <v>办公集聚程度</v>
      </c>
      <c r="R19" s="714" t="s">
        <v>17</v>
      </c>
      <c r="S19" s="715">
        <f>F19</f>
        <v>100</v>
      </c>
      <c r="T19" s="714" t="s">
        <v>17</v>
      </c>
      <c r="U19" s="715">
        <f>H19</f>
        <v>100</v>
      </c>
      <c r="V19" s="714" t="s">
        <v>17</v>
      </c>
      <c r="W19" s="715">
        <f>J19</f>
        <v>100</v>
      </c>
      <c r="X19" s="1541"/>
      <c r="Y19" s="3320"/>
      <c r="Z19" s="1542" t="str">
        <f>Q19</f>
        <v>办公集聚程度</v>
      </c>
      <c r="AA19" s="1539">
        <f t="shared" si="3"/>
        <v>1</v>
      </c>
      <c r="AB19" s="1539">
        <f t="shared" si="4"/>
        <v>1</v>
      </c>
      <c r="AC19" s="1539">
        <f t="shared" si="5"/>
        <v>1</v>
      </c>
    </row>
    <row r="20" spans="1:29" ht="15">
      <c r="A20" s="387"/>
      <c r="B20" s="415"/>
      <c r="C20" s="406"/>
      <c r="D20" s="407"/>
      <c r="E20" s="2085"/>
      <c r="F20" s="407"/>
      <c r="G20" s="2085"/>
      <c r="H20" s="407"/>
      <c r="I20" s="2084"/>
      <c r="J20" s="407"/>
      <c r="K20" s="628"/>
      <c r="L20" s="2952"/>
      <c r="M20" s="2946"/>
      <c r="N20" s="2946"/>
      <c r="O20" s="3004"/>
      <c r="P20" s="3320"/>
      <c r="Q20" s="1538"/>
      <c r="R20" s="714"/>
      <c r="S20" s="715"/>
      <c r="T20" s="714"/>
      <c r="U20" s="715"/>
      <c r="V20" s="714"/>
      <c r="W20" s="715"/>
      <c r="X20" s="1541"/>
      <c r="Y20" s="3320"/>
      <c r="Z20" s="1542"/>
      <c r="AA20" s="1539">
        <v>1</v>
      </c>
      <c r="AB20" s="1539">
        <v>1</v>
      </c>
      <c r="AC20" s="1539">
        <v>1</v>
      </c>
    </row>
    <row r="21" spans="1:29" ht="85.5">
      <c r="A21" s="387"/>
      <c r="B21" s="410" t="s">
        <v>2525</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20"/>
      <c r="Q21" s="1538" t="str">
        <f>B21</f>
        <v>交通便捷度</v>
      </c>
      <c r="R21" s="714" t="s">
        <v>17</v>
      </c>
      <c r="S21" s="715">
        <f>F21</f>
        <v>100</v>
      </c>
      <c r="T21" s="714" t="s">
        <v>17</v>
      </c>
      <c r="U21" s="715">
        <f>H21</f>
        <v>100</v>
      </c>
      <c r="V21" s="714" t="s">
        <v>17</v>
      </c>
      <c r="W21" s="715">
        <f>J21</f>
        <v>100</v>
      </c>
      <c r="X21" s="1541"/>
      <c r="Y21" s="3320"/>
      <c r="Z21" s="1542" t="str">
        <f>Q21</f>
        <v>交通便捷度</v>
      </c>
      <c r="AA21" s="1539">
        <f t="shared" si="3"/>
        <v>1</v>
      </c>
      <c r="AB21" s="1539">
        <f t="shared" si="4"/>
        <v>1</v>
      </c>
      <c r="AC21" s="1539">
        <f t="shared" si="5"/>
        <v>1</v>
      </c>
    </row>
    <row r="22" spans="1:29" ht="15">
      <c r="A22" s="387"/>
      <c r="B22" s="1293"/>
      <c r="C22" s="406"/>
      <c r="D22" s="409"/>
      <c r="E22" s="2085"/>
      <c r="F22" s="407"/>
      <c r="G22" s="2085"/>
      <c r="H22" s="407"/>
      <c r="I22" s="2084"/>
      <c r="J22" s="407"/>
      <c r="K22" s="628"/>
      <c r="L22" s="2952"/>
      <c r="M22" s="2946"/>
      <c r="N22" s="2946"/>
      <c r="O22" s="3004"/>
      <c r="P22" s="3320"/>
      <c r="Q22" s="1538"/>
      <c r="R22" s="714"/>
      <c r="S22" s="715"/>
      <c r="T22" s="714"/>
      <c r="U22" s="715"/>
      <c r="V22" s="714"/>
      <c r="W22" s="715"/>
      <c r="X22" s="1541"/>
      <c r="Y22" s="3320"/>
      <c r="Z22" s="1542"/>
      <c r="AA22" s="1539">
        <v>1</v>
      </c>
      <c r="AB22" s="1539">
        <v>1</v>
      </c>
      <c r="AC22" s="1539">
        <v>1</v>
      </c>
    </row>
    <row r="23" spans="1:29" ht="15">
      <c r="A23" s="364"/>
      <c r="B23" s="410" t="s">
        <v>2564</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20"/>
      <c r="Q23" s="1538" t="str">
        <f t="shared" ref="Q23:Q37" si="8">B23</f>
        <v>区域土地利用方向</v>
      </c>
      <c r="R23" s="714" t="s">
        <v>17</v>
      </c>
      <c r="S23" s="715">
        <f>F23</f>
        <v>100</v>
      </c>
      <c r="T23" s="714" t="s">
        <v>17</v>
      </c>
      <c r="U23" s="715">
        <f>H23</f>
        <v>100</v>
      </c>
      <c r="V23" s="714" t="s">
        <v>17</v>
      </c>
      <c r="W23" s="715">
        <f>J23</f>
        <v>100</v>
      </c>
      <c r="X23" s="1541"/>
      <c r="Y23" s="3320"/>
      <c r="Z23" s="1542" t="str">
        <f>Q23</f>
        <v>区域土地利用方向</v>
      </c>
      <c r="AA23" s="1539">
        <f t="shared" si="3"/>
        <v>1</v>
      </c>
      <c r="AB23" s="1539">
        <f t="shared" si="4"/>
        <v>1</v>
      </c>
      <c r="AC23" s="1539">
        <f t="shared" si="5"/>
        <v>1</v>
      </c>
    </row>
    <row r="24" spans="1:29" ht="15">
      <c r="A24" s="364"/>
      <c r="B24" s="415"/>
      <c r="C24" s="573"/>
      <c r="D24" s="407"/>
      <c r="E24" s="2085"/>
      <c r="F24" s="407"/>
      <c r="G24" s="2084"/>
      <c r="H24" s="407"/>
      <c r="I24" s="2084"/>
      <c r="J24" s="407"/>
      <c r="K24" s="751"/>
      <c r="L24" s="2952"/>
      <c r="M24" s="2946"/>
      <c r="N24" s="2946"/>
      <c r="O24" s="3004"/>
      <c r="P24" s="3320"/>
      <c r="Q24" s="1538"/>
      <c r="R24" s="714"/>
      <c r="S24" s="715"/>
      <c r="T24" s="714"/>
      <c r="U24" s="715"/>
      <c r="V24" s="714"/>
      <c r="W24" s="715"/>
      <c r="X24" s="1541"/>
      <c r="Y24" s="3320"/>
      <c r="Z24" s="1542"/>
      <c r="AA24" s="1539"/>
      <c r="AB24" s="1539"/>
      <c r="AC24" s="1539"/>
    </row>
    <row r="25" spans="1:29" ht="57">
      <c r="A25" s="364"/>
      <c r="B25" s="1293" t="s">
        <v>2565</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20"/>
      <c r="Q25" s="1538" t="str">
        <f t="shared" si="8"/>
        <v>自然及人文环境状况</v>
      </c>
      <c r="R25" s="714" t="s">
        <v>17</v>
      </c>
      <c r="S25" s="715">
        <f>F25</f>
        <v>100</v>
      </c>
      <c r="T25" s="714" t="s">
        <v>17</v>
      </c>
      <c r="U25" s="715">
        <f>H25</f>
        <v>100</v>
      </c>
      <c r="V25" s="714" t="s">
        <v>17</v>
      </c>
      <c r="W25" s="715">
        <f>J25</f>
        <v>100</v>
      </c>
      <c r="X25" s="1541"/>
      <c r="Y25" s="3320"/>
      <c r="Z25" s="1542" t="str">
        <f>Q25</f>
        <v>自然及人文环境状况</v>
      </c>
      <c r="AA25" s="1539">
        <f t="shared" si="3"/>
        <v>1</v>
      </c>
      <c r="AB25" s="1539">
        <f t="shared" si="4"/>
        <v>1</v>
      </c>
      <c r="AC25" s="1539">
        <f t="shared" si="5"/>
        <v>1</v>
      </c>
    </row>
    <row r="26" spans="1:29" ht="15">
      <c r="A26" s="364"/>
      <c r="B26" s="415"/>
      <c r="C26" s="406"/>
      <c r="D26" s="407"/>
      <c r="E26" s="2091"/>
      <c r="F26" s="407"/>
      <c r="G26" s="2091"/>
      <c r="H26" s="407"/>
      <c r="I26" s="406"/>
      <c r="J26" s="407"/>
      <c r="K26" s="628"/>
      <c r="L26" s="2952"/>
      <c r="M26" s="2946"/>
      <c r="N26" s="2946"/>
      <c r="O26" s="3004"/>
      <c r="P26" s="3320"/>
      <c r="Q26" s="1538"/>
      <c r="R26" s="714"/>
      <c r="S26" s="715"/>
      <c r="T26" s="714"/>
      <c r="U26" s="715"/>
      <c r="V26" s="714"/>
      <c r="W26" s="715"/>
      <c r="X26" s="1541"/>
      <c r="Y26" s="3320"/>
      <c r="Z26" s="1542"/>
      <c r="AA26" s="1539">
        <v>1</v>
      </c>
      <c r="AB26" s="1539">
        <v>1</v>
      </c>
      <c r="AC26" s="1539">
        <v>1</v>
      </c>
    </row>
    <row r="27" spans="1:29" s="113" customFormat="1" ht="42.75">
      <c r="A27" s="605"/>
      <c r="B27" s="1293" t="s">
        <v>2470</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20"/>
      <c r="Q27" s="1529" t="str">
        <f t="shared" si="8"/>
        <v>公共配套设施</v>
      </c>
      <c r="R27" s="710" t="s">
        <v>17</v>
      </c>
      <c r="S27" s="711">
        <f>F27</f>
        <v>100</v>
      </c>
      <c r="T27" s="710" t="s">
        <v>17</v>
      </c>
      <c r="U27" s="711">
        <f>H27</f>
        <v>100</v>
      </c>
      <c r="V27" s="710" t="s">
        <v>17</v>
      </c>
      <c r="W27" s="711">
        <f>J27</f>
        <v>100</v>
      </c>
      <c r="X27" s="712"/>
      <c r="Y27" s="3320"/>
      <c r="Z27" s="55" t="str">
        <f>Q27</f>
        <v>公共配套设施</v>
      </c>
      <c r="AA27" s="1539">
        <f>D27/F27</f>
        <v>1</v>
      </c>
      <c r="AB27" s="1539">
        <f>D27/H27</f>
        <v>1</v>
      </c>
      <c r="AC27" s="1539">
        <f>D27/J27</f>
        <v>1</v>
      </c>
    </row>
    <row r="28" spans="1:29" s="113" customFormat="1" ht="15">
      <c r="A28" s="605"/>
      <c r="B28" s="415"/>
      <c r="C28" s="2165"/>
      <c r="D28" s="407"/>
      <c r="E28" s="2091"/>
      <c r="F28" s="407"/>
      <c r="G28" s="2091"/>
      <c r="H28" s="407"/>
      <c r="I28" s="406"/>
      <c r="J28" s="407"/>
      <c r="K28" s="628"/>
      <c r="L28" s="2947"/>
      <c r="M28" s="2948"/>
      <c r="N28" s="2948"/>
      <c r="O28" s="3002"/>
      <c r="P28" s="3320"/>
      <c r="Q28" s="1529"/>
      <c r="R28" s="710"/>
      <c r="S28" s="711"/>
      <c r="T28" s="710"/>
      <c r="U28" s="711"/>
      <c r="V28" s="710"/>
      <c r="W28" s="711"/>
      <c r="X28" s="712"/>
      <c r="Y28" s="3320"/>
      <c r="Z28" s="55"/>
      <c r="AA28" s="1539">
        <v>1</v>
      </c>
      <c r="AB28" s="1539">
        <v>1</v>
      </c>
      <c r="AC28" s="1539">
        <v>1</v>
      </c>
    </row>
    <row r="29" spans="1:29" s="113" customFormat="1" ht="28.5">
      <c r="A29" s="605"/>
      <c r="B29" s="1293" t="s">
        <v>2471</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20"/>
      <c r="Q29" s="1529" t="str">
        <f t="shared" ref="Q29" si="9">B29</f>
        <v>基础设施水平</v>
      </c>
      <c r="R29" s="710" t="s">
        <v>17</v>
      </c>
      <c r="S29" s="711">
        <f>F29</f>
        <v>100</v>
      </c>
      <c r="T29" s="710" t="s">
        <v>17</v>
      </c>
      <c r="U29" s="711">
        <f>H29</f>
        <v>100</v>
      </c>
      <c r="V29" s="710" t="s">
        <v>17</v>
      </c>
      <c r="W29" s="711">
        <f>J29</f>
        <v>100</v>
      </c>
      <c r="X29" s="712"/>
      <c r="Y29" s="3320"/>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7"/>
      <c r="M30" s="2948"/>
      <c r="N30" s="2948"/>
      <c r="O30" s="3002"/>
      <c r="P30" s="3320"/>
      <c r="Q30" s="1529"/>
      <c r="R30" s="710"/>
      <c r="S30" s="711"/>
      <c r="T30" s="710"/>
      <c r="U30" s="711"/>
      <c r="V30" s="710"/>
      <c r="W30" s="711"/>
      <c r="X30" s="712"/>
      <c r="Y30" s="3320"/>
      <c r="Z30" s="55"/>
      <c r="AA30" s="1539">
        <v>1</v>
      </c>
      <c r="AB30" s="1539">
        <v>1</v>
      </c>
      <c r="AC30" s="1539">
        <v>1</v>
      </c>
    </row>
    <row r="31" spans="1:29" ht="15">
      <c r="A31" s="387"/>
      <c r="B31" s="415" t="s">
        <v>2472</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20"/>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20"/>
      <c r="Z31" s="1542" t="str">
        <f t="shared" ref="Z31:Z45" si="13">Q31</f>
        <v>临街状况</v>
      </c>
      <c r="AA31" s="1539">
        <f t="shared" si="3"/>
        <v>1</v>
      </c>
      <c r="AB31" s="1539">
        <f t="shared" si="4"/>
        <v>1</v>
      </c>
      <c r="AC31" s="1539">
        <f t="shared" si="5"/>
        <v>1</v>
      </c>
    </row>
    <row r="32" spans="1:29" ht="27">
      <c r="A32" s="387"/>
      <c r="B32" s="1293" t="s">
        <v>2507</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20"/>
      <c r="Q32" s="1538" t="str">
        <f t="shared" si="8"/>
        <v>毗邻道路的类型与等级</v>
      </c>
      <c r="R32" s="714" t="s">
        <v>17</v>
      </c>
      <c r="S32" s="715">
        <f t="shared" si="10"/>
        <v>100</v>
      </c>
      <c r="T32" s="714" t="s">
        <v>17</v>
      </c>
      <c r="U32" s="715">
        <f t="shared" si="11"/>
        <v>100</v>
      </c>
      <c r="V32" s="714" t="s">
        <v>17</v>
      </c>
      <c r="W32" s="715">
        <f t="shared" si="12"/>
        <v>100</v>
      </c>
      <c r="X32" s="1541"/>
      <c r="Y32" s="3320"/>
      <c r="Z32" s="1542" t="str">
        <f t="shared" si="13"/>
        <v>毗邻道路的类型与等级</v>
      </c>
      <c r="AA32" s="1539">
        <f t="shared" si="3"/>
        <v>1</v>
      </c>
      <c r="AB32" s="1539">
        <f t="shared" si="4"/>
        <v>1</v>
      </c>
      <c r="AC32" s="1539">
        <f t="shared" si="5"/>
        <v>1</v>
      </c>
    </row>
    <row r="33" spans="1:29" ht="15">
      <c r="A33" s="387"/>
      <c r="B33" s="415"/>
      <c r="C33" s="406"/>
      <c r="D33" s="407"/>
      <c r="E33" s="2091"/>
      <c r="F33" s="407"/>
      <c r="G33" s="2091"/>
      <c r="H33" s="407"/>
      <c r="I33" s="406"/>
      <c r="J33" s="407"/>
      <c r="K33" s="570"/>
      <c r="L33" s="2952"/>
      <c r="M33" s="2946"/>
      <c r="N33" s="2946"/>
      <c r="O33" s="3004"/>
      <c r="P33" s="3320"/>
      <c r="Q33" s="1538"/>
      <c r="R33" s="714"/>
      <c r="S33" s="715"/>
      <c r="T33" s="714"/>
      <c r="U33" s="715"/>
      <c r="V33" s="714"/>
      <c r="W33" s="715"/>
      <c r="X33" s="1541"/>
      <c r="Y33" s="3320"/>
      <c r="Z33" s="1542"/>
      <c r="AA33" s="1539">
        <v>1</v>
      </c>
      <c r="AB33" s="1539">
        <v>1</v>
      </c>
      <c r="AC33" s="1539">
        <v>1</v>
      </c>
    </row>
    <row r="34" spans="1:29" ht="15">
      <c r="A34" s="387"/>
      <c r="B34" s="381" t="s">
        <v>2566</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20"/>
      <c r="Q34" s="1538" t="str">
        <f t="shared" si="8"/>
        <v>土地级别</v>
      </c>
      <c r="R34" s="714" t="s">
        <v>17</v>
      </c>
      <c r="S34" s="715">
        <f t="shared" si="10"/>
        <v>100</v>
      </c>
      <c r="T34" s="714" t="s">
        <v>17</v>
      </c>
      <c r="U34" s="715">
        <f t="shared" si="11"/>
        <v>100</v>
      </c>
      <c r="V34" s="714" t="s">
        <v>17</v>
      </c>
      <c r="W34" s="715">
        <f t="shared" si="12"/>
        <v>100</v>
      </c>
      <c r="X34" s="1541"/>
      <c r="Y34" s="3320"/>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20"/>
      <c r="Q35" s="1538">
        <f t="shared" si="8"/>
        <v>111</v>
      </c>
      <c r="R35" s="714" t="s">
        <v>17</v>
      </c>
      <c r="S35" s="715">
        <f t="shared" si="10"/>
        <v>100</v>
      </c>
      <c r="T35" s="714" t="s">
        <v>17</v>
      </c>
      <c r="U35" s="715">
        <f t="shared" si="11"/>
        <v>100</v>
      </c>
      <c r="V35" s="714" t="s">
        <v>17</v>
      </c>
      <c r="W35" s="715">
        <f t="shared" si="12"/>
        <v>100</v>
      </c>
      <c r="X35" s="1541"/>
      <c r="Y35" s="3320"/>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75" t="s">
        <v>2381</v>
      </c>
      <c r="Q36" s="1538">
        <f t="shared" si="8"/>
        <v>111</v>
      </c>
      <c r="R36" s="714" t="s">
        <v>17</v>
      </c>
      <c r="S36" s="715">
        <f t="shared" si="10"/>
        <v>100</v>
      </c>
      <c r="T36" s="714" t="s">
        <v>17</v>
      </c>
      <c r="U36" s="715">
        <f t="shared" si="11"/>
        <v>100</v>
      </c>
      <c r="V36" s="714" t="s">
        <v>17</v>
      </c>
      <c r="W36" s="715">
        <f t="shared" si="12"/>
        <v>100</v>
      </c>
      <c r="X36" s="1541"/>
      <c r="Y36" s="3324" t="s">
        <v>2381</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24"/>
      <c r="Q37" s="1538">
        <f t="shared" si="8"/>
        <v>111</v>
      </c>
      <c r="R37" s="717" t="s">
        <v>17</v>
      </c>
      <c r="S37" s="718">
        <f t="shared" si="10"/>
        <v>100</v>
      </c>
      <c r="T37" s="717" t="s">
        <v>17</v>
      </c>
      <c r="U37" s="718">
        <f t="shared" si="11"/>
        <v>100</v>
      </c>
      <c r="V37" s="717" t="s">
        <v>17</v>
      </c>
      <c r="W37" s="718">
        <f t="shared" si="12"/>
        <v>100</v>
      </c>
      <c r="X37" s="719"/>
      <c r="Y37" s="3324"/>
      <c r="Z37" s="720">
        <f t="shared" si="13"/>
        <v>111</v>
      </c>
      <c r="AA37" s="1539">
        <f t="shared" si="3"/>
        <v>1</v>
      </c>
      <c r="AB37" s="1539">
        <f t="shared" si="4"/>
        <v>1</v>
      </c>
      <c r="AC37" s="1539">
        <f t="shared" si="5"/>
        <v>1</v>
      </c>
    </row>
    <row r="38" spans="1:29" ht="15">
      <c r="A38" s="431" t="s">
        <v>2379</v>
      </c>
      <c r="B38" s="415" t="s">
        <v>2567</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24"/>
      <c r="Q38" s="1538" t="str">
        <f>B38</f>
        <v>宗地面积</v>
      </c>
      <c r="R38" s="714" t="s">
        <v>17</v>
      </c>
      <c r="S38" s="715" t="e">
        <f t="shared" si="10"/>
        <v>#N/A</v>
      </c>
      <c r="T38" s="714" t="s">
        <v>17</v>
      </c>
      <c r="U38" s="715" t="e">
        <f t="shared" si="11"/>
        <v>#N/A</v>
      </c>
      <c r="V38" s="714" t="s">
        <v>17</v>
      </c>
      <c r="W38" s="715" t="e">
        <f t="shared" si="12"/>
        <v>#N/A</v>
      </c>
      <c r="X38" s="1541"/>
      <c r="Y38" s="3324"/>
      <c r="Z38" s="1542" t="str">
        <f t="shared" si="13"/>
        <v>宗地面积</v>
      </c>
      <c r="AA38" s="1539" t="e">
        <f t="shared" si="3"/>
        <v>#N/A</v>
      </c>
      <c r="AB38" s="1539" t="e">
        <f t="shared" si="4"/>
        <v>#N/A</v>
      </c>
      <c r="AC38" s="1539" t="e">
        <f t="shared" si="5"/>
        <v>#N/A</v>
      </c>
    </row>
    <row r="39" spans="1:29" ht="15">
      <c r="A39" s="431"/>
      <c r="B39" s="381" t="s">
        <v>2568</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24"/>
      <c r="Q39" s="1538" t="str">
        <f t="shared" ref="Q39:Q45" si="14">B39</f>
        <v>宗地形状</v>
      </c>
      <c r="R39" s="714" t="s">
        <v>17</v>
      </c>
      <c r="S39" s="715">
        <f t="shared" si="10"/>
        <v>100</v>
      </c>
      <c r="T39" s="714" t="s">
        <v>17</v>
      </c>
      <c r="U39" s="715">
        <f t="shared" si="11"/>
        <v>100</v>
      </c>
      <c r="V39" s="714" t="s">
        <v>17</v>
      </c>
      <c r="W39" s="715">
        <f t="shared" si="12"/>
        <v>100</v>
      </c>
      <c r="X39" s="1541"/>
      <c r="Y39" s="3324"/>
      <c r="Z39" s="1542" t="str">
        <f t="shared" si="13"/>
        <v>宗地形状</v>
      </c>
      <c r="AA39" s="1539">
        <f t="shared" si="3"/>
        <v>1</v>
      </c>
      <c r="AB39" s="1539">
        <f t="shared" si="4"/>
        <v>1</v>
      </c>
      <c r="AC39" s="1539">
        <f t="shared" si="5"/>
        <v>1</v>
      </c>
    </row>
    <row r="40" spans="1:29" ht="15">
      <c r="A40" s="431"/>
      <c r="B40" s="381" t="s">
        <v>2569</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24"/>
      <c r="Q40" s="1538" t="str">
        <f t="shared" si="14"/>
        <v>临街宽度及深度</v>
      </c>
      <c r="R40" s="714" t="s">
        <v>17</v>
      </c>
      <c r="S40" s="715">
        <f t="shared" si="10"/>
        <v>100</v>
      </c>
      <c r="T40" s="714" t="s">
        <v>17</v>
      </c>
      <c r="U40" s="715">
        <f t="shared" si="11"/>
        <v>100</v>
      </c>
      <c r="V40" s="714" t="s">
        <v>17</v>
      </c>
      <c r="W40" s="715">
        <f t="shared" si="12"/>
        <v>100</v>
      </c>
      <c r="X40" s="1541"/>
      <c r="Y40" s="3324"/>
      <c r="Z40" s="1542" t="str">
        <f t="shared" si="13"/>
        <v>临街宽度及深度</v>
      </c>
      <c r="AA40" s="1539">
        <f t="shared" si="3"/>
        <v>1</v>
      </c>
      <c r="AB40" s="1539">
        <f t="shared" si="4"/>
        <v>1</v>
      </c>
      <c r="AC40" s="1539">
        <f t="shared" si="5"/>
        <v>1</v>
      </c>
    </row>
    <row r="41" spans="1:29" s="113" customFormat="1" ht="15">
      <c r="A41" s="432"/>
      <c r="B41" s="381" t="s">
        <v>2570</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24"/>
      <c r="Q41" s="1538" t="str">
        <f t="shared" si="14"/>
        <v>宗地开发程度</v>
      </c>
      <c r="R41" s="710" t="s">
        <v>17</v>
      </c>
      <c r="S41" s="711">
        <f t="shared" si="10"/>
        <v>100</v>
      </c>
      <c r="T41" s="710" t="s">
        <v>17</v>
      </c>
      <c r="U41" s="711">
        <f t="shared" si="11"/>
        <v>100</v>
      </c>
      <c r="V41" s="710" t="s">
        <v>17</v>
      </c>
      <c r="W41" s="711">
        <f t="shared" si="12"/>
        <v>100</v>
      </c>
      <c r="X41" s="712"/>
      <c r="Y41" s="3324"/>
      <c r="Z41" s="55" t="str">
        <f t="shared" si="13"/>
        <v>宗地开发程度</v>
      </c>
      <c r="AA41" s="713">
        <f t="shared" si="3"/>
        <v>1</v>
      </c>
      <c r="AB41" s="713">
        <f t="shared" si="4"/>
        <v>1</v>
      </c>
      <c r="AC41" s="713">
        <f t="shared" si="5"/>
        <v>1</v>
      </c>
    </row>
    <row r="42" spans="1:29" ht="15">
      <c r="A42" s="431"/>
      <c r="B42" s="381" t="s">
        <v>2571</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24" t="s">
        <v>2381</v>
      </c>
      <c r="Q42" s="1538" t="str">
        <f t="shared" si="14"/>
        <v>工程地质条件</v>
      </c>
      <c r="R42" s="714" t="s">
        <v>17</v>
      </c>
      <c r="S42" s="715">
        <f t="shared" si="10"/>
        <v>100</v>
      </c>
      <c r="T42" s="714" t="s">
        <v>17</v>
      </c>
      <c r="U42" s="715">
        <f t="shared" si="11"/>
        <v>100</v>
      </c>
      <c r="V42" s="714" t="s">
        <v>17</v>
      </c>
      <c r="W42" s="715">
        <f t="shared" si="12"/>
        <v>100</v>
      </c>
      <c r="X42" s="1541"/>
      <c r="Y42" s="3324" t="s">
        <v>2381</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24"/>
      <c r="Q43" s="1538">
        <f t="shared" si="14"/>
        <v>111</v>
      </c>
      <c r="R43" s="714" t="s">
        <v>17</v>
      </c>
      <c r="S43" s="715">
        <f t="shared" si="10"/>
        <v>100</v>
      </c>
      <c r="T43" s="714" t="s">
        <v>17</v>
      </c>
      <c r="U43" s="715">
        <f t="shared" si="11"/>
        <v>100</v>
      </c>
      <c r="V43" s="714" t="s">
        <v>17</v>
      </c>
      <c r="W43" s="715">
        <f t="shared" si="12"/>
        <v>100</v>
      </c>
      <c r="X43" s="1541"/>
      <c r="Y43" s="3324"/>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24"/>
      <c r="Q44" s="1538">
        <f t="shared" si="14"/>
        <v>111</v>
      </c>
      <c r="R44" s="714" t="s">
        <v>17</v>
      </c>
      <c r="S44" s="715">
        <f t="shared" si="10"/>
        <v>100</v>
      </c>
      <c r="T44" s="714" t="s">
        <v>17</v>
      </c>
      <c r="U44" s="715">
        <f t="shared" si="11"/>
        <v>100</v>
      </c>
      <c r="V44" s="714" t="s">
        <v>17</v>
      </c>
      <c r="W44" s="715">
        <f t="shared" si="12"/>
        <v>100</v>
      </c>
      <c r="X44" s="1541"/>
      <c r="Y44" s="3324"/>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24"/>
      <c r="Q45" s="1538">
        <f t="shared" si="14"/>
        <v>111</v>
      </c>
      <c r="R45" s="717" t="s">
        <v>17</v>
      </c>
      <c r="S45" s="718">
        <f t="shared" si="10"/>
        <v>100</v>
      </c>
      <c r="T45" s="717" t="s">
        <v>17</v>
      </c>
      <c r="U45" s="718">
        <f t="shared" si="11"/>
        <v>100</v>
      </c>
      <c r="V45" s="717" t="s">
        <v>17</v>
      </c>
      <c r="W45" s="718">
        <f t="shared" si="12"/>
        <v>100</v>
      </c>
      <c r="X45" s="719"/>
      <c r="Y45" s="3324"/>
      <c r="Z45" s="720">
        <f t="shared" si="13"/>
        <v>111</v>
      </c>
      <c r="AA45" s="1539">
        <f t="shared" si="3"/>
        <v>1</v>
      </c>
      <c r="AB45" s="1539">
        <f t="shared" si="4"/>
        <v>1</v>
      </c>
      <c r="AC45" s="1539">
        <f t="shared" si="5"/>
        <v>1</v>
      </c>
    </row>
    <row r="46" spans="1:29" ht="15">
      <c r="A46" s="438" t="s">
        <v>2536</v>
      </c>
      <c r="B46" s="2169" t="s">
        <v>2572</v>
      </c>
      <c r="C46" s="638" t="s">
        <v>1</v>
      </c>
      <c r="D46" s="440"/>
      <c r="E46" s="441"/>
      <c r="F46" s="442"/>
      <c r="G46" s="443"/>
      <c r="H46" s="444"/>
      <c r="I46" s="441"/>
      <c r="J46" s="444"/>
      <c r="K46" s="723"/>
      <c r="L46" s="2954"/>
      <c r="M46" s="2955"/>
      <c r="N46" s="2946"/>
      <c r="O46" s="2955"/>
      <c r="P46" s="3317" t="str">
        <f>A46</f>
        <v>成交单价</v>
      </c>
      <c r="Q46" s="3317"/>
      <c r="R46" s="3348">
        <f>E46</f>
        <v>0</v>
      </c>
      <c r="S46" s="3348"/>
      <c r="T46" s="3348">
        <f>G46</f>
        <v>0</v>
      </c>
      <c r="U46" s="3348"/>
      <c r="V46" s="3348">
        <f>I46</f>
        <v>0</v>
      </c>
      <c r="W46" s="3348"/>
      <c r="X46" s="699"/>
      <c r="Y46" s="721"/>
      <c r="Z46" s="699"/>
      <c r="AA46" s="699"/>
      <c r="AB46" s="699"/>
      <c r="AC46" s="699"/>
    </row>
    <row r="47" spans="1:29" ht="15.75" thickBot="1">
      <c r="A47" s="445" t="s">
        <v>2485</v>
      </c>
      <c r="B47" s="639"/>
      <c r="C47" s="448" t="e">
        <f>R48</f>
        <v>#DIV/0!</v>
      </c>
      <c r="D47" s="2539" t="s">
        <v>2876</v>
      </c>
      <c r="E47" s="448" t="e">
        <f>R47</f>
        <v>#DIV/0!</v>
      </c>
      <c r="F47" s="2540"/>
      <c r="G47" s="447" t="e">
        <f>T47</f>
        <v>#DIV/0!</v>
      </c>
      <c r="H47" s="2540"/>
      <c r="I47" s="448" t="e">
        <f>V47</f>
        <v>#DIV/0!</v>
      </c>
      <c r="J47" s="2540"/>
      <c r="K47" s="2542">
        <f>F47+H47+J47</f>
        <v>0</v>
      </c>
      <c r="L47" s="2954"/>
      <c r="M47" s="2955"/>
      <c r="N47" s="2955"/>
      <c r="O47" s="2955"/>
      <c r="P47" s="3317" t="str">
        <f>A47</f>
        <v>比较价值（元/平方米）</v>
      </c>
      <c r="Q47" s="3317"/>
      <c r="R47" s="3377" t="e">
        <f>ROUND(PRODUCT(R46,AA7:AA45),0)</f>
        <v>#DIV/0!</v>
      </c>
      <c r="S47" s="3377"/>
      <c r="T47" s="3377" t="e">
        <f>ROUND(PRODUCT(T46,AB7:AB45),0)</f>
        <v>#DIV/0!</v>
      </c>
      <c r="U47" s="3377"/>
      <c r="V47" s="3377" t="e">
        <f>ROUND(PRODUCT(V46,AC7:AC45),0)</f>
        <v>#DIV/0!</v>
      </c>
      <c r="W47" s="3377"/>
      <c r="X47" s="699"/>
      <c r="Y47" s="699"/>
      <c r="Z47" s="699"/>
      <c r="AA47" s="699"/>
      <c r="AB47" s="699"/>
      <c r="AC47" s="699"/>
    </row>
    <row r="48" spans="1:29" ht="15.75" thickBot="1">
      <c r="A48" s="449" t="s">
        <v>2573</v>
      </c>
      <c r="B48" s="450"/>
      <c r="C48" s="451" t="e">
        <f>R48</f>
        <v>#DIV/0!</v>
      </c>
      <c r="D48" s="451"/>
      <c r="E48" s="451"/>
      <c r="F48" s="451"/>
      <c r="G48" s="451"/>
      <c r="H48" s="451"/>
      <c r="I48" s="451"/>
      <c r="J48" s="451"/>
      <c r="K48" s="724"/>
      <c r="L48" s="2954"/>
      <c r="M48" s="2955"/>
      <c r="N48" s="2955"/>
      <c r="O48" s="2955"/>
      <c r="P48" s="3314" t="str">
        <f>A48</f>
        <v>估价对象XX用房的比较价值（楼面单价，元/平方米）</v>
      </c>
      <c r="Q48" s="3315"/>
      <c r="R48" s="3378" t="e">
        <f>ROUND(IF(D47="简单平均",AVERAGE(R47:W47),R47*F47+T47*H47+V47*J47),0)</f>
        <v>#DIV/0!</v>
      </c>
      <c r="S48" s="3378"/>
      <c r="T48" s="3378"/>
      <c r="U48" s="3378"/>
      <c r="V48" s="3378"/>
      <c r="W48" s="3378"/>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2487</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2488</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2489</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2574</v>
      </c>
      <c r="B55" s="641" t="s">
        <v>2575</v>
      </c>
      <c r="C55" s="2170" t="s">
        <v>2576</v>
      </c>
      <c r="D55" s="2171" t="s">
        <v>2577</v>
      </c>
      <c r="E55" s="642" t="s">
        <v>2578</v>
      </c>
      <c r="F55" s="1021" t="s">
        <v>2579</v>
      </c>
      <c r="G55" s="3332" t="s">
        <v>2580</v>
      </c>
      <c r="H55" s="3379"/>
      <c r="I55" s="140" t="s">
        <v>2581</v>
      </c>
      <c r="J55" s="2172">
        <f>项目基本情况!F35</f>
        <v>0</v>
      </c>
      <c r="K55" s="2173" t="s">
        <v>2582</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2583</v>
      </c>
      <c r="B56" s="645" t="e">
        <f>C48</f>
        <v>#DIV/0!</v>
      </c>
      <c r="C56" s="646">
        <v>1</v>
      </c>
      <c r="D56" s="1075">
        <v>1</v>
      </c>
      <c r="E56" s="646">
        <f>'数据-汇总表'!E8+'数据-汇总表'!E9</f>
        <v>65844.320000000007</v>
      </c>
      <c r="F56" s="1017" t="e">
        <f t="shared" ref="F56:F65" si="15">ROUND(B56*E56/10000,0)</f>
        <v>#DIV/0!</v>
      </c>
      <c r="G56" s="3328"/>
      <c r="H56" s="3317"/>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2584</v>
      </c>
      <c r="B57" s="224" t="e">
        <f>ROUND($C$48*C57*D57,0)</f>
        <v>#DIV/0!</v>
      </c>
      <c r="C57" s="176">
        <f t="shared" ref="C57:C65" si="16">IF($C$55="北京市系数",I57,J57)</f>
        <v>0</v>
      </c>
      <c r="D57" s="1076">
        <v>0.25</v>
      </c>
      <c r="E57" s="650"/>
      <c r="F57" s="1017" t="e">
        <f t="shared" si="15"/>
        <v>#DIV/0!</v>
      </c>
      <c r="G57" s="3380" t="s">
        <v>2585</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2586</v>
      </c>
      <c r="B58" s="224" t="e">
        <f t="shared" ref="B58:B65" si="17">ROUND($C$48*C58*D58,0)</f>
        <v>#DIV/0!</v>
      </c>
      <c r="C58" s="176">
        <f t="shared" si="16"/>
        <v>0</v>
      </c>
      <c r="D58" s="1076">
        <v>0.25</v>
      </c>
      <c r="E58" s="650"/>
      <c r="F58" s="1017" t="e">
        <f t="shared" si="15"/>
        <v>#DIV/0!</v>
      </c>
      <c r="G58" s="3380"/>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2587</v>
      </c>
      <c r="B59" s="224" t="e">
        <f t="shared" si="17"/>
        <v>#DIV/0!</v>
      </c>
      <c r="C59" s="176">
        <f t="shared" si="16"/>
        <v>0</v>
      </c>
      <c r="D59" s="1076">
        <v>0.25</v>
      </c>
      <c r="E59" s="650"/>
      <c r="F59" s="1017" t="e">
        <f t="shared" si="15"/>
        <v>#DIV/0!</v>
      </c>
      <c r="G59" s="3380"/>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2588</v>
      </c>
      <c r="B60" s="224" t="e">
        <f t="shared" si="17"/>
        <v>#DIV/0!</v>
      </c>
      <c r="C60" s="176">
        <f t="shared" si="16"/>
        <v>0</v>
      </c>
      <c r="D60" s="1076">
        <v>0.25</v>
      </c>
      <c r="E60" s="650"/>
      <c r="F60" s="1017" t="e">
        <f t="shared" si="15"/>
        <v>#DIV/0!</v>
      </c>
      <c r="G60" s="3380"/>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2589</v>
      </c>
      <c r="B61" s="224" t="e">
        <f t="shared" si="17"/>
        <v>#DIV/0!</v>
      </c>
      <c r="C61" s="176">
        <f t="shared" si="16"/>
        <v>0</v>
      </c>
      <c r="D61" s="1076">
        <v>0.25</v>
      </c>
      <c r="E61" s="223">
        <f>'数据-汇总表'!E11</f>
        <v>0</v>
      </c>
      <c r="F61" s="1017" t="e">
        <f t="shared" si="15"/>
        <v>#DIV/0!</v>
      </c>
      <c r="G61" s="2174" t="s">
        <v>2590</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2591</v>
      </c>
      <c r="B62" s="224" t="e">
        <f t="shared" si="17"/>
        <v>#DIV/0!</v>
      </c>
      <c r="C62" s="176">
        <f t="shared" si="16"/>
        <v>0</v>
      </c>
      <c r="D62" s="1076">
        <v>0.25</v>
      </c>
      <c r="E62" s="223">
        <f>'数据-汇总表'!E12</f>
        <v>0</v>
      </c>
      <c r="F62" s="1017" t="e">
        <f t="shared" si="15"/>
        <v>#DIV/0!</v>
      </c>
      <c r="G62" s="1023" t="s">
        <v>2592</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2593</v>
      </c>
      <c r="B63" s="224" t="e">
        <f t="shared" si="17"/>
        <v>#DIV/0!</v>
      </c>
      <c r="C63" s="176">
        <f t="shared" si="16"/>
        <v>0</v>
      </c>
      <c r="D63" s="1076">
        <v>0.25</v>
      </c>
      <c r="E63" s="223">
        <f>'数据-汇总表'!E13</f>
        <v>35467.410000000003</v>
      </c>
      <c r="F63" s="1017" t="e">
        <f t="shared" si="15"/>
        <v>#DIV/0!</v>
      </c>
      <c r="G63" s="1023" t="s">
        <v>2594</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2595</v>
      </c>
      <c r="B64" s="224" t="e">
        <f t="shared" si="17"/>
        <v>#DIV/0!</v>
      </c>
      <c r="C64" s="176">
        <f t="shared" si="16"/>
        <v>0</v>
      </c>
      <c r="D64" s="1076">
        <v>0.25</v>
      </c>
      <c r="E64" s="223">
        <f>'数据-汇总表'!E14</f>
        <v>0</v>
      </c>
      <c r="F64" s="1017" t="e">
        <f t="shared" si="15"/>
        <v>#DIV/0!</v>
      </c>
      <c r="G64" s="2174" t="s">
        <v>2585</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2596</v>
      </c>
      <c r="B65" s="224" t="e">
        <f t="shared" si="17"/>
        <v>#DIV/0!</v>
      </c>
      <c r="C65" s="176">
        <f t="shared" si="16"/>
        <v>0</v>
      </c>
      <c r="D65" s="1076">
        <v>0.25</v>
      </c>
      <c r="E65" s="223">
        <f>'数据-汇总表'!E15</f>
        <v>0</v>
      </c>
      <c r="F65" s="1017" t="e">
        <f t="shared" si="15"/>
        <v>#DIV/0!</v>
      </c>
      <c r="G65" s="2175" t="s">
        <v>2590</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2597</v>
      </c>
      <c r="B66" s="652" t="s">
        <v>28</v>
      </c>
      <c r="C66" s="652" t="s">
        <v>29</v>
      </c>
      <c r="D66" s="652" t="s">
        <v>997</v>
      </c>
      <c r="E66" s="652">
        <f>IF(B46="楼面地价",SUM(E56:E65),'数据-汇总表'!D3)</f>
        <v>101311.73000000001</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55"/>
      <c r="Q68" s="2955"/>
      <c r="R68" s="2955"/>
      <c r="S68" s="2955"/>
      <c r="T68" s="2955"/>
      <c r="U68" s="2955"/>
      <c r="V68" s="2955"/>
      <c r="W68" s="2955"/>
      <c r="X68" s="2955"/>
      <c r="Y68" s="2955"/>
      <c r="Z68" s="2955"/>
      <c r="AA68" s="2955"/>
      <c r="AB68" s="2955"/>
      <c r="AC68" s="2955"/>
    </row>
    <row r="69" spans="1:29" ht="21.75" thickBot="1">
      <c r="A69" s="703" t="s">
        <v>2490</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2598</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2599</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2401</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2366</v>
      </c>
      <c r="B73" s="467"/>
      <c r="C73" s="479" t="s">
        <v>2468</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2404</v>
      </c>
      <c r="B75" s="485" t="s">
        <v>2370</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2373</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2374</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2375</v>
      </c>
      <c r="B88" s="485" t="s">
        <v>2412</v>
      </c>
      <c r="C88" s="530" t="s">
        <v>2413</v>
      </c>
      <c r="D88" s="530" t="s">
        <v>2414</v>
      </c>
      <c r="E88" s="530" t="s">
        <v>2415</v>
      </c>
      <c r="F88" s="530" t="s">
        <v>2416</v>
      </c>
      <c r="G88" s="530" t="s">
        <v>2417</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2600</v>
      </c>
      <c r="C90" s="535" t="s">
        <v>2413</v>
      </c>
      <c r="D90" s="535" t="s">
        <v>2414</v>
      </c>
      <c r="E90" s="535" t="s">
        <v>2415</v>
      </c>
      <c r="F90" s="535" t="s">
        <v>2416</v>
      </c>
      <c r="G90" s="535" t="s">
        <v>2417</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2513</v>
      </c>
      <c r="C92" s="535" t="s">
        <v>2413</v>
      </c>
      <c r="D92" s="535" t="s">
        <v>2414</v>
      </c>
      <c r="E92" s="535" t="s">
        <v>2415</v>
      </c>
      <c r="F92" s="535" t="s">
        <v>2416</v>
      </c>
      <c r="G92" s="535" t="s">
        <v>2417</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2418</v>
      </c>
      <c r="C94" s="535" t="s">
        <v>2413</v>
      </c>
      <c r="D94" s="535" t="s">
        <v>2414</v>
      </c>
      <c r="E94" s="535" t="s">
        <v>2415</v>
      </c>
      <c r="F94" s="535" t="s">
        <v>2416</v>
      </c>
      <c r="G94" s="535" t="s">
        <v>2417</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2601</v>
      </c>
      <c r="C96" s="535" t="s">
        <v>2413</v>
      </c>
      <c r="D96" s="535" t="s">
        <v>2414</v>
      </c>
      <c r="E96" s="535" t="s">
        <v>2415</v>
      </c>
      <c r="F96" s="535" t="s">
        <v>2416</v>
      </c>
      <c r="G96" s="535" t="s">
        <v>2417</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2602</v>
      </c>
      <c r="C98" s="530" t="s">
        <v>2413</v>
      </c>
      <c r="D98" s="530" t="s">
        <v>2414</v>
      </c>
      <c r="E98" s="530" t="s">
        <v>2415</v>
      </c>
      <c r="F98" s="530" t="s">
        <v>2416</v>
      </c>
      <c r="G98" s="530" t="s">
        <v>2417</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2470</v>
      </c>
      <c r="C100" s="530" t="s">
        <v>2413</v>
      </c>
      <c r="D100" s="530" t="s">
        <v>2414</v>
      </c>
      <c r="E100" s="530" t="s">
        <v>2415</v>
      </c>
      <c r="F100" s="530" t="s">
        <v>2416</v>
      </c>
      <c r="G100" s="530" t="s">
        <v>2417</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2471</v>
      </c>
      <c r="C102" s="616" t="s">
        <v>2491</v>
      </c>
      <c r="D102" s="616" t="s">
        <v>2492</v>
      </c>
      <c r="E102" s="616" t="s">
        <v>2493</v>
      </c>
      <c r="F102" s="616" t="s">
        <v>2494</v>
      </c>
      <c r="G102" s="616" t="s">
        <v>2495</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2507</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2566</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2379</v>
      </c>
      <c r="B116" s="485" t="s">
        <v>2607</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2608</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2609</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2610</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2611</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2560</v>
      </c>
      <c r="B1" s="355"/>
      <c r="C1" s="356" t="s">
        <v>2612</v>
      </c>
      <c r="D1" s="695"/>
      <c r="E1" s="695"/>
      <c r="F1" s="694" t="s">
        <v>2459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2562</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2461</v>
      </c>
      <c r="B4" s="362"/>
      <c r="C4" s="3332" t="s">
        <v>2462</v>
      </c>
      <c r="D4" s="3333"/>
      <c r="E4" s="3334" t="s">
        <v>2463</v>
      </c>
      <c r="F4" s="3335"/>
      <c r="G4" s="3332" t="s">
        <v>2464</v>
      </c>
      <c r="H4" s="3333"/>
      <c r="I4" s="3332" t="s">
        <v>2465</v>
      </c>
      <c r="J4" s="3333"/>
      <c r="K4" s="567" t="s">
        <v>2466</v>
      </c>
      <c r="L4" s="2945"/>
      <c r="M4" s="2946"/>
      <c r="N4" s="2946"/>
      <c r="O4" s="2946"/>
      <c r="P4" s="3336" t="s">
        <v>2467</v>
      </c>
      <c r="Q4" s="3337"/>
      <c r="R4" s="3342" t="s">
        <v>2463</v>
      </c>
      <c r="S4" s="3343"/>
      <c r="T4" s="3342" t="s">
        <v>2464</v>
      </c>
      <c r="U4" s="3343"/>
      <c r="V4" s="3348" t="s">
        <v>2465</v>
      </c>
      <c r="W4" s="3348"/>
      <c r="X4" s="1541"/>
      <c r="Y4" s="3342" t="s">
        <v>2467</v>
      </c>
      <c r="Z4" s="3343"/>
      <c r="AA4" s="3329" t="s">
        <v>2463</v>
      </c>
      <c r="AB4" s="3330" t="s">
        <v>2464</v>
      </c>
      <c r="AC4" s="3329" t="s">
        <v>2465</v>
      </c>
    </row>
    <row r="5" spans="1:29" ht="15">
      <c r="A5" s="364"/>
      <c r="B5" s="365"/>
      <c r="C5" s="3351" t="s">
        <v>2358</v>
      </c>
      <c r="D5" s="3352"/>
      <c r="E5" s="3358" t="s">
        <v>2359</v>
      </c>
      <c r="F5" s="3359"/>
      <c r="G5" s="3351" t="s">
        <v>2360</v>
      </c>
      <c r="H5" s="3352"/>
      <c r="I5" s="3351" t="s">
        <v>2361</v>
      </c>
      <c r="J5" s="3352"/>
      <c r="K5" s="567"/>
      <c r="L5" s="2945"/>
      <c r="M5" s="2946"/>
      <c r="N5" s="2946"/>
      <c r="O5" s="2946"/>
      <c r="P5" s="3338"/>
      <c r="Q5" s="3339"/>
      <c r="R5" s="3344"/>
      <c r="S5" s="3345"/>
      <c r="T5" s="3344"/>
      <c r="U5" s="3345"/>
      <c r="V5" s="3348"/>
      <c r="W5" s="3348"/>
      <c r="X5" s="1541"/>
      <c r="Y5" s="3344"/>
      <c r="Z5" s="3345"/>
      <c r="AA5" s="3330"/>
      <c r="AB5" s="3330"/>
      <c r="AC5" s="3330"/>
    </row>
    <row r="6" spans="1:29" ht="15.75" thickBot="1">
      <c r="A6" s="366"/>
      <c r="B6" s="367"/>
      <c r="C6" s="3381" t="s">
        <v>2613</v>
      </c>
      <c r="D6" s="3382"/>
      <c r="E6" s="3383" t="s">
        <v>2613</v>
      </c>
      <c r="F6" s="3384"/>
      <c r="G6" s="3381" t="s">
        <v>2613</v>
      </c>
      <c r="H6" s="3382"/>
      <c r="I6" s="3381" t="s">
        <v>2613</v>
      </c>
      <c r="J6" s="3382"/>
      <c r="K6" s="567" t="s">
        <v>2363</v>
      </c>
      <c r="L6" s="2945"/>
      <c r="M6" s="2946"/>
      <c r="N6" s="2946"/>
      <c r="O6" s="2946"/>
      <c r="P6" s="3340"/>
      <c r="Q6" s="3341"/>
      <c r="R6" s="3344"/>
      <c r="S6" s="3345"/>
      <c r="T6" s="3346"/>
      <c r="U6" s="3347"/>
      <c r="V6" s="3348"/>
      <c r="W6" s="3348"/>
      <c r="X6" s="1541"/>
      <c r="Y6" s="3346"/>
      <c r="Z6" s="3347"/>
      <c r="AA6" s="3331"/>
      <c r="AB6" s="3331"/>
      <c r="AC6" s="3331"/>
    </row>
    <row r="7" spans="1:29" s="113" customFormat="1" ht="15.75" thickBot="1">
      <c r="A7" s="368" t="s">
        <v>2364</v>
      </c>
      <c r="B7" s="369"/>
      <c r="C7" s="370">
        <f>'数据-取费表'!B2</f>
        <v>44134</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53" t="s">
        <v>2365</v>
      </c>
      <c r="Q7" s="3355"/>
      <c r="R7" s="710" t="s">
        <v>17</v>
      </c>
      <c r="S7" s="711">
        <f t="shared" ref="S7:S15" si="0">F7</f>
        <v>0</v>
      </c>
      <c r="T7" s="710" t="s">
        <v>17</v>
      </c>
      <c r="U7" s="711">
        <f t="shared" ref="U7:U15" si="1">H7</f>
        <v>0</v>
      </c>
      <c r="V7" s="710" t="s">
        <v>17</v>
      </c>
      <c r="W7" s="711">
        <f t="shared" ref="W7:W15" si="2">J7</f>
        <v>0</v>
      </c>
      <c r="X7" s="712"/>
      <c r="Y7" s="3353" t="s">
        <v>2365</v>
      </c>
      <c r="Z7" s="3354"/>
      <c r="AA7" s="713" t="e">
        <f>D7/F7</f>
        <v>#DIV/0!</v>
      </c>
      <c r="AB7" s="713" t="e">
        <f>D7/H7</f>
        <v>#DIV/0!</v>
      </c>
      <c r="AC7" s="713" t="e">
        <f>D7/J7</f>
        <v>#DIV/0!</v>
      </c>
    </row>
    <row r="8" spans="1:29" s="113" customFormat="1" ht="15.75" thickBot="1">
      <c r="A8" s="368" t="s">
        <v>2366</v>
      </c>
      <c r="B8" s="369"/>
      <c r="C8" s="374" t="s">
        <v>2367</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53" t="s">
        <v>2368</v>
      </c>
      <c r="Q8" s="3354"/>
      <c r="R8" s="710" t="s">
        <v>17</v>
      </c>
      <c r="S8" s="711">
        <f t="shared" si="0"/>
        <v>0</v>
      </c>
      <c r="T8" s="710" t="s">
        <v>17</v>
      </c>
      <c r="U8" s="711">
        <f t="shared" si="1"/>
        <v>0</v>
      </c>
      <c r="V8" s="710" t="s">
        <v>17</v>
      </c>
      <c r="W8" s="711">
        <f t="shared" si="2"/>
        <v>0</v>
      </c>
      <c r="X8" s="712"/>
      <c r="Y8" s="3353" t="s">
        <v>2368</v>
      </c>
      <c r="Z8" s="3354"/>
      <c r="AA8" s="713" t="e">
        <f t="shared" ref="AA8:AA40" si="3">D8/F8</f>
        <v>#DIV/0!</v>
      </c>
      <c r="AB8" s="713" t="e">
        <f t="shared" ref="AB8:AB40" si="4">D8/H8</f>
        <v>#DIV/0!</v>
      </c>
      <c r="AC8" s="713" t="e">
        <f t="shared" ref="AC8:AC40" si="5">D8/J8</f>
        <v>#DIV/0!</v>
      </c>
    </row>
    <row r="9" spans="1:29" s="113" customFormat="1">
      <c r="A9" s="375" t="s">
        <v>2369</v>
      </c>
      <c r="B9" s="67" t="s">
        <v>2370</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17" t="s">
        <v>2371</v>
      </c>
      <c r="Q9" s="1529" t="str">
        <f t="shared" ref="Q9:Q15" si="6">B9</f>
        <v>用途</v>
      </c>
      <c r="R9" s="710" t="s">
        <v>17</v>
      </c>
      <c r="S9" s="711">
        <f t="shared" si="0"/>
        <v>100</v>
      </c>
      <c r="T9" s="710" t="s">
        <v>17</v>
      </c>
      <c r="U9" s="711">
        <f t="shared" si="1"/>
        <v>100</v>
      </c>
      <c r="V9" s="710" t="s">
        <v>17</v>
      </c>
      <c r="W9" s="711">
        <f t="shared" si="2"/>
        <v>100</v>
      </c>
      <c r="X9" s="712"/>
      <c r="Y9" s="3187" t="s">
        <v>2372</v>
      </c>
      <c r="Z9" s="55" t="str">
        <f t="shared" ref="Z9:Z15" si="7">Q9</f>
        <v>用途</v>
      </c>
      <c r="AA9" s="713">
        <f t="shared" si="3"/>
        <v>1</v>
      </c>
      <c r="AB9" s="713">
        <f t="shared" si="4"/>
        <v>1</v>
      </c>
      <c r="AC9" s="713">
        <f t="shared" si="5"/>
        <v>1</v>
      </c>
    </row>
    <row r="10" spans="1:29" s="386" customFormat="1" ht="27">
      <c r="A10" s="380"/>
      <c r="B10" s="381" t="s">
        <v>2373</v>
      </c>
      <c r="C10" s="391"/>
      <c r="D10" s="132">
        <v>100</v>
      </c>
      <c r="E10" s="391"/>
      <c r="F10" s="132">
        <f>ROUND(100/'数据-取费表'!G16,0)</f>
        <v>101</v>
      </c>
      <c r="G10" s="391"/>
      <c r="H10" s="132">
        <f>ROUND(100/'数据-取费表'!G16,0)</f>
        <v>101</v>
      </c>
      <c r="I10" s="391"/>
      <c r="J10" s="132">
        <f>ROUND(100/'数据-取费表'!G16,0)</f>
        <v>101</v>
      </c>
      <c r="K10" s="628"/>
      <c r="L10" s="2949"/>
      <c r="M10" s="2950"/>
      <c r="N10" s="2950"/>
      <c r="O10" s="3003"/>
      <c r="P10" s="3317"/>
      <c r="Q10" s="1529" t="str">
        <f t="shared" si="6"/>
        <v>土地使用年限（年）</v>
      </c>
      <c r="R10" s="710" t="s">
        <v>17</v>
      </c>
      <c r="S10" s="711">
        <f t="shared" si="0"/>
        <v>101</v>
      </c>
      <c r="T10" s="710" t="s">
        <v>17</v>
      </c>
      <c r="U10" s="711">
        <f t="shared" si="1"/>
        <v>101</v>
      </c>
      <c r="V10" s="710" t="s">
        <v>17</v>
      </c>
      <c r="W10" s="711">
        <f t="shared" si="2"/>
        <v>101</v>
      </c>
      <c r="X10" s="712"/>
      <c r="Y10" s="3187"/>
      <c r="Z10" s="55" t="str">
        <f t="shared" si="7"/>
        <v>土地使用年限（年）</v>
      </c>
      <c r="AA10" s="713">
        <f t="shared" si="3"/>
        <v>0.99009900990099009</v>
      </c>
      <c r="AB10" s="713">
        <f t="shared" si="4"/>
        <v>0.99009900990099009</v>
      </c>
      <c r="AC10" s="713">
        <f t="shared" si="5"/>
        <v>0.99009900990099009</v>
      </c>
    </row>
    <row r="11" spans="1:29" ht="15">
      <c r="A11" s="387"/>
      <c r="B11" s="381" t="s">
        <v>2374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17"/>
      <c r="Q11" s="1529"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17"/>
      <c r="Q12" s="1529">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17"/>
      <c r="Q13" s="1529">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17"/>
      <c r="Q14" s="1529">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713">
        <f t="shared" si="5"/>
        <v>1</v>
      </c>
    </row>
    <row r="15" spans="1:29" ht="57">
      <c r="A15" s="399" t="s">
        <v>2375</v>
      </c>
      <c r="B15" s="585" t="s">
        <v>2614</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19" t="s">
        <v>2376</v>
      </c>
      <c r="Q15" s="1538" t="str">
        <f t="shared" si="6"/>
        <v>产业集聚程度</v>
      </c>
      <c r="R15" s="714" t="s">
        <v>17</v>
      </c>
      <c r="S15" s="715">
        <f t="shared" si="0"/>
        <v>100</v>
      </c>
      <c r="T15" s="714" t="s">
        <v>17</v>
      </c>
      <c r="U15" s="715">
        <f t="shared" si="1"/>
        <v>100</v>
      </c>
      <c r="V15" s="714" t="s">
        <v>17</v>
      </c>
      <c r="W15" s="715">
        <f t="shared" si="2"/>
        <v>100</v>
      </c>
      <c r="X15" s="1541"/>
      <c r="Y15" s="3319" t="s">
        <v>2376</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2"/>
      <c r="M16" s="2946"/>
      <c r="N16" s="2946"/>
      <c r="O16" s="3004"/>
      <c r="P16" s="3320"/>
      <c r="Q16" s="1538"/>
      <c r="R16" s="714"/>
      <c r="S16" s="715"/>
      <c r="T16" s="714"/>
      <c r="U16" s="715"/>
      <c r="V16" s="714"/>
      <c r="W16" s="715"/>
      <c r="X16" s="1541"/>
      <c r="Y16" s="3320"/>
      <c r="Z16" s="1542"/>
      <c r="AA16" s="1539">
        <v>1</v>
      </c>
      <c r="AB16" s="1539">
        <v>1</v>
      </c>
      <c r="AC16" s="1539">
        <v>1</v>
      </c>
    </row>
    <row r="17" spans="1:29" ht="85.5">
      <c r="A17" s="387"/>
      <c r="B17" s="587" t="s">
        <v>2525</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20"/>
      <c r="Q17" s="1538" t="str">
        <f>B17</f>
        <v>交通便捷度</v>
      </c>
      <c r="R17" s="714" t="s">
        <v>17</v>
      </c>
      <c r="S17" s="715">
        <f>F17</f>
        <v>100</v>
      </c>
      <c r="T17" s="714" t="s">
        <v>17</v>
      </c>
      <c r="U17" s="715">
        <f>H17</f>
        <v>100</v>
      </c>
      <c r="V17" s="714" t="s">
        <v>17</v>
      </c>
      <c r="W17" s="715">
        <f>J17</f>
        <v>100</v>
      </c>
      <c r="X17" s="1541"/>
      <c r="Y17" s="3320"/>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2"/>
      <c r="M18" s="2946"/>
      <c r="N18" s="2946"/>
      <c r="O18" s="3004"/>
      <c r="P18" s="3320"/>
      <c r="Q18" s="1538"/>
      <c r="R18" s="714"/>
      <c r="S18" s="715"/>
      <c r="T18" s="714"/>
      <c r="U18" s="715"/>
      <c r="V18" s="714"/>
      <c r="W18" s="715"/>
      <c r="X18" s="1541"/>
      <c r="Y18" s="3320"/>
      <c r="Z18" s="1542"/>
      <c r="AA18" s="1539">
        <v>1</v>
      </c>
      <c r="AB18" s="1539">
        <v>1</v>
      </c>
      <c r="AC18" s="1539">
        <v>1</v>
      </c>
    </row>
    <row r="19" spans="1:29" ht="15">
      <c r="A19" s="387"/>
      <c r="B19" s="587" t="s">
        <v>2564</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20"/>
      <c r="Q19" s="1538" t="str">
        <f t="shared" ref="Q19:Q33" si="8">B19</f>
        <v>区域土地利用方向</v>
      </c>
      <c r="R19" s="714" t="s">
        <v>17</v>
      </c>
      <c r="S19" s="715">
        <f>F19</f>
        <v>100</v>
      </c>
      <c r="T19" s="714" t="s">
        <v>17</v>
      </c>
      <c r="U19" s="715">
        <f>H19</f>
        <v>100</v>
      </c>
      <c r="V19" s="714" t="s">
        <v>17</v>
      </c>
      <c r="W19" s="715">
        <f>J19</f>
        <v>100</v>
      </c>
      <c r="X19" s="1541"/>
      <c r="Y19" s="3320"/>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2"/>
      <c r="M20" s="2946"/>
      <c r="N20" s="2946"/>
      <c r="O20" s="3004"/>
      <c r="P20" s="3320"/>
      <c r="Q20" s="1538"/>
      <c r="R20" s="714"/>
      <c r="S20" s="715"/>
      <c r="T20" s="714"/>
      <c r="U20" s="715"/>
      <c r="V20" s="714"/>
      <c r="W20" s="715"/>
      <c r="X20" s="1541"/>
      <c r="Y20" s="3320"/>
      <c r="Z20" s="1542"/>
      <c r="AA20" s="1539"/>
      <c r="AB20" s="1539"/>
      <c r="AC20" s="1539"/>
    </row>
    <row r="21" spans="1:29" ht="71.25">
      <c r="A21" s="364"/>
      <c r="B21" s="587" t="s">
        <v>2615</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20"/>
      <c r="Q21" s="1538" t="str">
        <f t="shared" si="8"/>
        <v>环境状况</v>
      </c>
      <c r="R21" s="714" t="s">
        <v>17</v>
      </c>
      <c r="S21" s="715">
        <f>F21</f>
        <v>100</v>
      </c>
      <c r="T21" s="714" t="s">
        <v>17</v>
      </c>
      <c r="U21" s="715">
        <f>H21</f>
        <v>100</v>
      </c>
      <c r="V21" s="714" t="s">
        <v>17</v>
      </c>
      <c r="W21" s="715">
        <f>J21</f>
        <v>100</v>
      </c>
      <c r="X21" s="1541"/>
      <c r="Y21" s="3320"/>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2"/>
      <c r="M22" s="2946"/>
      <c r="N22" s="2946"/>
      <c r="O22" s="3004"/>
      <c r="P22" s="3320"/>
      <c r="Q22" s="1538"/>
      <c r="R22" s="714"/>
      <c r="S22" s="715"/>
      <c r="T22" s="714"/>
      <c r="U22" s="715"/>
      <c r="V22" s="714"/>
      <c r="W22" s="715"/>
      <c r="X22" s="1541"/>
      <c r="Y22" s="3320"/>
      <c r="Z22" s="1542"/>
      <c r="AA22" s="1539">
        <v>1</v>
      </c>
      <c r="AB22" s="1539">
        <v>1</v>
      </c>
      <c r="AC22" s="1539">
        <v>1</v>
      </c>
    </row>
    <row r="23" spans="1:29" s="113" customFormat="1" ht="42.75">
      <c r="A23" s="605"/>
      <c r="B23" s="589" t="s">
        <v>2470</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20"/>
      <c r="Q23" s="1529" t="str">
        <f t="shared" si="8"/>
        <v>公共配套设施</v>
      </c>
      <c r="R23" s="710" t="s">
        <v>17</v>
      </c>
      <c r="S23" s="711">
        <f>F23</f>
        <v>100</v>
      </c>
      <c r="T23" s="710" t="s">
        <v>17</v>
      </c>
      <c r="U23" s="711">
        <f>H23</f>
        <v>100</v>
      </c>
      <c r="V23" s="710" t="s">
        <v>17</v>
      </c>
      <c r="W23" s="711">
        <f>J23</f>
        <v>100</v>
      </c>
      <c r="X23" s="712"/>
      <c r="Y23" s="3320"/>
      <c r="Z23" s="55" t="str">
        <f>Q23</f>
        <v>公共配套设施</v>
      </c>
      <c r="AA23" s="1539">
        <f>D23/F23</f>
        <v>1</v>
      </c>
      <c r="AB23" s="1539">
        <f>D23/H23</f>
        <v>1</v>
      </c>
      <c r="AC23" s="1539">
        <f>D23/J23</f>
        <v>1</v>
      </c>
    </row>
    <row r="24" spans="1:29" s="113" customFormat="1" ht="15">
      <c r="A24" s="605"/>
      <c r="B24" s="588"/>
      <c r="C24" s="2165"/>
      <c r="D24" s="407"/>
      <c r="E24" s="2091"/>
      <c r="F24" s="407"/>
      <c r="G24" s="2091"/>
      <c r="H24" s="407"/>
      <c r="I24" s="406"/>
      <c r="J24" s="407"/>
      <c r="K24" s="628"/>
      <c r="L24" s="2947"/>
      <c r="M24" s="2948"/>
      <c r="N24" s="2948"/>
      <c r="O24" s="3002"/>
      <c r="P24" s="3320"/>
      <c r="Q24" s="1529"/>
      <c r="R24" s="710"/>
      <c r="S24" s="711"/>
      <c r="T24" s="710"/>
      <c r="U24" s="711"/>
      <c r="V24" s="710"/>
      <c r="W24" s="711"/>
      <c r="X24" s="712"/>
      <c r="Y24" s="3320"/>
      <c r="Z24" s="55"/>
      <c r="AA24" s="713">
        <v>1</v>
      </c>
      <c r="AB24" s="713">
        <v>1</v>
      </c>
      <c r="AC24" s="713">
        <v>1</v>
      </c>
    </row>
    <row r="25" spans="1:29" s="113" customFormat="1" ht="28.5">
      <c r="A25" s="605"/>
      <c r="B25" s="589" t="s">
        <v>2471</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20"/>
      <c r="Q25" s="1529" t="str">
        <f t="shared" ref="Q25" si="9">B25</f>
        <v>基础设施水平</v>
      </c>
      <c r="R25" s="710" t="s">
        <v>17</v>
      </c>
      <c r="S25" s="711">
        <f>F25</f>
        <v>100</v>
      </c>
      <c r="T25" s="710" t="s">
        <v>17</v>
      </c>
      <c r="U25" s="711">
        <f>H25</f>
        <v>100</v>
      </c>
      <c r="V25" s="710" t="s">
        <v>17</v>
      </c>
      <c r="W25" s="711">
        <f>J25</f>
        <v>100</v>
      </c>
      <c r="X25" s="712"/>
      <c r="Y25" s="3320"/>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7"/>
      <c r="M26" s="2948"/>
      <c r="N26" s="2948"/>
      <c r="O26" s="3002"/>
      <c r="P26" s="3320"/>
      <c r="Q26" s="1529"/>
      <c r="R26" s="710"/>
      <c r="S26" s="711"/>
      <c r="T26" s="710"/>
      <c r="U26" s="711"/>
      <c r="V26" s="710"/>
      <c r="W26" s="711"/>
      <c r="X26" s="712"/>
      <c r="Y26" s="3320"/>
      <c r="Z26" s="55"/>
      <c r="AA26" s="713">
        <v>1</v>
      </c>
      <c r="AB26" s="713">
        <v>1</v>
      </c>
      <c r="AC26" s="713">
        <v>1</v>
      </c>
    </row>
    <row r="27" spans="1:29" ht="15">
      <c r="A27" s="387"/>
      <c r="B27" s="588" t="s">
        <v>2472</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20"/>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20"/>
      <c r="Z27" s="1542" t="str">
        <f t="shared" ref="Z27:Z40" si="13">Q27</f>
        <v>临街状况</v>
      </c>
      <c r="AA27" s="1539">
        <f t="shared" si="3"/>
        <v>1</v>
      </c>
      <c r="AB27" s="1539">
        <f t="shared" si="4"/>
        <v>1</v>
      </c>
      <c r="AC27" s="1539">
        <f t="shared" si="5"/>
        <v>1</v>
      </c>
    </row>
    <row r="28" spans="1:29" ht="27">
      <c r="A28" s="387"/>
      <c r="B28" s="589" t="s">
        <v>2507</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20"/>
      <c r="Q28" s="1538" t="str">
        <f t="shared" si="8"/>
        <v>毗邻道路的类型与等级</v>
      </c>
      <c r="R28" s="714" t="s">
        <v>17</v>
      </c>
      <c r="S28" s="715">
        <f t="shared" si="10"/>
        <v>100</v>
      </c>
      <c r="T28" s="714" t="s">
        <v>17</v>
      </c>
      <c r="U28" s="715">
        <f t="shared" si="11"/>
        <v>100</v>
      </c>
      <c r="V28" s="714" t="s">
        <v>17</v>
      </c>
      <c r="W28" s="715">
        <f t="shared" si="12"/>
        <v>100</v>
      </c>
      <c r="X28" s="1541"/>
      <c r="Y28" s="3320"/>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2"/>
      <c r="M29" s="2946"/>
      <c r="N29" s="2946"/>
      <c r="O29" s="3004"/>
      <c r="P29" s="3320"/>
      <c r="Q29" s="1538"/>
      <c r="R29" s="714"/>
      <c r="S29" s="715"/>
      <c r="T29" s="714"/>
      <c r="U29" s="715"/>
      <c r="V29" s="714"/>
      <c r="W29" s="715"/>
      <c r="X29" s="1541"/>
      <c r="Y29" s="3320"/>
      <c r="Z29" s="1542"/>
      <c r="AA29" s="1539">
        <v>1</v>
      </c>
      <c r="AB29" s="1539">
        <v>1</v>
      </c>
      <c r="AC29" s="1539">
        <v>1</v>
      </c>
    </row>
    <row r="30" spans="1:29" ht="15">
      <c r="A30" s="387"/>
      <c r="B30" s="610" t="s">
        <v>2566</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20"/>
      <c r="Q30" s="1538" t="str">
        <f t="shared" si="8"/>
        <v>土地级别</v>
      </c>
      <c r="R30" s="714" t="s">
        <v>17</v>
      </c>
      <c r="S30" s="715">
        <f t="shared" si="10"/>
        <v>100</v>
      </c>
      <c r="T30" s="714" t="s">
        <v>17</v>
      </c>
      <c r="U30" s="715">
        <f t="shared" si="11"/>
        <v>100</v>
      </c>
      <c r="V30" s="714" t="s">
        <v>17</v>
      </c>
      <c r="W30" s="715">
        <f t="shared" si="12"/>
        <v>100</v>
      </c>
      <c r="X30" s="1541"/>
      <c r="Y30" s="3320"/>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20"/>
      <c r="Q31" s="1538">
        <f t="shared" si="8"/>
        <v>111</v>
      </c>
      <c r="R31" s="714" t="s">
        <v>17</v>
      </c>
      <c r="S31" s="715">
        <f t="shared" si="10"/>
        <v>100</v>
      </c>
      <c r="T31" s="714" t="s">
        <v>17</v>
      </c>
      <c r="U31" s="715">
        <f t="shared" si="11"/>
        <v>100</v>
      </c>
      <c r="V31" s="714" t="s">
        <v>17</v>
      </c>
      <c r="W31" s="715">
        <f t="shared" si="12"/>
        <v>100</v>
      </c>
      <c r="X31" s="1541"/>
      <c r="Y31" s="3320"/>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75" t="s">
        <v>2381</v>
      </c>
      <c r="Q32" s="1538">
        <f t="shared" si="8"/>
        <v>111</v>
      </c>
      <c r="R32" s="714" t="s">
        <v>17</v>
      </c>
      <c r="S32" s="715">
        <f t="shared" si="10"/>
        <v>100</v>
      </c>
      <c r="T32" s="714" t="s">
        <v>17</v>
      </c>
      <c r="U32" s="715">
        <f t="shared" si="11"/>
        <v>100</v>
      </c>
      <c r="V32" s="714" t="s">
        <v>17</v>
      </c>
      <c r="W32" s="715">
        <f t="shared" si="12"/>
        <v>100</v>
      </c>
      <c r="X32" s="1541"/>
      <c r="Y32" s="3324" t="s">
        <v>2381</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24"/>
      <c r="Q33" s="1538">
        <f t="shared" si="8"/>
        <v>111</v>
      </c>
      <c r="R33" s="717" t="s">
        <v>17</v>
      </c>
      <c r="S33" s="718">
        <f t="shared" si="10"/>
        <v>100</v>
      </c>
      <c r="T33" s="717" t="s">
        <v>17</v>
      </c>
      <c r="U33" s="718">
        <f t="shared" si="11"/>
        <v>100</v>
      </c>
      <c r="V33" s="717" t="s">
        <v>17</v>
      </c>
      <c r="W33" s="718">
        <f t="shared" si="12"/>
        <v>100</v>
      </c>
      <c r="X33" s="719"/>
      <c r="Y33" s="3324"/>
      <c r="Z33" s="720">
        <f t="shared" si="13"/>
        <v>111</v>
      </c>
      <c r="AA33" s="1539">
        <f t="shared" si="3"/>
        <v>1</v>
      </c>
      <c r="AB33" s="1539">
        <f t="shared" si="4"/>
        <v>1</v>
      </c>
      <c r="AC33" s="1539">
        <f t="shared" si="5"/>
        <v>1</v>
      </c>
    </row>
    <row r="34" spans="1:31" ht="15">
      <c r="A34" s="399" t="s">
        <v>2379</v>
      </c>
      <c r="B34" s="415" t="s">
        <v>2567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24"/>
      <c r="Q34" s="1538" t="str">
        <f>B34</f>
        <v>宗地面积</v>
      </c>
      <c r="R34" s="714" t="s">
        <v>17</v>
      </c>
      <c r="S34" s="715" t="e">
        <f t="shared" si="10"/>
        <v>#N/A</v>
      </c>
      <c r="T34" s="714" t="s">
        <v>17</v>
      </c>
      <c r="U34" s="715" t="e">
        <f t="shared" si="11"/>
        <v>#N/A</v>
      </c>
      <c r="V34" s="714" t="s">
        <v>17</v>
      </c>
      <c r="W34" s="715" t="e">
        <f t="shared" si="12"/>
        <v>#N/A</v>
      </c>
      <c r="X34" s="1541"/>
      <c r="Y34" s="3324"/>
      <c r="Z34" s="1542" t="str">
        <f t="shared" si="13"/>
        <v>宗地面积</v>
      </c>
      <c r="AA34" s="1539" t="e">
        <f t="shared" si="3"/>
        <v>#N/A</v>
      </c>
      <c r="AB34" s="1539" t="e">
        <f t="shared" si="4"/>
        <v>#N/A</v>
      </c>
      <c r="AC34" s="1539" t="e">
        <f t="shared" si="5"/>
        <v>#N/A</v>
      </c>
    </row>
    <row r="35" spans="1:31" ht="15">
      <c r="A35" s="431"/>
      <c r="B35" s="381" t="s">
        <v>2568</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24"/>
      <c r="Q35" s="1538" t="str">
        <f t="shared" ref="Q35:Q40" si="14">B35</f>
        <v>宗地形状</v>
      </c>
      <c r="R35" s="714" t="s">
        <v>17</v>
      </c>
      <c r="S35" s="715">
        <f t="shared" si="10"/>
        <v>100</v>
      </c>
      <c r="T35" s="714" t="s">
        <v>17</v>
      </c>
      <c r="U35" s="715">
        <f t="shared" si="11"/>
        <v>100</v>
      </c>
      <c r="V35" s="714" t="s">
        <v>17</v>
      </c>
      <c r="W35" s="715">
        <f t="shared" si="12"/>
        <v>100</v>
      </c>
      <c r="X35" s="1541"/>
      <c r="Y35" s="3324"/>
      <c r="Z35" s="1542" t="str">
        <f t="shared" si="13"/>
        <v>宗地形状</v>
      </c>
      <c r="AA35" s="1539">
        <f t="shared" si="3"/>
        <v>1</v>
      </c>
      <c r="AB35" s="1539">
        <f t="shared" si="4"/>
        <v>1</v>
      </c>
      <c r="AC35" s="1539">
        <f t="shared" si="5"/>
        <v>1</v>
      </c>
    </row>
    <row r="36" spans="1:31" s="113" customFormat="1" ht="15">
      <c r="A36" s="432"/>
      <c r="B36" s="381" t="s">
        <v>2570</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24"/>
      <c r="Q36" s="1538" t="str">
        <f t="shared" si="14"/>
        <v>宗地开发程度</v>
      </c>
      <c r="R36" s="710" t="s">
        <v>17</v>
      </c>
      <c r="S36" s="711">
        <f t="shared" si="10"/>
        <v>100</v>
      </c>
      <c r="T36" s="710" t="s">
        <v>17</v>
      </c>
      <c r="U36" s="711">
        <f t="shared" si="11"/>
        <v>100</v>
      </c>
      <c r="V36" s="710" t="s">
        <v>17</v>
      </c>
      <c r="W36" s="711">
        <f t="shared" si="12"/>
        <v>100</v>
      </c>
      <c r="X36" s="712"/>
      <c r="Y36" s="3324"/>
      <c r="Z36" s="55" t="str">
        <f t="shared" si="13"/>
        <v>宗地开发程度</v>
      </c>
      <c r="AA36" s="713">
        <f t="shared" si="3"/>
        <v>1</v>
      </c>
      <c r="AB36" s="713">
        <f t="shared" si="4"/>
        <v>1</v>
      </c>
      <c r="AC36" s="713">
        <f t="shared" si="5"/>
        <v>1</v>
      </c>
    </row>
    <row r="37" spans="1:31" ht="15">
      <c r="A37" s="431"/>
      <c r="B37" s="381" t="s">
        <v>2571</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24" t="s">
        <v>2381</v>
      </c>
      <c r="Q37" s="1538" t="str">
        <f t="shared" si="14"/>
        <v>工程地质条件</v>
      </c>
      <c r="R37" s="714" t="s">
        <v>17</v>
      </c>
      <c r="S37" s="715">
        <f t="shared" si="10"/>
        <v>100</v>
      </c>
      <c r="T37" s="714" t="s">
        <v>17</v>
      </c>
      <c r="U37" s="715">
        <f t="shared" si="11"/>
        <v>100</v>
      </c>
      <c r="V37" s="714" t="s">
        <v>17</v>
      </c>
      <c r="W37" s="715">
        <f t="shared" si="12"/>
        <v>100</v>
      </c>
      <c r="X37" s="1541"/>
      <c r="Y37" s="3324" t="s">
        <v>2381</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24"/>
      <c r="Q38" s="1538">
        <f t="shared" si="14"/>
        <v>111</v>
      </c>
      <c r="R38" s="714" t="s">
        <v>17</v>
      </c>
      <c r="S38" s="715">
        <f t="shared" si="10"/>
        <v>100</v>
      </c>
      <c r="T38" s="714" t="s">
        <v>17</v>
      </c>
      <c r="U38" s="715">
        <f t="shared" si="11"/>
        <v>100</v>
      </c>
      <c r="V38" s="714" t="s">
        <v>17</v>
      </c>
      <c r="W38" s="715">
        <f t="shared" si="12"/>
        <v>100</v>
      </c>
      <c r="X38" s="1541"/>
      <c r="Y38" s="3324"/>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24"/>
      <c r="Q39" s="1538">
        <f t="shared" si="14"/>
        <v>111</v>
      </c>
      <c r="R39" s="714" t="s">
        <v>17</v>
      </c>
      <c r="S39" s="715">
        <f t="shared" si="10"/>
        <v>100</v>
      </c>
      <c r="T39" s="714" t="s">
        <v>17</v>
      </c>
      <c r="U39" s="715">
        <f t="shared" si="11"/>
        <v>100</v>
      </c>
      <c r="V39" s="714" t="s">
        <v>17</v>
      </c>
      <c r="W39" s="715">
        <f t="shared" si="12"/>
        <v>100</v>
      </c>
      <c r="X39" s="1541"/>
      <c r="Y39" s="3324"/>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24"/>
      <c r="Q40" s="1538">
        <f t="shared" si="14"/>
        <v>111</v>
      </c>
      <c r="R40" s="717" t="s">
        <v>17</v>
      </c>
      <c r="S40" s="718">
        <f t="shared" si="10"/>
        <v>100</v>
      </c>
      <c r="T40" s="717" t="s">
        <v>17</v>
      </c>
      <c r="U40" s="718">
        <f t="shared" si="11"/>
        <v>100</v>
      </c>
      <c r="V40" s="717" t="s">
        <v>17</v>
      </c>
      <c r="W40" s="718">
        <f t="shared" si="12"/>
        <v>100</v>
      </c>
      <c r="X40" s="719"/>
      <c r="Y40" s="3324"/>
      <c r="Z40" s="720">
        <f t="shared" si="13"/>
        <v>111</v>
      </c>
      <c r="AA40" s="1539">
        <f t="shared" si="3"/>
        <v>1</v>
      </c>
      <c r="AB40" s="1539">
        <f t="shared" si="4"/>
        <v>1</v>
      </c>
      <c r="AC40" s="1539">
        <f t="shared" si="5"/>
        <v>1</v>
      </c>
    </row>
    <row r="41" spans="1:31" ht="15">
      <c r="A41" s="438" t="s">
        <v>2536</v>
      </c>
      <c r="B41" s="2169" t="s">
        <v>2616</v>
      </c>
      <c r="C41" s="638" t="s">
        <v>1</v>
      </c>
      <c r="D41" s="440"/>
      <c r="E41" s="441"/>
      <c r="F41" s="442"/>
      <c r="G41" s="443"/>
      <c r="H41" s="444"/>
      <c r="I41" s="441"/>
      <c r="J41" s="444"/>
      <c r="K41" s="723"/>
      <c r="L41" s="2954"/>
      <c r="M41" s="2946"/>
      <c r="N41" s="2946"/>
      <c r="O41" s="2955"/>
      <c r="P41" s="3317" t="str">
        <f>A41</f>
        <v>成交单价</v>
      </c>
      <c r="Q41" s="3317"/>
      <c r="R41" s="3348">
        <f>E41</f>
        <v>0</v>
      </c>
      <c r="S41" s="3348"/>
      <c r="T41" s="3348">
        <f>G41</f>
        <v>0</v>
      </c>
      <c r="U41" s="3348"/>
      <c r="V41" s="3348">
        <f>I41</f>
        <v>0</v>
      </c>
      <c r="W41" s="3348"/>
      <c r="X41" s="699"/>
      <c r="Y41" s="721"/>
      <c r="Z41" s="699"/>
      <c r="AA41" s="699"/>
      <c r="AB41" s="699"/>
      <c r="AC41" s="699"/>
    </row>
    <row r="42" spans="1:31" ht="15.75" thickBot="1">
      <c r="A42" s="445" t="s">
        <v>2485</v>
      </c>
      <c r="B42" s="639"/>
      <c r="C42" s="448" t="e">
        <f>R43</f>
        <v>#DIV/0!</v>
      </c>
      <c r="D42" s="2539" t="s">
        <v>2876</v>
      </c>
      <c r="E42" s="448" t="e">
        <f>R42</f>
        <v>#DIV/0!</v>
      </c>
      <c r="F42" s="2540"/>
      <c r="G42" s="447" t="e">
        <f>T42</f>
        <v>#DIV/0!</v>
      </c>
      <c r="H42" s="2540"/>
      <c r="I42" s="448" t="e">
        <f>V42</f>
        <v>#DIV/0!</v>
      </c>
      <c r="J42" s="2540"/>
      <c r="K42" s="2542">
        <f>F42+H42+J42</f>
        <v>0</v>
      </c>
      <c r="L42" s="2954"/>
      <c r="M42" s="2946"/>
      <c r="N42" s="2946"/>
      <c r="O42" s="2955"/>
      <c r="P42" s="3317" t="str">
        <f>A42</f>
        <v>比较价值（元/平方米）</v>
      </c>
      <c r="Q42" s="3317"/>
      <c r="R42" s="3377" t="e">
        <f>ROUND(PRODUCT(R41,AA7:AA40),0)</f>
        <v>#DIV/0!</v>
      </c>
      <c r="S42" s="3377"/>
      <c r="T42" s="3377" t="e">
        <f>ROUND(PRODUCT(T41,AB7:AB40),0)</f>
        <v>#DIV/0!</v>
      </c>
      <c r="U42" s="3377"/>
      <c r="V42" s="3377" t="e">
        <f>ROUND(PRODUCT(V41,AC7:AC40),0)</f>
        <v>#DIV/0!</v>
      </c>
      <c r="W42" s="3377"/>
      <c r="X42" s="699"/>
      <c r="Y42" s="699"/>
      <c r="Z42" s="699"/>
      <c r="AA42" s="699"/>
      <c r="AB42" s="699"/>
      <c r="AC42" s="699"/>
    </row>
    <row r="43" spans="1:31" ht="15.75" thickBot="1">
      <c r="A43" s="449" t="s">
        <v>2486</v>
      </c>
      <c r="B43" s="450"/>
      <c r="C43" s="451" t="e">
        <f>R43</f>
        <v>#DIV/0!</v>
      </c>
      <c r="D43" s="451"/>
      <c r="E43" s="451"/>
      <c r="F43" s="451"/>
      <c r="G43" s="451"/>
      <c r="H43" s="451"/>
      <c r="I43" s="451"/>
      <c r="J43" s="451"/>
      <c r="K43" s="724"/>
      <c r="L43" s="2954"/>
      <c r="M43" s="2946"/>
      <c r="N43" s="2946"/>
      <c r="O43" s="2955"/>
      <c r="P43" s="3314" t="str">
        <f>A43</f>
        <v>估价对象XX用房的比较价值（楼面单价，元/平方米）</v>
      </c>
      <c r="Q43" s="3315"/>
      <c r="R43" s="3378" t="e">
        <f>ROUND(IF(D42="简单平均",AVERAGE(R42:W42),R42*F42+T42*H42+V42*J42),0)</f>
        <v>#DIV/0!</v>
      </c>
      <c r="S43" s="3378"/>
      <c r="T43" s="3378"/>
      <c r="U43" s="3378"/>
      <c r="V43" s="3378"/>
      <c r="W43" s="3378"/>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2487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2488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2489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2574</v>
      </c>
      <c r="B50" s="641" t="s">
        <v>2575</v>
      </c>
      <c r="C50" s="2170" t="s">
        <v>2576</v>
      </c>
      <c r="D50" s="2171" t="s">
        <v>2577</v>
      </c>
      <c r="E50" s="642" t="s">
        <v>2578</v>
      </c>
      <c r="F50" s="643" t="s">
        <v>2579</v>
      </c>
      <c r="G50" s="3332" t="s">
        <v>2580</v>
      </c>
      <c r="H50" s="3379"/>
      <c r="I50" s="1542" t="s">
        <v>2617</v>
      </c>
      <c r="J50" s="1542">
        <f>项目基本情况!F35</f>
        <v>0</v>
      </c>
      <c r="K50" s="2173" t="s">
        <v>2582</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2583</v>
      </c>
      <c r="B51" s="645" t="e">
        <f>C43</f>
        <v>#DIV/0!</v>
      </c>
      <c r="C51" s="646">
        <v>1</v>
      </c>
      <c r="D51" s="1075">
        <v>1</v>
      </c>
      <c r="E51" s="646">
        <f>'数据-汇总表'!E8+'数据-汇总表'!E9</f>
        <v>65844.320000000007</v>
      </c>
      <c r="F51" s="647" t="e">
        <f t="shared" ref="F51:F60" si="15">ROUND(B51*E51/10000,0)</f>
        <v>#DIV/0!</v>
      </c>
      <c r="G51" s="3328"/>
      <c r="H51" s="3317"/>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2584</v>
      </c>
      <c r="B52" s="224" t="e">
        <f>ROUND($C$43*C52*D52,0)</f>
        <v>#DIV/0!</v>
      </c>
      <c r="C52" s="176">
        <f t="shared" ref="C52:C60" si="16">IF($C$50="北京市系数",I52,J52)</f>
        <v>0</v>
      </c>
      <c r="D52" s="1076">
        <v>0.25</v>
      </c>
      <c r="E52" s="650"/>
      <c r="F52" s="647" t="e">
        <f t="shared" si="15"/>
        <v>#DIV/0!</v>
      </c>
      <c r="G52" s="3380" t="s">
        <v>2585</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2586</v>
      </c>
      <c r="B53" s="224" t="e">
        <f t="shared" ref="B53:B60" si="17">ROUND($C$43*C53*D53,0)</f>
        <v>#DIV/0!</v>
      </c>
      <c r="C53" s="176">
        <f t="shared" si="16"/>
        <v>0</v>
      </c>
      <c r="D53" s="1076">
        <v>0.25</v>
      </c>
      <c r="E53" s="650"/>
      <c r="F53" s="647" t="e">
        <f t="shared" si="15"/>
        <v>#DIV/0!</v>
      </c>
      <c r="G53" s="3380"/>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2587</v>
      </c>
      <c r="B54" s="224" t="e">
        <f t="shared" si="17"/>
        <v>#DIV/0!</v>
      </c>
      <c r="C54" s="176">
        <f t="shared" si="16"/>
        <v>0</v>
      </c>
      <c r="D54" s="1076">
        <v>0.25</v>
      </c>
      <c r="E54" s="650"/>
      <c r="F54" s="647" t="e">
        <f t="shared" si="15"/>
        <v>#DIV/0!</v>
      </c>
      <c r="G54" s="3380"/>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2588</v>
      </c>
      <c r="B55" s="224" t="e">
        <f t="shared" si="17"/>
        <v>#DIV/0!</v>
      </c>
      <c r="C55" s="176">
        <f t="shared" si="16"/>
        <v>0</v>
      </c>
      <c r="D55" s="1076">
        <v>0.25</v>
      </c>
      <c r="E55" s="650"/>
      <c r="F55" s="647" t="e">
        <f t="shared" si="15"/>
        <v>#DIV/0!</v>
      </c>
      <c r="G55" s="3380"/>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2589</v>
      </c>
      <c r="B56" s="224" t="e">
        <f t="shared" si="17"/>
        <v>#DIV/0!</v>
      </c>
      <c r="C56" s="176">
        <f t="shared" si="16"/>
        <v>0</v>
      </c>
      <c r="D56" s="1076">
        <v>0.25</v>
      </c>
      <c r="E56" s="223">
        <f>'数据-汇总表'!E11</f>
        <v>0</v>
      </c>
      <c r="F56" s="647" t="e">
        <f t="shared" si="15"/>
        <v>#DIV/0!</v>
      </c>
      <c r="G56" s="2174" t="s">
        <v>2590</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2591</v>
      </c>
      <c r="B57" s="224" t="e">
        <f t="shared" si="17"/>
        <v>#DIV/0!</v>
      </c>
      <c r="C57" s="176">
        <f t="shared" si="16"/>
        <v>0</v>
      </c>
      <c r="D57" s="1076">
        <v>0.25</v>
      </c>
      <c r="E57" s="223">
        <f>'数据-汇总表'!E12</f>
        <v>0</v>
      </c>
      <c r="F57" s="647" t="e">
        <f t="shared" si="15"/>
        <v>#DIV/0!</v>
      </c>
      <c r="G57" s="1023" t="s">
        <v>2592</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2593</v>
      </c>
      <c r="B58" s="224" t="e">
        <f t="shared" si="17"/>
        <v>#DIV/0!</v>
      </c>
      <c r="C58" s="176">
        <f t="shared" si="16"/>
        <v>0</v>
      </c>
      <c r="D58" s="1076">
        <v>0.25</v>
      </c>
      <c r="E58" s="223">
        <f>'数据-汇总表'!E13</f>
        <v>35467.410000000003</v>
      </c>
      <c r="F58" s="647" t="e">
        <f t="shared" si="15"/>
        <v>#DIV/0!</v>
      </c>
      <c r="G58" s="1023" t="s">
        <v>2594</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2595</v>
      </c>
      <c r="B59" s="224" t="e">
        <f t="shared" si="17"/>
        <v>#DIV/0!</v>
      </c>
      <c r="C59" s="176">
        <f t="shared" si="16"/>
        <v>0</v>
      </c>
      <c r="D59" s="1076">
        <v>0.25</v>
      </c>
      <c r="E59" s="223">
        <f>'数据-汇总表'!E14</f>
        <v>0</v>
      </c>
      <c r="F59" s="647" t="e">
        <f t="shared" si="15"/>
        <v>#DIV/0!</v>
      </c>
      <c r="G59" s="2174" t="s">
        <v>2585</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2596</v>
      </c>
      <c r="B60" s="224" t="e">
        <f t="shared" si="17"/>
        <v>#DIV/0!</v>
      </c>
      <c r="C60" s="176">
        <f t="shared" si="16"/>
        <v>0</v>
      </c>
      <c r="D60" s="1076">
        <v>0.25</v>
      </c>
      <c r="E60" s="223">
        <f>'数据-汇总表'!E15</f>
        <v>0</v>
      </c>
      <c r="F60" s="647" t="e">
        <f t="shared" si="15"/>
        <v>#DIV/0!</v>
      </c>
      <c r="G60" s="2175" t="s">
        <v>2590</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2597</v>
      </c>
      <c r="B61" s="652" t="s">
        <v>28</v>
      </c>
      <c r="C61" s="652" t="s">
        <v>29</v>
      </c>
      <c r="D61" s="652" t="s">
        <v>997</v>
      </c>
      <c r="E61" s="652">
        <f>IF(B41="楼面地价",SUM(E51:E60),'数据-汇总表'!D3)</f>
        <v>33243.519999999997</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55"/>
      <c r="Q63" s="2955"/>
      <c r="R63" s="2955"/>
      <c r="S63" s="2955"/>
      <c r="T63" s="2955"/>
      <c r="U63" s="2955"/>
      <c r="V63" s="2955"/>
      <c r="W63" s="2955"/>
      <c r="X63" s="2955"/>
      <c r="Y63" s="2955"/>
      <c r="Z63" s="2955"/>
      <c r="AA63" s="2955"/>
      <c r="AB63" s="2955"/>
      <c r="AC63" s="2955"/>
      <c r="AD63" s="2955"/>
      <c r="AE63" s="2955"/>
    </row>
    <row r="64" spans="1:31" ht="21.75" thickBot="1">
      <c r="A64" s="703" t="s">
        <v>2490</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2598</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2618</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2401</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2366</v>
      </c>
      <c r="B68" s="467"/>
      <c r="C68" s="479" t="s">
        <v>2468</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2404</v>
      </c>
      <c r="B70" s="485" t="s">
        <v>2370</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2373</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2375</v>
      </c>
      <c r="B83" s="485" t="s">
        <v>2521</v>
      </c>
      <c r="C83" s="530" t="s">
        <v>2413</v>
      </c>
      <c r="D83" s="530" t="s">
        <v>2414</v>
      </c>
      <c r="E83" s="530" t="s">
        <v>2415</v>
      </c>
      <c r="F83" s="530" t="s">
        <v>2416</v>
      </c>
      <c r="G83" s="530" t="s">
        <v>2417</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2418</v>
      </c>
      <c r="C85" s="535" t="s">
        <v>2413</v>
      </c>
      <c r="D85" s="535" t="s">
        <v>2414</v>
      </c>
      <c r="E85" s="535" t="s">
        <v>2415</v>
      </c>
      <c r="F85" s="535" t="s">
        <v>2416</v>
      </c>
      <c r="G85" s="535" t="s">
        <v>2417</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2601</v>
      </c>
      <c r="C87" s="530" t="s">
        <v>2413</v>
      </c>
      <c r="D87" s="530" t="s">
        <v>2414</v>
      </c>
      <c r="E87" s="530" t="s">
        <v>2415</v>
      </c>
      <c r="F87" s="530" t="s">
        <v>2416</v>
      </c>
      <c r="G87" s="530" t="s">
        <v>2417</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2602</v>
      </c>
      <c r="C89" s="530" t="s">
        <v>2413</v>
      </c>
      <c r="D89" s="530" t="s">
        <v>2414</v>
      </c>
      <c r="E89" s="530" t="s">
        <v>2415</v>
      </c>
      <c r="F89" s="530" t="s">
        <v>2416</v>
      </c>
      <c r="G89" s="530" t="s">
        <v>2417</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2470</v>
      </c>
      <c r="C91" s="530" t="s">
        <v>2413</v>
      </c>
      <c r="D91" s="530" t="s">
        <v>2414</v>
      </c>
      <c r="E91" s="530" t="s">
        <v>2415</v>
      </c>
      <c r="F91" s="530" t="s">
        <v>2416</v>
      </c>
      <c r="G91" s="530" t="s">
        <v>2417</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2619</v>
      </c>
      <c r="C93" s="616" t="s">
        <v>2491</v>
      </c>
      <c r="D93" s="616" t="s">
        <v>2492</v>
      </c>
      <c r="E93" s="616" t="s">
        <v>2493</v>
      </c>
      <c r="F93" s="616" t="s">
        <v>2494</v>
      </c>
      <c r="G93" s="616" t="s">
        <v>2495</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2507</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2566</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2379</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2608</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2610</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2611</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2620</v>
      </c>
      <c r="B1" s="203"/>
      <c r="C1" s="207" t="s">
        <v>2621</v>
      </c>
      <c r="D1" s="348">
        <f>SUM(D29:D30,D33:D39)</f>
        <v>0</v>
      </c>
      <c r="E1" s="2182"/>
      <c r="F1" s="2182"/>
      <c r="G1" s="2182"/>
      <c r="H1" s="2182"/>
      <c r="I1" s="2182"/>
      <c r="J1" s="2182"/>
      <c r="K1" s="1280"/>
      <c r="L1" s="2183" t="s">
        <v>2622</v>
      </c>
      <c r="M1" s="994">
        <f>SUMPRODUCT((区片价!B5:B9=I2)*(区片价!C3:F3=E2)*(区片价!C5:F9))</f>
        <v>0</v>
      </c>
      <c r="N1" s="997">
        <f>SUMPRODUCT((因素修正幅度!B5:B9=I2)*(因素修正幅度!C3:F3=E2)*(因素修正幅度!C5:F9))</f>
        <v>0</v>
      </c>
      <c r="O1" s="2184"/>
      <c r="P1" s="2184"/>
      <c r="Q1" s="1280"/>
      <c r="R1" s="1374" t="s">
        <v>2623</v>
      </c>
      <c r="S1" s="1374" t="s">
        <v>2624</v>
      </c>
      <c r="T1" s="1374" t="s">
        <v>2625</v>
      </c>
      <c r="U1" s="1374" t="s">
        <v>2626</v>
      </c>
      <c r="V1" s="1374" t="s">
        <v>2627</v>
      </c>
      <c r="W1" s="1378"/>
      <c r="X1" s="1378"/>
      <c r="Y1" s="1378"/>
      <c r="Z1" s="1378"/>
      <c r="AA1" s="1378"/>
      <c r="AB1" s="1378"/>
      <c r="AC1" s="1379"/>
      <c r="AD1" s="1380"/>
      <c r="AE1" s="1380"/>
      <c r="AF1" s="1380"/>
      <c r="AG1" s="1380"/>
      <c r="AH1" s="1380"/>
      <c r="AI1" s="1380"/>
      <c r="AJ1" s="1381"/>
    </row>
    <row r="2" spans="1:36" ht="15.75">
      <c r="A2" s="207" t="s">
        <v>2628</v>
      </c>
      <c r="B2" s="210" t="e">
        <f>C26</f>
        <v>#DIV/0!</v>
      </c>
      <c r="C2" s="2186" t="s">
        <v>2629</v>
      </c>
      <c r="D2" s="2187" t="s">
        <v>2630</v>
      </c>
      <c r="E2" s="2188"/>
      <c r="F2" s="2187" t="s">
        <v>2631</v>
      </c>
      <c r="G2" s="2189">
        <f>IF(E2="商业",项目基本情况!B37,IF(E2="办公",项目基本情况!C37,IF(E2="住宅",项目基本情况!D37,项目基本情况!E37)))</f>
        <v>0</v>
      </c>
      <c r="H2" s="2187" t="s">
        <v>2632</v>
      </c>
      <c r="I2" s="2189">
        <f>IF(E2="商业",项目基本情况!B38,IF(E2="办公",项目基本情况!C38,IF(E2="住宅",项目基本情况!D38,项目基本情况!E38)))</f>
        <v>0</v>
      </c>
      <c r="J2" s="2190"/>
      <c r="K2" s="1280"/>
      <c r="L2" s="2191" t="s">
        <v>2633</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2634</v>
      </c>
      <c r="B3" s="210" t="e">
        <f>ROUND(B2*10000/D1,0)</f>
        <v>#DIV/0!</v>
      </c>
      <c r="C3" s="2186" t="s">
        <v>2635</v>
      </c>
      <c r="D3" s="2187" t="s">
        <v>2636</v>
      </c>
      <c r="E3" s="2192"/>
      <c r="F3" s="2193" t="s">
        <v>2637</v>
      </c>
      <c r="G3" s="855">
        <f>IF(F3="宗地容积率",'数据-汇总表'!I4,IF(F3="估价对象容积率",'数据-汇总表'!I6,'数据-汇总表'!I7))</f>
        <v>2.46</v>
      </c>
      <c r="H3" s="175" t="s">
        <v>2638</v>
      </c>
      <c r="I3" s="881"/>
      <c r="J3" s="2190" t="s">
        <v>2639</v>
      </c>
      <c r="K3" s="1280"/>
      <c r="L3" s="2191" t="s">
        <v>2640</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88"/>
      <c r="B4" s="3389"/>
      <c r="C4" s="3389"/>
      <c r="D4" s="3390"/>
      <c r="E4" s="3390"/>
      <c r="F4" s="3390"/>
      <c r="G4" s="3390"/>
      <c r="H4" s="3390"/>
      <c r="I4" s="3390"/>
      <c r="J4" s="3391"/>
      <c r="K4" s="1280"/>
      <c r="L4" s="2191" t="s">
        <v>2641</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2642</v>
      </c>
      <c r="C5" s="856" t="e">
        <f>ROUND(IF(E2="商业",C6*C7+C16,(IF(E2="住宅",C6*C12+C16,C6+C16))),0)</f>
        <v>#DIV/0!</v>
      </c>
      <c r="D5" s="1525" t="e">
        <f>ROUND(C6+C16,0)</f>
        <v>#DIV/0!</v>
      </c>
      <c r="E5" s="1525"/>
      <c r="F5" s="2196"/>
      <c r="G5" s="2197"/>
      <c r="H5" s="2197"/>
      <c r="I5" s="2197"/>
      <c r="J5" s="2198"/>
      <c r="K5" s="2199"/>
      <c r="L5" s="2191" t="s">
        <v>2643</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2644</v>
      </c>
      <c r="B6" s="2205" t="s">
        <v>2645</v>
      </c>
      <c r="C6" s="857">
        <f>SUMIF(L1:L12,G2,M1:M12)</f>
        <v>0</v>
      </c>
      <c r="D6" s="2206" t="s">
        <v>2646</v>
      </c>
      <c r="E6" s="2207"/>
      <c r="F6" s="2207"/>
      <c r="G6" s="2208"/>
      <c r="H6" s="2208"/>
      <c r="I6" s="2208"/>
      <c r="J6" s="2209"/>
      <c r="K6" s="1570"/>
      <c r="L6" s="2191" t="s">
        <v>2647</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92" t="str">
        <f>IF(E2="商业",IF(C8="不临58条商业街","",2),"")</f>
        <v/>
      </c>
      <c r="B7" s="2210" t="s">
        <v>2648</v>
      </c>
      <c r="C7" s="858" t="e">
        <f>IF(C8="不临58条商业街",1,ROUND(1+(1.6*E8+1.2*E9+0.8*E10+0.4*E11)*C9,4))</f>
        <v>#DIV/0!</v>
      </c>
      <c r="D7" s="2211" t="s">
        <v>2649</v>
      </c>
      <c r="E7" s="882"/>
      <c r="F7" s="2212"/>
      <c r="G7" s="2213"/>
      <c r="H7" s="2213"/>
      <c r="I7" s="2213"/>
      <c r="J7" s="2214"/>
      <c r="K7" s="1570"/>
      <c r="L7" s="2191" t="s">
        <v>2650</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2651</v>
      </c>
      <c r="X7" s="1376">
        <f>G2</f>
        <v>0</v>
      </c>
      <c r="Y7" s="1376" t="s">
        <v>2652</v>
      </c>
      <c r="Z7" s="1377">
        <f>G3</f>
        <v>2.46</v>
      </c>
      <c r="AA7" s="1378"/>
      <c r="AB7" s="1378"/>
      <c r="AC7" s="1379"/>
      <c r="AD7" s="1380"/>
      <c r="AE7" s="1380"/>
      <c r="AF7" s="1380"/>
      <c r="AG7" s="1380"/>
      <c r="AH7" s="1380"/>
      <c r="AI7" s="1380"/>
      <c r="AJ7" s="1381"/>
    </row>
    <row r="8" spans="1:36" ht="15">
      <c r="A8" s="3393"/>
      <c r="B8" s="175" t="s">
        <v>2653</v>
      </c>
      <c r="C8" s="2215"/>
      <c r="D8" s="859" t="s">
        <v>139</v>
      </c>
      <c r="E8" s="860" t="e">
        <f>ROUND(C11/E7,4)</f>
        <v>#DIV/0!</v>
      </c>
      <c r="F8" s="2216" t="s">
        <v>2654</v>
      </c>
      <c r="G8" s="2217"/>
      <c r="H8" s="2217"/>
      <c r="I8" s="2217"/>
      <c r="J8" s="2218"/>
      <c r="K8" s="1280"/>
      <c r="L8" s="2191" t="s">
        <v>2655</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5" t="s">
        <v>2656</v>
      </c>
      <c r="X8" s="3386"/>
      <c r="Y8" s="1382" t="s">
        <v>2657</v>
      </c>
      <c r="Z8" s="1382" t="s">
        <v>2658</v>
      </c>
      <c r="AA8" s="1382" t="s">
        <v>2659</v>
      </c>
      <c r="AB8" s="1382" t="s">
        <v>2660</v>
      </c>
      <c r="AC8" s="1382" t="s">
        <v>2661</v>
      </c>
      <c r="AD8" s="1382" t="s">
        <v>2662</v>
      </c>
      <c r="AE8" s="1382" t="s">
        <v>2663</v>
      </c>
      <c r="AF8" s="1382" t="s">
        <v>2664</v>
      </c>
      <c r="AG8" s="1382" t="s">
        <v>2665</v>
      </c>
      <c r="AH8" s="1382" t="s">
        <v>2666</v>
      </c>
      <c r="AI8" s="1382" t="s">
        <v>2667</v>
      </c>
      <c r="AJ8" s="1382" t="s">
        <v>2668</v>
      </c>
    </row>
    <row r="9" spans="1:36" ht="15">
      <c r="A9" s="3393"/>
      <c r="B9" s="175" t="s">
        <v>2669</v>
      </c>
      <c r="C9" s="861">
        <f>SUMIF(修正!C59:C119,C8,修正!E59:E119)</f>
        <v>0</v>
      </c>
      <c r="D9" s="176" t="s">
        <v>140</v>
      </c>
      <c r="E9" s="176" t="e">
        <f>ROUND(C11/E7,4)</f>
        <v>#DIV/0!</v>
      </c>
      <c r="F9" s="2216" t="s">
        <v>2670</v>
      </c>
      <c r="G9" s="2217"/>
      <c r="H9" s="2217"/>
      <c r="I9" s="2217"/>
      <c r="J9" s="2218"/>
      <c r="K9" s="1280"/>
      <c r="L9" s="2191" t="s">
        <v>2671</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7" t="s">
        <v>2672</v>
      </c>
      <c r="X9" s="1383" t="s">
        <v>2673</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3"/>
      <c r="B10" s="175" t="s">
        <v>2674</v>
      </c>
      <c r="C10" s="176">
        <f>SUMIF(修正!C59:C119,C8,修正!F59:F119)</f>
        <v>0</v>
      </c>
      <c r="D10" s="176" t="s">
        <v>141</v>
      </c>
      <c r="E10" s="176" t="e">
        <f>ROUND(C11/E7,4)</f>
        <v>#DIV/0!</v>
      </c>
      <c r="F10" s="2216" t="s">
        <v>2675</v>
      </c>
      <c r="G10" s="2217"/>
      <c r="H10" s="2217"/>
      <c r="I10" s="2217"/>
      <c r="J10" s="2218"/>
      <c r="K10" s="1280"/>
      <c r="L10" s="2191" t="s">
        <v>2676</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3"/>
      <c r="B11" s="2219" t="s">
        <v>2677</v>
      </c>
      <c r="C11" s="862">
        <f>C10/4</f>
        <v>0</v>
      </c>
      <c r="D11" s="862" t="s">
        <v>142</v>
      </c>
      <c r="E11" s="862" t="e">
        <f>ROUND(C11/E7,4)</f>
        <v>#DIV/0!</v>
      </c>
      <c r="F11" s="2220" t="s">
        <v>2678</v>
      </c>
      <c r="G11" s="2221"/>
      <c r="H11" s="2221"/>
      <c r="I11" s="2221"/>
      <c r="J11" s="2222"/>
      <c r="K11" s="1280"/>
      <c r="L11" s="2191" t="s">
        <v>2679</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7" t="s">
        <v>2680</v>
      </c>
      <c r="X11" s="1386" t="s">
        <v>2681</v>
      </c>
      <c r="Y11" s="1387">
        <f>$G$3</f>
        <v>2.46</v>
      </c>
      <c r="Z11" s="1387">
        <f t="shared" ref="Z11:AJ11" si="3">$G$3</f>
        <v>2.46</v>
      </c>
      <c r="AA11" s="1387">
        <f t="shared" si="3"/>
        <v>2.46</v>
      </c>
      <c r="AB11" s="1387">
        <f t="shared" si="3"/>
        <v>2.46</v>
      </c>
      <c r="AC11" s="1387">
        <f t="shared" si="3"/>
        <v>2.46</v>
      </c>
      <c r="AD11" s="1387">
        <f t="shared" si="3"/>
        <v>2.46</v>
      </c>
      <c r="AE11" s="1387">
        <f t="shared" si="3"/>
        <v>2.46</v>
      </c>
      <c r="AF11" s="1387">
        <f t="shared" si="3"/>
        <v>2.46</v>
      </c>
      <c r="AG11" s="1387">
        <f t="shared" si="3"/>
        <v>2.46</v>
      </c>
      <c r="AH11" s="1387">
        <f t="shared" si="3"/>
        <v>2.46</v>
      </c>
      <c r="AI11" s="1387">
        <f t="shared" si="3"/>
        <v>2.46</v>
      </c>
      <c r="AJ11" s="1387">
        <f t="shared" si="3"/>
        <v>2.46</v>
      </c>
    </row>
    <row r="12" spans="1:36" ht="25.5" thickBot="1">
      <c r="A12" s="3392" t="s">
        <v>2682</v>
      </c>
      <c r="B12" s="2223" t="s">
        <v>2683</v>
      </c>
      <c r="C12" s="858">
        <f>ROUND(C15*D15*E15*F15*G15*H15*I15*J15,4)</f>
        <v>1</v>
      </c>
      <c r="D12" s="2224" t="s">
        <v>2684</v>
      </c>
      <c r="E12" s="2225"/>
      <c r="F12" s="2225"/>
      <c r="G12" s="2226"/>
      <c r="H12" s="2226"/>
      <c r="I12" s="2226"/>
      <c r="J12" s="2227"/>
      <c r="K12" s="1280"/>
      <c r="L12" s="2228" t="s">
        <v>2685</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7"/>
      <c r="X12" s="1388" t="s">
        <v>2686</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4"/>
      <c r="B13" s="2229" t="s">
        <v>2687</v>
      </c>
      <c r="C13" s="2230" t="s">
        <v>2688</v>
      </c>
      <c r="D13" s="1536" t="s">
        <v>2689</v>
      </c>
      <c r="E13" s="1536" t="s">
        <v>2690</v>
      </c>
      <c r="F13" s="30" t="s">
        <v>2691</v>
      </c>
      <c r="G13" s="2231" t="s">
        <v>2692</v>
      </c>
      <c r="H13" s="2231" t="s">
        <v>2692</v>
      </c>
      <c r="I13" s="2231" t="s">
        <v>2692</v>
      </c>
      <c r="J13" s="2232" t="s">
        <v>2692</v>
      </c>
      <c r="K13" s="1280"/>
      <c r="L13" s="1280"/>
      <c r="M13" s="1280"/>
      <c r="N13" s="1280"/>
      <c r="O13" s="1280"/>
      <c r="P13" s="1280"/>
      <c r="Q13" s="1280"/>
      <c r="R13" s="1374">
        <v>12</v>
      </c>
      <c r="S13" s="1375"/>
      <c r="T13" s="1374" t="e">
        <f t="shared" si="0"/>
        <v>#DIV/0!</v>
      </c>
      <c r="U13" s="1375"/>
      <c r="V13" s="1374" t="e">
        <f t="shared" si="1"/>
        <v>#DIV/0!</v>
      </c>
      <c r="W13" s="3387"/>
      <c r="X13" s="1388"/>
      <c r="Y13" s="1385">
        <f>(-0.163*(Y12^2)-0.59*Y12+7617)*(10^(-4))/Y11</f>
        <v>0.30963414634146341</v>
      </c>
      <c r="Z13" s="1385">
        <f t="shared" ref="Z13:AJ13" si="5">(-0.163*(Z12^2)-0.59*Z12+7617)*(10^(-4))/Z11</f>
        <v>0.30963414634146341</v>
      </c>
      <c r="AA13" s="1385">
        <f t="shared" si="5"/>
        <v>0.30963414634146341</v>
      </c>
      <c r="AB13" s="1385">
        <f t="shared" si="5"/>
        <v>0.30963414634146341</v>
      </c>
      <c r="AC13" s="1385">
        <f t="shared" si="5"/>
        <v>0.30963414634146341</v>
      </c>
      <c r="AD13" s="1385">
        <f t="shared" si="5"/>
        <v>0.30963414634146341</v>
      </c>
      <c r="AE13" s="1385">
        <f t="shared" si="5"/>
        <v>0.30963414634146341</v>
      </c>
      <c r="AF13" s="1385">
        <f t="shared" si="5"/>
        <v>0.30963414634146341</v>
      </c>
      <c r="AG13" s="1385">
        <f t="shared" si="5"/>
        <v>0.30963414634146341</v>
      </c>
      <c r="AH13" s="1385">
        <f t="shared" si="5"/>
        <v>0.30963414634146341</v>
      </c>
      <c r="AI13" s="1385">
        <f t="shared" si="5"/>
        <v>0.30963414634146341</v>
      </c>
      <c r="AJ13" s="1385">
        <f t="shared" si="5"/>
        <v>0.30963414634146341</v>
      </c>
    </row>
    <row r="14" spans="1:36" ht="15">
      <c r="A14" s="3394"/>
      <c r="B14" s="2233"/>
      <c r="C14" s="2234"/>
      <c r="D14" s="2235"/>
      <c r="E14" s="2235"/>
      <c r="F14" s="2236"/>
      <c r="G14" s="2237" t="s">
        <v>2693</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1"/>
      <c r="AE14" s="3021"/>
      <c r="AF14" s="3021"/>
      <c r="AG14" s="3021"/>
      <c r="AH14" s="3021"/>
      <c r="AI14" s="3021"/>
      <c r="AJ14" s="3022"/>
    </row>
    <row r="15" spans="1:36" ht="15.75" thickBot="1">
      <c r="A15" s="3395"/>
      <c r="B15" s="2241" t="s">
        <v>2694</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21"/>
      <c r="AE15" s="3021"/>
      <c r="AF15" s="3021"/>
      <c r="AG15" s="3021"/>
      <c r="AH15" s="3021"/>
      <c r="AI15" s="3021"/>
      <c r="AJ15" s="3022"/>
    </row>
    <row r="16" spans="1:36" ht="24.6" customHeight="1">
      <c r="A16" s="3392" t="s">
        <v>2699</v>
      </c>
      <c r="B16" s="2210" t="s">
        <v>2700</v>
      </c>
      <c r="C16" s="2372" t="e">
        <f>ROUND(IF(F17="与级别开发程度一致",0,(G17-E17)/C17),0)</f>
        <v>#DIV/0!</v>
      </c>
      <c r="D16" s="3408" t="s">
        <v>2704</v>
      </c>
      <c r="E16" s="3409"/>
      <c r="F16" s="3408" t="s">
        <v>2701</v>
      </c>
      <c r="G16" s="3409"/>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21"/>
      <c r="AE16" s="3021"/>
      <c r="AF16" s="3021"/>
      <c r="AG16" s="3021"/>
      <c r="AH16" s="3021"/>
      <c r="AI16" s="3021"/>
      <c r="AJ16" s="3022"/>
    </row>
    <row r="17" spans="1:37" ht="13.5" thickBot="1">
      <c r="A17" s="3396"/>
      <c r="B17" s="2383" t="s">
        <v>2703</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2706</v>
      </c>
      <c r="C18" s="2379">
        <f>SUMIF(修正!C18:C39,E3,修正!E18:E39)</f>
        <v>0</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2707</v>
      </c>
      <c r="C19" s="863" t="e">
        <f>ROUND(IF(H19="按公示增长率计算",SUMPRODUCT((地价!A3:A32=YEAR(G19)&amp;"-"&amp;ROUNDUP(MONTH(G19)/3,0))*(地价!X2:AB2=E2)*(地价!X3:AB32)),IF(H19="地价指数",M20/M19,(1+I19)^O19)),4)</f>
        <v>#VALUE!</v>
      </c>
      <c r="D19" s="2252" t="s">
        <v>2708</v>
      </c>
      <c r="E19" s="864">
        <v>41640</v>
      </c>
      <c r="F19" s="2252" t="s">
        <v>2709</v>
      </c>
      <c r="G19" s="865">
        <f>'数据-取费表'!B2</f>
        <v>44134</v>
      </c>
      <c r="H19" s="2253"/>
      <c r="I19" s="866" t="str">
        <f>IF(H19="季度增幅（自定义）",SUMIF(N21:N24,E2,O21:O24),"")</f>
        <v/>
      </c>
      <c r="J19" s="2250"/>
      <c r="K19" s="1287"/>
      <c r="L19" s="2254" t="s">
        <v>2710</v>
      </c>
      <c r="M19" s="1498">
        <f>ROUND(SUMIF(地价!B2:F2,E2,地价!B32:F32),0)</f>
        <v>0</v>
      </c>
      <c r="N19" s="2255" t="s">
        <v>2711</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2712</v>
      </c>
      <c r="C20" s="868" t="e">
        <f>ROUND(POWER(1+G20,J20-I20)*(POWER(1+G20,I20)-1)/(POWER(1+G20,J20)-1),4)</f>
        <v>#DIV/0!</v>
      </c>
      <c r="D20" s="2259" t="s">
        <v>2713</v>
      </c>
      <c r="E20" s="1507">
        <f ca="1">存贷款利率!D4/100</f>
        <v>4.3499999999999997E-2</v>
      </c>
      <c r="F20" s="2259" t="s">
        <v>2705</v>
      </c>
      <c r="G20" s="873">
        <f>SUMIF(M26:P26,E2,M28:P28)</f>
        <v>0</v>
      </c>
      <c r="H20" s="2259" t="s">
        <v>2714</v>
      </c>
      <c r="I20" s="874" t="e">
        <f>SUMIF('数据-取费表'!C6:C15,E2,'数据-取费表'!F6:F15)/COUNTIF('数据-取费表'!C6:C15,E2)</f>
        <v>#DIV/0!</v>
      </c>
      <c r="J20" s="875">
        <f>IF(E2="住宅",70,IF(E2="商业",40,50))</f>
        <v>50</v>
      </c>
      <c r="K20" s="1287"/>
      <c r="L20" s="2260" t="s">
        <v>2715</v>
      </c>
      <c r="M20" s="1499">
        <f>ROUND(SUMPRODUCT((地价!A4:A32=YEAR(G19)&amp;"-"&amp;ROUNDUP(MONTH(G19)/3,0))*(地价!B2:F2=E2)*(地价!B4:F32)),0)</f>
        <v>0</v>
      </c>
      <c r="N20" s="2261" t="s">
        <v>2716</v>
      </c>
      <c r="O20" s="2262" t="s">
        <v>2717</v>
      </c>
      <c r="P20" s="2263" t="s">
        <v>2718</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2719</v>
      </c>
      <c r="C21" s="876">
        <f>IF(B21="容积率修正",IF(G3&lt;=10,D22,J22),C23)</f>
        <v>0</v>
      </c>
      <c r="D21" s="2266"/>
      <c r="E21" s="2266"/>
      <c r="F21" s="2266"/>
      <c r="G21" s="2266"/>
      <c r="H21" s="2266"/>
      <c r="I21" s="2266"/>
      <c r="J21" s="2267"/>
      <c r="K21" s="1287"/>
      <c r="L21" s="3020"/>
      <c r="M21" s="3020"/>
      <c r="N21" s="2268" t="s">
        <v>2720</v>
      </c>
      <c r="O21" s="1335"/>
      <c r="P21" s="1336">
        <f>SUMPRODUCT((地价!A3:A32=YEAR(G19)&amp;"-"&amp;ROUNDUP(MONTH(G19)/3,0))*(地价!AD2:AH2=N21)*(地价!AD3:AH32))</f>
        <v>1.1599999999999999E-2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2721</v>
      </c>
      <c r="B22" s="2269" t="s">
        <v>2722</v>
      </c>
      <c r="C22" s="1538" t="s">
        <v>2723</v>
      </c>
      <c r="D22" s="1538">
        <f>IF(E22=G22,F22,IF(G3&lt;=10,ROUND(F22+(H22-F22)*(G3-E22)/(G22-E22),4),"——"))</f>
        <v>0</v>
      </c>
      <c r="E22" s="855">
        <f>ROUNDDOWN(G3,1)</f>
        <v>2.4</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0"/>
      <c r="M22" s="3020"/>
      <c r="N22" s="2268" t="s">
        <v>2724</v>
      </c>
      <c r="O22" s="1335"/>
      <c r="P22" s="1336">
        <f>SUMPRODUCT((地价!A3:A32=YEAR(G19)&amp;"-"&amp;ROUNDUP(MONTH(G19)/3,0))*(地价!AD2:AH2=N22)*(地价!AD3:AH32))</f>
        <v>1.1599999999999999E-2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2725</v>
      </c>
      <c r="B23" s="2270" t="s">
        <v>2726</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2727</v>
      </c>
      <c r="O23" s="1335"/>
      <c r="P23" s="1336">
        <f>SUMPRODUCT((地价!A3:A32=YEAR(G19)&amp;"-"&amp;ROUNDUP(MONTH(G19)/3,0))*(地价!AD2:AH2=N23)*(地价!AD3:AH32))</f>
        <v>1.9E-2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2728</v>
      </c>
      <c r="C24" s="863">
        <f>SUMIF(A45:A88,E2,B45:B88)</f>
        <v>0</v>
      </c>
      <c r="D24" s="2249"/>
      <c r="E24" s="2276"/>
      <c r="F24" s="2276"/>
      <c r="G24" s="2276"/>
      <c r="H24" s="2276"/>
      <c r="I24" s="2276"/>
      <c r="J24" s="2277"/>
      <c r="K24" s="1287"/>
      <c r="L24" s="3020"/>
      <c r="M24" s="3020"/>
      <c r="N24" s="2278" t="s">
        <v>2729</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2730</v>
      </c>
      <c r="C25" s="869"/>
      <c r="D25" s="2213"/>
      <c r="E25" s="2213"/>
      <c r="F25" s="2280"/>
      <c r="G25" s="2213"/>
      <c r="H25" s="2213"/>
      <c r="I25" s="2213"/>
      <c r="J25" s="2214"/>
      <c r="K25" s="1280"/>
      <c r="L25" s="2184"/>
      <c r="M25" s="2184"/>
      <c r="N25" s="3015" t="s">
        <v>2731</v>
      </c>
      <c r="O25" s="3016"/>
      <c r="P25" s="3017">
        <f>SUMPRODUCT((地价!A3:A32=YEAR(G19)&amp;"-"&amp;ROUNDUP(MONTH(G19)/3,0))*(地价!AD2:AH2=N25)*(地价!AD3:AH32))</f>
        <v>1.7299999999999999E-2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2732</v>
      </c>
      <c r="C26" s="2543" t="e">
        <f>IF(B21="容积率修正",E29+SUM(E33:E39),SUM(V2:V16)+SUM(E33:E39))</f>
        <v>#DIV/0!</v>
      </c>
      <c r="D26" s="2282"/>
      <c r="E26" s="2238"/>
      <c r="F26" s="2283"/>
      <c r="G26" s="2238"/>
      <c r="H26" s="2238"/>
      <c r="I26" s="2238"/>
      <c r="J26" s="2284"/>
      <c r="K26" s="1280"/>
      <c r="L26" s="3018" t="s">
        <v>2630</v>
      </c>
      <c r="M26" s="2211" t="s">
        <v>2695</v>
      </c>
      <c r="N26" s="2211" t="s">
        <v>2696</v>
      </c>
      <c r="O26" s="2211" t="s">
        <v>2697</v>
      </c>
      <c r="P26" s="3019" t="s">
        <v>2698</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2733</v>
      </c>
      <c r="C27" s="870" t="e">
        <f>E30+SUM(I33:I39)</f>
        <v>#DIV/0!</v>
      </c>
      <c r="D27" s="2286"/>
      <c r="E27" s="2287"/>
      <c r="F27" s="2288"/>
      <c r="G27" s="2287"/>
      <c r="H27" s="2287"/>
      <c r="I27" s="2287"/>
      <c r="J27" s="2289"/>
      <c r="K27" s="1280"/>
      <c r="L27" s="2244" t="s">
        <v>2702</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2734</v>
      </c>
      <c r="C28" s="2292" t="s">
        <v>2735</v>
      </c>
      <c r="D28" s="2292" t="s">
        <v>2736</v>
      </c>
      <c r="E28" s="2293" t="s">
        <v>2737</v>
      </c>
      <c r="F28" s="2294"/>
      <c r="G28" s="2226"/>
      <c r="H28" s="2226"/>
      <c r="I28" s="2226"/>
      <c r="J28" s="2227"/>
      <c r="K28" s="1280"/>
      <c r="L28" s="2245" t="s">
        <v>2705</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2738</v>
      </c>
      <c r="C29" s="180" t="e">
        <f>ROUND(C5*C18*C19*C20*C21*C24,0)</f>
        <v>#DIV/0!</v>
      </c>
      <c r="D29" s="2297"/>
      <c r="E29" s="879" t="e">
        <f>ROUND(C29*D29/10000,0)</f>
        <v>#DIV/0!</v>
      </c>
      <c r="F29" s="2298" t="s">
        <v>2739</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2740</v>
      </c>
      <c r="C30" s="193" t="e">
        <f>ROUND(IF(E2="工业",C29*M39,C29*M38),0)</f>
        <v>#DIV/0!</v>
      </c>
      <c r="D30" s="2303"/>
      <c r="E30" s="879" t="e">
        <f>ROUND(C30*D30/10000,0)</f>
        <v>#DIV/0!</v>
      </c>
      <c r="F30" s="2304" t="s">
        <v>2741</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2742</v>
      </c>
      <c r="C31" s="2309" t="s">
        <v>2743</v>
      </c>
      <c r="D31" s="2226"/>
      <c r="E31" s="2309"/>
      <c r="F31" s="2309"/>
      <c r="G31" s="2224" t="s">
        <v>2744</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2735</v>
      </c>
      <c r="D32" s="455" t="s">
        <v>2736</v>
      </c>
      <c r="E32" s="455" t="s">
        <v>2737</v>
      </c>
      <c r="F32" s="348" t="s">
        <v>2745</v>
      </c>
      <c r="G32" s="2312" t="s">
        <v>2735</v>
      </c>
      <c r="H32" s="2312" t="s">
        <v>2736</v>
      </c>
      <c r="I32" s="2312"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05"/>
      <c r="B33" s="2313" t="s">
        <v>2746</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10"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06"/>
      <c r="B34" s="2230" t="s">
        <v>2747</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06"/>
      <c r="B35" s="2230" t="s">
        <v>2748</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40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07"/>
      <c r="B36" s="2230" t="s">
        <v>2749</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407"/>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2750</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2751</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2752</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2753</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2754</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2698</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2859</v>
      </c>
      <c r="C41" s="348" t="e">
        <f>ROUND(POWER(1+E41,H41-G41)*(POWER(1+E41,G41)-1)/(POWER(1+E41,H41)-1),4)</f>
        <v>#DIV/0!</v>
      </c>
      <c r="D41" s="176" t="s">
        <v>2705</v>
      </c>
      <c r="E41" s="2370">
        <f>G20</f>
        <v>0</v>
      </c>
      <c r="F41" s="176" t="s">
        <v>2714</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2755</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2756</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2757</v>
      </c>
      <c r="B47" s="1537" t="s">
        <v>2758</v>
      </c>
      <c r="C47" s="1537" t="s">
        <v>2759</v>
      </c>
      <c r="D47" s="1537" t="s">
        <v>2760</v>
      </c>
      <c r="E47" s="758" t="s">
        <v>2761</v>
      </c>
      <c r="F47" s="2331" t="s">
        <v>2762</v>
      </c>
      <c r="G47" s="1537" t="s">
        <v>754</v>
      </c>
      <c r="H47" s="2332" t="s">
        <v>2763</v>
      </c>
      <c r="I47" s="1537" t="s">
        <v>2764</v>
      </c>
      <c r="J47" s="560" t="s">
        <v>2413</v>
      </c>
      <c r="K47" s="560" t="s">
        <v>2414</v>
      </c>
      <c r="L47" s="560" t="s">
        <v>2415</v>
      </c>
      <c r="M47" s="560" t="s">
        <v>2416</v>
      </c>
      <c r="N47" s="560" t="s">
        <v>2417</v>
      </c>
      <c r="AA47" s="1281"/>
      <c r="AB47" s="1281"/>
      <c r="AC47" s="1281"/>
      <c r="AD47" s="1281"/>
      <c r="AE47" s="1281"/>
      <c r="AF47" s="1281"/>
      <c r="AG47" s="1281"/>
      <c r="AH47" s="1281"/>
      <c r="AI47" s="1281"/>
      <c r="AJ47" s="1281"/>
      <c r="AK47" s="1281"/>
    </row>
    <row r="48" spans="1:37" s="1280" customFormat="1" ht="38.25">
      <c r="A48" s="2330" t="s">
        <v>2765</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2766</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2767</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2768</v>
      </c>
      <c r="B51" s="2335" t="s">
        <v>2769</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2770</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2771</v>
      </c>
      <c r="B53" s="2336" t="s">
        <v>2772</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2773</v>
      </c>
      <c r="B54" s="1496"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2774</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2775</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2776</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2757</v>
      </c>
      <c r="B58" s="1537"/>
      <c r="C58" s="1537" t="s">
        <v>2759</v>
      </c>
      <c r="D58" s="1537" t="s">
        <v>2760</v>
      </c>
      <c r="E58" s="758" t="s">
        <v>2761</v>
      </c>
      <c r="F58" s="2331" t="s">
        <v>2777</v>
      </c>
      <c r="G58" s="1537" t="s">
        <v>754</v>
      </c>
      <c r="H58" s="2332" t="s">
        <v>2763</v>
      </c>
      <c r="I58" s="1537" t="s">
        <v>2764</v>
      </c>
      <c r="J58" s="560" t="s">
        <v>2413</v>
      </c>
      <c r="K58" s="560" t="s">
        <v>2414</v>
      </c>
      <c r="L58" s="560" t="s">
        <v>2415</v>
      </c>
      <c r="M58" s="560" t="s">
        <v>2416</v>
      </c>
      <c r="N58" s="560" t="s">
        <v>2417</v>
      </c>
      <c r="AA58" s="1281"/>
      <c r="AB58" s="1281"/>
      <c r="AC58" s="1281"/>
      <c r="AD58" s="1281"/>
      <c r="AE58" s="1281"/>
      <c r="AF58" s="1281"/>
      <c r="AG58" s="1281"/>
      <c r="AH58" s="1281"/>
      <c r="AI58" s="1281"/>
      <c r="AJ58" s="1281"/>
      <c r="AK58" s="1281"/>
    </row>
    <row r="59" spans="1:37" s="1280" customFormat="1" ht="38.25">
      <c r="A59" s="2330" t="s">
        <v>2778</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2766</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2767</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2768</v>
      </c>
      <c r="B62" s="2335" t="s">
        <v>2769</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2770</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2771</v>
      </c>
      <c r="B64" s="2336" t="s">
        <v>2772</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2773</v>
      </c>
      <c r="B65" s="1496"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2774</v>
      </c>
      <c r="B66" s="1496"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2775</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2779</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2757</v>
      </c>
      <c r="B69" s="1537"/>
      <c r="C69" s="1537" t="s">
        <v>2759</v>
      </c>
      <c r="D69" s="1537" t="s">
        <v>2760</v>
      </c>
      <c r="E69" s="758" t="s">
        <v>2761</v>
      </c>
      <c r="F69" s="2331" t="s">
        <v>2777</v>
      </c>
      <c r="G69" s="1537" t="s">
        <v>754</v>
      </c>
      <c r="H69" s="2332" t="s">
        <v>2763</v>
      </c>
      <c r="I69" s="1537" t="s">
        <v>2764</v>
      </c>
      <c r="J69" s="560" t="s">
        <v>2413</v>
      </c>
      <c r="K69" s="560" t="s">
        <v>2414</v>
      </c>
      <c r="L69" s="560" t="s">
        <v>2415</v>
      </c>
      <c r="M69" s="560" t="s">
        <v>2416</v>
      </c>
      <c r="N69" s="560" t="s">
        <v>2417</v>
      </c>
      <c r="AA69" s="1281"/>
      <c r="AB69" s="1281"/>
      <c r="AC69" s="1281"/>
      <c r="AD69" s="1281"/>
      <c r="AE69" s="1281"/>
      <c r="AF69" s="1281"/>
      <c r="AG69" s="1281"/>
      <c r="AH69" s="1281"/>
      <c r="AI69" s="1281"/>
      <c r="AJ69" s="1281"/>
      <c r="AK69" s="1281"/>
    </row>
    <row r="70" spans="1:37" s="1280" customFormat="1" ht="51">
      <c r="A70" s="2330" t="s">
        <v>2780</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2766</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2767</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2781</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2773</v>
      </c>
      <c r="B74" s="1496"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2774</v>
      </c>
      <c r="B75" s="1496"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2771</v>
      </c>
      <c r="B76" s="2336" t="s">
        <v>2772</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2775</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2782</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2783</v>
      </c>
      <c r="B79" s="2327">
        <f>1+E81</f>
        <v>1</v>
      </c>
      <c r="C79" s="753"/>
      <c r="D79" s="753"/>
      <c r="E79" s="754"/>
      <c r="F79" s="2329"/>
      <c r="G79" s="6"/>
      <c r="H79" s="6"/>
      <c r="I79" s="6"/>
      <c r="J79" s="7"/>
      <c r="K79" s="7"/>
      <c r="L79" s="7"/>
      <c r="M79" s="7"/>
      <c r="N79" s="7"/>
      <c r="Z79" s="2185"/>
      <c r="AA79" s="2251"/>
      <c r="AG79" s="1282"/>
      <c r="AK79" s="2251"/>
    </row>
    <row r="80" spans="1:37" ht="24.75">
      <c r="A80" s="2330" t="s">
        <v>2757</v>
      </c>
      <c r="B80" s="1537"/>
      <c r="C80" s="1537" t="s">
        <v>2759</v>
      </c>
      <c r="D80" s="1537" t="s">
        <v>2760</v>
      </c>
      <c r="E80" s="758" t="s">
        <v>2761</v>
      </c>
      <c r="F80" s="2331" t="s">
        <v>2777</v>
      </c>
      <c r="G80" s="1537" t="s">
        <v>754</v>
      </c>
      <c r="H80" s="2332" t="s">
        <v>2763</v>
      </c>
      <c r="I80" s="1537" t="s">
        <v>2764</v>
      </c>
      <c r="J80" s="560" t="s">
        <v>2413</v>
      </c>
      <c r="K80" s="560" t="s">
        <v>2414</v>
      </c>
      <c r="L80" s="560" t="s">
        <v>2415</v>
      </c>
      <c r="M80" s="560" t="s">
        <v>2416</v>
      </c>
      <c r="N80" s="560" t="s">
        <v>2417</v>
      </c>
      <c r="Z80" s="2185"/>
      <c r="AA80" s="2251"/>
      <c r="AG80" s="1282"/>
      <c r="AK80" s="2251"/>
    </row>
    <row r="81" spans="1:37" ht="38.25">
      <c r="A81" s="2330" t="s">
        <v>2784</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2766</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2767</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2781</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2773</v>
      </c>
      <c r="B85" s="1496"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2774</v>
      </c>
      <c r="B86" s="1496"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2771</v>
      </c>
      <c r="B87" s="2336" t="s">
        <v>2785</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2786</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97" t="s">
        <v>2787</v>
      </c>
      <c r="B90" s="3397"/>
      <c r="C90" s="3397"/>
      <c r="D90" s="3397"/>
      <c r="E90" s="3397"/>
      <c r="F90" s="3397"/>
      <c r="G90" s="3397"/>
      <c r="H90" s="3397"/>
      <c r="I90" s="3397"/>
      <c r="J90" s="3397"/>
      <c r="K90" s="2344"/>
      <c r="L90" s="2344"/>
      <c r="M90" s="2344"/>
      <c r="N90" s="2344"/>
    </row>
    <row r="91" spans="1:37">
      <c r="A91" s="3399" t="s">
        <v>2788</v>
      </c>
      <c r="B91" s="3399" t="s">
        <v>2789</v>
      </c>
      <c r="C91" s="2298" t="s">
        <v>2790</v>
      </c>
      <c r="D91" s="2299"/>
      <c r="E91" s="2299"/>
      <c r="F91" s="2299"/>
      <c r="G91" s="2299"/>
      <c r="H91" s="2299"/>
      <c r="I91" s="2299"/>
      <c r="J91" s="2345"/>
      <c r="K91" s="2346"/>
      <c r="L91" s="2346"/>
      <c r="M91" s="2346"/>
      <c r="N91" s="2346"/>
    </row>
    <row r="92" spans="1:37">
      <c r="A92" s="3399"/>
      <c r="B92" s="3399"/>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400" t="s">
        <v>2791</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01"/>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01"/>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01"/>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01"/>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01"/>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01"/>
      <c r="B99" s="2347" t="s">
        <v>2673</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402"/>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00" t="s">
        <v>2792</v>
      </c>
      <c r="B101" s="2351" t="s">
        <v>2793</v>
      </c>
      <c r="C101" s="2352">
        <f>$G$3</f>
        <v>2.46</v>
      </c>
      <c r="D101" s="2352">
        <f t="shared" ref="D101:N101" si="31">$G$3</f>
        <v>2.46</v>
      </c>
      <c r="E101" s="2352">
        <f t="shared" si="31"/>
        <v>2.46</v>
      </c>
      <c r="F101" s="2352">
        <f t="shared" si="31"/>
        <v>2.46</v>
      </c>
      <c r="G101" s="2352">
        <f t="shared" si="31"/>
        <v>2.46</v>
      </c>
      <c r="H101" s="2352">
        <f t="shared" si="31"/>
        <v>2.46</v>
      </c>
      <c r="I101" s="2352">
        <f t="shared" si="31"/>
        <v>2.46</v>
      </c>
      <c r="J101" s="2352">
        <f t="shared" si="31"/>
        <v>2.46</v>
      </c>
      <c r="K101" s="2352">
        <f t="shared" si="31"/>
        <v>2.46</v>
      </c>
      <c r="L101" s="2352">
        <f t="shared" si="31"/>
        <v>2.46</v>
      </c>
      <c r="M101" s="2352">
        <f t="shared" si="31"/>
        <v>2.46</v>
      </c>
      <c r="N101" s="2352">
        <f t="shared" si="31"/>
        <v>2.46</v>
      </c>
    </row>
    <row r="102" spans="1:14">
      <c r="A102" s="3401"/>
      <c r="B102" s="2347">
        <v>1</v>
      </c>
      <c r="C102" s="2348">
        <f>1.9362/C101</f>
        <v>0.78707317073170735</v>
      </c>
      <c r="D102" s="2348">
        <f>1.9362/D101</f>
        <v>0.78707317073170735</v>
      </c>
      <c r="E102" s="2348">
        <f>1.8629/E101</f>
        <v>0.75727642276422769</v>
      </c>
      <c r="F102" s="2348">
        <f>1.8629/F101</f>
        <v>0.75727642276422769</v>
      </c>
      <c r="G102" s="2348">
        <f>1.8629/G101</f>
        <v>0.75727642276422769</v>
      </c>
      <c r="H102" s="2348">
        <f>1.8629/H101</f>
        <v>0.75727642276422769</v>
      </c>
      <c r="I102" s="2348">
        <f>1.8629/I101</f>
        <v>0.75727642276422769</v>
      </c>
      <c r="J102" s="2348">
        <f>1.942/J101</f>
        <v>0.78943089430894309</v>
      </c>
      <c r="K102" s="2348">
        <f>1.942/K101</f>
        <v>0.78943089430894309</v>
      </c>
      <c r="L102" s="2348">
        <f>1.942/L101</f>
        <v>0.78943089430894309</v>
      </c>
      <c r="M102" s="2348">
        <f>1.942/M101</f>
        <v>0.78943089430894309</v>
      </c>
      <c r="N102" s="2348">
        <f>1.942/N101</f>
        <v>0.78943089430894309</v>
      </c>
    </row>
    <row r="103" spans="1:14">
      <c r="A103" s="3401"/>
      <c r="B103" s="2347">
        <v>2</v>
      </c>
      <c r="C103" s="2348">
        <f>1.4198/C101</f>
        <v>0.57715447154471544</v>
      </c>
      <c r="D103" s="2348">
        <f>1.4198/D101</f>
        <v>0.57715447154471544</v>
      </c>
      <c r="E103" s="2348">
        <f>1.3372/E101</f>
        <v>0.54357723577235773</v>
      </c>
      <c r="F103" s="2348">
        <f>1.3372/F101</f>
        <v>0.54357723577235773</v>
      </c>
      <c r="G103" s="2348">
        <f>1.3372/G101</f>
        <v>0.54357723577235773</v>
      </c>
      <c r="H103" s="2348">
        <f>1.3372/H101</f>
        <v>0.54357723577235773</v>
      </c>
      <c r="I103" s="2348">
        <f>1.3372/I101</f>
        <v>0.54357723577235773</v>
      </c>
      <c r="J103" s="2348">
        <f>1.2799/J101</f>
        <v>0.52028455284552844</v>
      </c>
      <c r="K103" s="2348">
        <f>1.2799/K101</f>
        <v>0.52028455284552844</v>
      </c>
      <c r="L103" s="2348">
        <f>1.2799/L101</f>
        <v>0.52028455284552844</v>
      </c>
      <c r="M103" s="2348">
        <f>1.2799/M101</f>
        <v>0.52028455284552844</v>
      </c>
      <c r="N103" s="2348">
        <f>1.2799/N101</f>
        <v>0.52028455284552844</v>
      </c>
    </row>
    <row r="104" spans="1:14">
      <c r="A104" s="3401"/>
      <c r="B104" s="2347">
        <v>3</v>
      </c>
      <c r="C104" s="2348">
        <f>1.1594/C101</f>
        <v>0.47130081300813009</v>
      </c>
      <c r="D104" s="2348">
        <f>1.1594/D101</f>
        <v>0.47130081300813009</v>
      </c>
      <c r="E104" s="2348">
        <f>1.0788/E101</f>
        <v>0.43853658536585366</v>
      </c>
      <c r="F104" s="2348">
        <f>1.0788/F101</f>
        <v>0.43853658536585366</v>
      </c>
      <c r="G104" s="2348">
        <f>1.0788/G101</f>
        <v>0.43853658536585366</v>
      </c>
      <c r="H104" s="2348">
        <f>1.0788/H101</f>
        <v>0.43853658536585366</v>
      </c>
      <c r="I104" s="2348">
        <f>1.0788/I101</f>
        <v>0.43853658536585366</v>
      </c>
      <c r="J104" s="2348">
        <f>1.0072/J101</f>
        <v>0.40943089430894314</v>
      </c>
      <c r="K104" s="2348">
        <f>1.0072/K101</f>
        <v>0.40943089430894314</v>
      </c>
      <c r="L104" s="2348">
        <f>1.0072/L101</f>
        <v>0.40943089430894314</v>
      </c>
      <c r="M104" s="2348">
        <f>1.0072/M101</f>
        <v>0.40943089430894314</v>
      </c>
      <c r="N104" s="2348">
        <f>1.0072/N101</f>
        <v>0.40943089430894314</v>
      </c>
    </row>
    <row r="105" spans="1:14">
      <c r="A105" s="3401"/>
      <c r="B105" s="2347">
        <v>4</v>
      </c>
      <c r="C105" s="2348">
        <f>0.9622/C101</f>
        <v>0.39113821138211385</v>
      </c>
      <c r="D105" s="2348">
        <f>0.9622/D101</f>
        <v>0.39113821138211385</v>
      </c>
      <c r="E105" s="2348">
        <f>0.8656/E101</f>
        <v>0.35186991869918699</v>
      </c>
      <c r="F105" s="2348">
        <f>0.8656/F101</f>
        <v>0.35186991869918699</v>
      </c>
      <c r="G105" s="2348">
        <f>0.8656/G101</f>
        <v>0.35186991869918699</v>
      </c>
      <c r="H105" s="2348">
        <f>0.8656/H101</f>
        <v>0.35186991869918699</v>
      </c>
      <c r="I105" s="2348">
        <f>0.8656/I101</f>
        <v>0.35186991869918699</v>
      </c>
      <c r="J105" s="2348">
        <f>0.7525/J101</f>
        <v>0.30589430894308939</v>
      </c>
      <c r="K105" s="2348">
        <f>0.7525/K101</f>
        <v>0.30589430894308939</v>
      </c>
      <c r="L105" s="2348">
        <f>0.7525/L101</f>
        <v>0.30589430894308939</v>
      </c>
      <c r="M105" s="2348">
        <f>0.7525/M101</f>
        <v>0.30589430894308939</v>
      </c>
      <c r="N105" s="2348">
        <f>0.7525/N101</f>
        <v>0.30589430894308939</v>
      </c>
    </row>
    <row r="106" spans="1:14">
      <c r="A106" s="3401"/>
      <c r="B106" s="2347">
        <v>5</v>
      </c>
      <c r="C106" s="2348">
        <f>0.8417/C101</f>
        <v>0.34215447154471545</v>
      </c>
      <c r="D106" s="2348">
        <f>0.8417/D101</f>
        <v>0.34215447154471545</v>
      </c>
      <c r="E106" s="2348">
        <f>0.7371/E101</f>
        <v>0.2996341463414634</v>
      </c>
      <c r="F106" s="2348">
        <f>0.7371/F101</f>
        <v>0.2996341463414634</v>
      </c>
      <c r="G106" s="2348">
        <f>0.7371/G101</f>
        <v>0.2996341463414634</v>
      </c>
      <c r="H106" s="2348">
        <f>0.7371/H101</f>
        <v>0.2996341463414634</v>
      </c>
      <c r="I106" s="2348">
        <f>0.7371/I101</f>
        <v>0.2996341463414634</v>
      </c>
      <c r="J106" s="2348">
        <f>0.5659/J101</f>
        <v>0.23004065040650404</v>
      </c>
      <c r="K106" s="2348">
        <f>0.5659/K101</f>
        <v>0.23004065040650404</v>
      </c>
      <c r="L106" s="2348">
        <f>0.5659/L101</f>
        <v>0.23004065040650404</v>
      </c>
      <c r="M106" s="2348">
        <f>0.5659/M101</f>
        <v>0.23004065040650404</v>
      </c>
      <c r="N106" s="2348">
        <f>0.5659/N101</f>
        <v>0.23004065040650404</v>
      </c>
    </row>
    <row r="107" spans="1:14">
      <c r="A107" s="3401"/>
      <c r="B107" s="2347">
        <v>6</v>
      </c>
      <c r="C107" s="2348">
        <f>0.7608/C101</f>
        <v>0.30926829268292683</v>
      </c>
      <c r="D107" s="2348">
        <f>0.7608/D101</f>
        <v>0.30926829268292683</v>
      </c>
      <c r="E107" s="2348">
        <f>0.6482/E101</f>
        <v>0.26349593495934959</v>
      </c>
      <c r="F107" s="2348">
        <f>0.6482/F101</f>
        <v>0.26349593495934959</v>
      </c>
      <c r="G107" s="2348">
        <f>0.6482/G101</f>
        <v>0.26349593495934959</v>
      </c>
      <c r="H107" s="2348">
        <f>0.6482/H101</f>
        <v>0.26349593495934959</v>
      </c>
      <c r="I107" s="2348">
        <f>0.6482/I101</f>
        <v>0.26349593495934959</v>
      </c>
      <c r="J107" s="2348">
        <f>0.4525/J101</f>
        <v>0.18394308943089432</v>
      </c>
      <c r="K107" s="2348">
        <f>0.4525/K101</f>
        <v>0.18394308943089432</v>
      </c>
      <c r="L107" s="2348">
        <f>0.4525/L101</f>
        <v>0.18394308943089432</v>
      </c>
      <c r="M107" s="2348">
        <f>0.4525/M101</f>
        <v>0.18394308943089432</v>
      </c>
      <c r="N107" s="2348">
        <f>0.4525/N101</f>
        <v>0.18394308943089432</v>
      </c>
    </row>
    <row r="108" spans="1:14">
      <c r="A108" s="3401"/>
      <c r="B108" s="3403" t="s">
        <v>2794</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402"/>
      <c r="B109" s="3404"/>
      <c r="C109" s="2350">
        <f>(-0.163*(C108^2)-0.59*C108+7617)*(10^(-4))/C101</f>
        <v>0.30963414634146341</v>
      </c>
      <c r="D109" s="2350">
        <f>(-0.163*(D108^2)-0.59*D108+7617)*(10^(-4))/D101</f>
        <v>0.30963414634146341</v>
      </c>
      <c r="E109" s="2350">
        <f>(-0.161*(E108^2)-7.509*E108+6533)*(10^(-4))/E101</f>
        <v>0.26556910569105691</v>
      </c>
      <c r="F109" s="2350">
        <f>(-0.161*(F108^2)-7.509*F108+6533)*(10^(-4))/F101</f>
        <v>0.26556910569105691</v>
      </c>
      <c r="G109" s="2350">
        <f>(-0.161*(G108^2)-7.509*G108+6533)*(10^(-4))/G101</f>
        <v>0.26556910569105691</v>
      </c>
      <c r="H109" s="2350">
        <f>(-0.161*(H108^2)-7.509*H108+6533)*(10^(-4))/H101</f>
        <v>0.26556910569105691</v>
      </c>
      <c r="I109" s="2350">
        <f>(-0.161*(I108^2)-7.509*I108+6533)*(10^(-4))/I101</f>
        <v>0.26556910569105691</v>
      </c>
      <c r="J109" s="2350">
        <f>(-0.214*(J108^2)-21.991*J108+4665)*(10^(-4))/J101</f>
        <v>0.18963414634146342</v>
      </c>
      <c r="K109" s="2350">
        <f>(-0.214*(K108^2)-21.991*K108+4665)*(10^(-4))/K101</f>
        <v>0.18963414634146342</v>
      </c>
      <c r="L109" s="2350">
        <f>(-0.214*(L108^2)-21.991*L108+4665)*(10^(-4))/L101</f>
        <v>0.18963414634146342</v>
      </c>
      <c r="M109" s="2350">
        <f>(-0.214*(M108^2)-21.991*M108+4665)*(10^(-4))/M101</f>
        <v>0.18963414634146342</v>
      </c>
      <c r="N109" s="2350">
        <f>(-0.214*(N108^2)-21.991*N108+4665)*(10^(-4))/N101</f>
        <v>0.18963414634146342</v>
      </c>
    </row>
    <row r="110" spans="1:14">
      <c r="A110" s="3398" t="s">
        <v>2795</v>
      </c>
      <c r="B110" s="3398"/>
      <c r="C110" s="3398"/>
      <c r="D110" s="3398"/>
      <c r="E110" s="3398"/>
      <c r="F110" s="3398"/>
      <c r="G110" s="3398"/>
      <c r="H110" s="3398"/>
      <c r="I110" s="3398"/>
      <c r="J110" s="3398"/>
      <c r="K110" s="2353"/>
      <c r="L110" s="2353"/>
      <c r="M110" s="2353"/>
      <c r="N110" s="2353"/>
    </row>
    <row r="112" spans="1:14" ht="13.5" thickBot="1"/>
    <row r="113" spans="1:13" ht="25.5" thickBot="1">
      <c r="A113" s="842" t="s">
        <v>2796</v>
      </c>
      <c r="B113" s="1197">
        <f>G3</f>
        <v>2.46</v>
      </c>
      <c r="C113" s="843" t="s">
        <v>2797</v>
      </c>
      <c r="D113" s="844">
        <f>SUMPRODUCT((A115:A118=F113)*(B114:M114=H113)*B115:M118)</f>
        <v>0</v>
      </c>
      <c r="E113" s="2189" t="s">
        <v>2630</v>
      </c>
      <c r="F113" s="2355">
        <f>E2</f>
        <v>0</v>
      </c>
      <c r="G113" s="2189" t="s">
        <v>2631</v>
      </c>
      <c r="H113" s="2355">
        <f>G2</f>
        <v>0</v>
      </c>
      <c r="I113" s="2189"/>
      <c r="J113" s="2356"/>
      <c r="K113" s="2356"/>
      <c r="L113" s="2356"/>
      <c r="M113" s="2356"/>
    </row>
    <row r="114" spans="1:13">
      <c r="A114" s="847"/>
      <c r="B114" s="2357" t="s">
        <v>2798</v>
      </c>
      <c r="C114" s="2357" t="s">
        <v>2799</v>
      </c>
      <c r="D114" s="2357" t="s">
        <v>2800</v>
      </c>
      <c r="E114" s="2358" t="s">
        <v>2801</v>
      </c>
      <c r="F114" s="2358" t="s">
        <v>2802</v>
      </c>
      <c r="G114" s="2358" t="s">
        <v>2803</v>
      </c>
      <c r="H114" s="2359" t="s">
        <v>2804</v>
      </c>
      <c r="I114" s="2359" t="s">
        <v>2805</v>
      </c>
      <c r="J114" s="2360" t="s">
        <v>2806</v>
      </c>
      <c r="K114" s="2360" t="s">
        <v>2807</v>
      </c>
      <c r="L114" s="2360" t="s">
        <v>2808</v>
      </c>
      <c r="M114" s="2361" t="s">
        <v>2809</v>
      </c>
    </row>
    <row r="115" spans="1:13">
      <c r="A115" s="848" t="s">
        <v>2695</v>
      </c>
      <c r="B115" s="849">
        <f>ROUND(0.9335-0.0094*B113,4)</f>
        <v>0.91039999999999999</v>
      </c>
      <c r="C115" s="849">
        <f>B115</f>
        <v>0.91039999999999999</v>
      </c>
      <c r="D115" s="849">
        <f>ROUND(0.8331-0.0109*B113,4)</f>
        <v>0.80630000000000002</v>
      </c>
      <c r="E115" s="849">
        <f>D115</f>
        <v>0.80630000000000002</v>
      </c>
      <c r="F115" s="849">
        <f>E115</f>
        <v>0.80630000000000002</v>
      </c>
      <c r="G115" s="849">
        <f>F115</f>
        <v>0.80630000000000002</v>
      </c>
      <c r="H115" s="849">
        <f>G115</f>
        <v>0.80630000000000002</v>
      </c>
      <c r="I115" s="849">
        <f>ROUND(0.689-0.0155*B113,4)</f>
        <v>0.65090000000000003</v>
      </c>
      <c r="J115" s="849">
        <f t="shared" ref="J115:M118" si="33">I115</f>
        <v>0.65090000000000003</v>
      </c>
      <c r="K115" s="849">
        <f t="shared" si="33"/>
        <v>0.65090000000000003</v>
      </c>
      <c r="L115" s="849">
        <f t="shared" si="33"/>
        <v>0.65090000000000003</v>
      </c>
      <c r="M115" s="850">
        <f t="shared" si="33"/>
        <v>0.65090000000000003</v>
      </c>
    </row>
    <row r="116" spans="1:13">
      <c r="A116" s="848" t="s">
        <v>2696</v>
      </c>
      <c r="B116" s="849">
        <f>ROUND(0.949-0.012*B113,4)</f>
        <v>0.91949999999999998</v>
      </c>
      <c r="C116" s="849">
        <f>B116</f>
        <v>0.91949999999999998</v>
      </c>
      <c r="D116" s="849">
        <f>ROUND(0.8567-0.013*B113,4)</f>
        <v>0.82469999999999999</v>
      </c>
      <c r="E116" s="849">
        <f t="shared" ref="E116:H117" si="34">D116</f>
        <v>0.82469999999999999</v>
      </c>
      <c r="F116" s="849">
        <f t="shared" si="34"/>
        <v>0.82469999999999999</v>
      </c>
      <c r="G116" s="849">
        <f t="shared" si="34"/>
        <v>0.82469999999999999</v>
      </c>
      <c r="H116" s="849">
        <f t="shared" si="34"/>
        <v>0.82469999999999999</v>
      </c>
      <c r="I116" s="849">
        <f>ROUND(0.7694-0.014*B113,4)</f>
        <v>0.73499999999999999</v>
      </c>
      <c r="J116" s="849">
        <f t="shared" si="33"/>
        <v>0.73499999999999999</v>
      </c>
      <c r="K116" s="849">
        <f t="shared" si="33"/>
        <v>0.73499999999999999</v>
      </c>
      <c r="L116" s="849">
        <f t="shared" si="33"/>
        <v>0.73499999999999999</v>
      </c>
      <c r="M116" s="850">
        <f t="shared" si="33"/>
        <v>0.73499999999999999</v>
      </c>
    </row>
    <row r="117" spans="1:13">
      <c r="A117" s="848" t="s">
        <v>2697</v>
      </c>
      <c r="B117" s="849">
        <f>ROUND(0.8808-0.006*B113,4)</f>
        <v>0.86599999999999999</v>
      </c>
      <c r="C117" s="849">
        <f>B117</f>
        <v>0.86599999999999999</v>
      </c>
      <c r="D117" s="849">
        <f>ROUND(0.8748-0.008*B113,4)</f>
        <v>0.85509999999999997</v>
      </c>
      <c r="E117" s="849">
        <f t="shared" si="34"/>
        <v>0.85509999999999997</v>
      </c>
      <c r="F117" s="849">
        <f t="shared" si="34"/>
        <v>0.85509999999999997</v>
      </c>
      <c r="G117" s="849">
        <f t="shared" si="34"/>
        <v>0.85509999999999997</v>
      </c>
      <c r="H117" s="849">
        <f t="shared" si="34"/>
        <v>0.85509999999999997</v>
      </c>
      <c r="I117" s="849">
        <f>ROUND(0.7412-0.0095*B113,4)</f>
        <v>0.71779999999999999</v>
      </c>
      <c r="J117" s="849">
        <f t="shared" si="33"/>
        <v>0.71779999999999999</v>
      </c>
      <c r="K117" s="849">
        <f t="shared" si="33"/>
        <v>0.71779999999999999</v>
      </c>
      <c r="L117" s="849">
        <f t="shared" si="33"/>
        <v>0.71779999999999999</v>
      </c>
      <c r="M117" s="850">
        <f t="shared" si="33"/>
        <v>0.71779999999999999</v>
      </c>
    </row>
    <row r="118" spans="1:13" ht="13.5" thickBot="1">
      <c r="A118" s="670" t="s">
        <v>2698</v>
      </c>
      <c r="B118" s="851">
        <f>ROUND(0.7275-0.01*B113,4)</f>
        <v>0.70289999999999997</v>
      </c>
      <c r="C118" s="851">
        <f>B118</f>
        <v>0.70289999999999997</v>
      </c>
      <c r="D118" s="851">
        <f>ROUND(0.7043-0.012*B113,4)</f>
        <v>0.67479999999999996</v>
      </c>
      <c r="E118" s="851">
        <f>D118</f>
        <v>0.67479999999999996</v>
      </c>
      <c r="F118" s="851">
        <f>E118</f>
        <v>0.67479999999999996</v>
      </c>
      <c r="G118" s="851">
        <f>ROUND(0.6299-0.0122*B113,4)</f>
        <v>0.59989999999999999</v>
      </c>
      <c r="H118" s="851">
        <f>G118</f>
        <v>0.59989999999999999</v>
      </c>
      <c r="I118" s="851">
        <f>ROUND(0.5667-0.0136*B113,4)</f>
        <v>0.53320000000000001</v>
      </c>
      <c r="J118" s="851">
        <f t="shared" si="33"/>
        <v>0.53320000000000001</v>
      </c>
      <c r="K118" s="851">
        <f t="shared" si="33"/>
        <v>0.53320000000000001</v>
      </c>
      <c r="L118" s="851">
        <f t="shared" si="33"/>
        <v>0.53320000000000001</v>
      </c>
      <c r="M118" s="852">
        <f t="shared" si="33"/>
        <v>0.53320000000000001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1" t="s">
        <v>183</v>
      </c>
      <c r="B18" s="821" t="s">
        <v>560</v>
      </c>
      <c r="C18" s="822" t="s">
        <v>561</v>
      </c>
      <c r="D18" s="823"/>
      <c r="E18" s="821">
        <v>1</v>
      </c>
      <c r="F18" s="824" t="s">
        <v>562</v>
      </c>
      <c r="G18" s="825"/>
      <c r="H18" s="817"/>
      <c r="I18" s="817"/>
    </row>
    <row r="19" spans="1:9" s="826" customFormat="1" ht="19.5" customHeight="1">
      <c r="A19" s="3411"/>
      <c r="B19" s="3411" t="s">
        <v>563</v>
      </c>
      <c r="C19" s="822" t="s">
        <v>564</v>
      </c>
      <c r="D19" s="823"/>
      <c r="E19" s="821">
        <v>0.9</v>
      </c>
      <c r="F19" s="824" t="s">
        <v>565</v>
      </c>
      <c r="G19" s="825"/>
      <c r="H19" s="817"/>
      <c r="I19" s="817"/>
    </row>
    <row r="20" spans="1:9" s="826" customFormat="1" ht="19.5" customHeight="1">
      <c r="A20" s="3411"/>
      <c r="B20" s="3411"/>
      <c r="C20" s="822" t="s">
        <v>566</v>
      </c>
      <c r="D20" s="823"/>
      <c r="E20" s="821">
        <v>1.1000000000000001</v>
      </c>
      <c r="F20" s="824" t="s">
        <v>567</v>
      </c>
      <c r="G20" s="825"/>
      <c r="H20" s="817"/>
      <c r="I20" s="817"/>
    </row>
    <row r="21" spans="1:9" s="826" customFormat="1" ht="19.5" customHeight="1">
      <c r="A21" s="3411"/>
      <c r="B21" s="3411"/>
      <c r="C21" s="822" t="s">
        <v>568</v>
      </c>
      <c r="D21" s="823"/>
      <c r="E21" s="821">
        <v>0.8</v>
      </c>
      <c r="F21" s="824" t="s">
        <v>569</v>
      </c>
      <c r="G21" s="825"/>
      <c r="H21" s="817"/>
      <c r="I21" s="817"/>
    </row>
    <row r="22" spans="1:9" s="826" customFormat="1" ht="19.5" customHeight="1">
      <c r="A22" s="3411"/>
      <c r="B22" s="3411"/>
      <c r="C22" s="822" t="s">
        <v>570</v>
      </c>
      <c r="D22" s="823"/>
      <c r="E22" s="821">
        <v>0.5</v>
      </c>
      <c r="F22" s="824"/>
      <c r="G22" s="825"/>
      <c r="H22" s="817"/>
      <c r="I22" s="817"/>
    </row>
    <row r="23" spans="1:9" s="826" customFormat="1" ht="19.5" customHeight="1">
      <c r="A23" s="3411" t="s">
        <v>184</v>
      </c>
      <c r="B23" s="821" t="s">
        <v>560</v>
      </c>
      <c r="C23" s="822" t="s">
        <v>571</v>
      </c>
      <c r="D23" s="823"/>
      <c r="E23" s="821">
        <v>1</v>
      </c>
      <c r="F23" s="824" t="s">
        <v>572</v>
      </c>
      <c r="G23" s="825"/>
      <c r="H23" s="817"/>
      <c r="I23" s="817"/>
    </row>
    <row r="24" spans="1:9" s="826" customFormat="1" ht="19.5" customHeight="1">
      <c r="A24" s="3411"/>
      <c r="B24" s="3411" t="s">
        <v>563</v>
      </c>
      <c r="C24" s="822" t="s">
        <v>573</v>
      </c>
      <c r="D24" s="823"/>
      <c r="E24" s="821">
        <v>0.5</v>
      </c>
      <c r="F24" s="824"/>
      <c r="G24" s="825"/>
      <c r="H24" s="817"/>
      <c r="I24" s="817"/>
    </row>
    <row r="25" spans="1:9" s="826" customFormat="1" ht="19.5" customHeight="1">
      <c r="A25" s="3411"/>
      <c r="B25" s="3411"/>
      <c r="C25" s="822" t="s">
        <v>574</v>
      </c>
      <c r="D25" s="823"/>
      <c r="E25" s="821">
        <v>1.1000000000000001</v>
      </c>
      <c r="F25" s="824"/>
      <c r="G25" s="825"/>
      <c r="H25" s="817"/>
      <c r="I25" s="817"/>
    </row>
    <row r="26" spans="1:9" s="826" customFormat="1" ht="19.5" customHeight="1">
      <c r="A26" s="3411"/>
      <c r="B26" s="3411"/>
      <c r="C26" s="822" t="s">
        <v>575</v>
      </c>
      <c r="D26" s="823"/>
      <c r="E26" s="821">
        <v>1.1000000000000001</v>
      </c>
      <c r="F26" s="824"/>
      <c r="G26" s="825"/>
      <c r="H26" s="817"/>
      <c r="I26" s="817"/>
    </row>
    <row r="27" spans="1:9" s="826" customFormat="1" ht="19.5" customHeight="1">
      <c r="A27" s="3411"/>
      <c r="B27" s="3411"/>
      <c r="C27" s="822" t="s">
        <v>576</v>
      </c>
      <c r="D27" s="823"/>
      <c r="E27" s="821">
        <v>0.9</v>
      </c>
      <c r="F27" s="824" t="s">
        <v>577</v>
      </c>
      <c r="G27" s="825"/>
      <c r="H27" s="817"/>
      <c r="I27" s="817"/>
    </row>
    <row r="28" spans="1:9" s="826" customFormat="1" ht="19.5" customHeight="1">
      <c r="A28" s="3411"/>
      <c r="B28" s="3411"/>
      <c r="C28" s="822" t="s">
        <v>578</v>
      </c>
      <c r="D28" s="823"/>
      <c r="E28" s="821">
        <v>0.9</v>
      </c>
      <c r="F28" s="824" t="s">
        <v>579</v>
      </c>
      <c r="G28" s="825"/>
      <c r="H28" s="817"/>
      <c r="I28" s="817"/>
    </row>
    <row r="29" spans="1:9" s="826" customFormat="1" ht="19.5" customHeight="1">
      <c r="A29" s="3411"/>
      <c r="B29" s="3411"/>
      <c r="C29" s="822" t="s">
        <v>580</v>
      </c>
      <c r="D29" s="823"/>
      <c r="E29" s="821">
        <v>0.9</v>
      </c>
      <c r="F29" s="824" t="s">
        <v>581</v>
      </c>
      <c r="G29" s="825"/>
      <c r="H29" s="817"/>
      <c r="I29" s="817"/>
    </row>
    <row r="30" spans="1:9" s="826" customFormat="1" ht="19.5" customHeight="1">
      <c r="A30" s="3411"/>
      <c r="B30" s="3411"/>
      <c r="C30" s="822" t="s">
        <v>582</v>
      </c>
      <c r="D30" s="823"/>
      <c r="E30" s="821">
        <v>0.9</v>
      </c>
      <c r="F30" s="824" t="s">
        <v>583</v>
      </c>
      <c r="G30" s="825"/>
      <c r="H30" s="817"/>
      <c r="I30" s="817"/>
    </row>
    <row r="31" spans="1:9" s="826" customFormat="1" ht="19.5" customHeight="1">
      <c r="A31" s="3411"/>
      <c r="B31" s="3411"/>
      <c r="C31" s="822" t="s">
        <v>584</v>
      </c>
      <c r="D31" s="823"/>
      <c r="E31" s="821">
        <v>0.8</v>
      </c>
      <c r="F31" s="824" t="s">
        <v>585</v>
      </c>
      <c r="G31" s="825"/>
      <c r="H31" s="817"/>
      <c r="I31" s="817"/>
    </row>
    <row r="32" spans="1:9" s="826" customFormat="1" ht="19.5" customHeight="1">
      <c r="A32" s="3411"/>
      <c r="B32" s="3411"/>
      <c r="C32" s="822" t="s">
        <v>586</v>
      </c>
      <c r="D32" s="823"/>
      <c r="E32" s="821">
        <v>0.8</v>
      </c>
      <c r="F32" s="824" t="s">
        <v>587</v>
      </c>
      <c r="G32" s="825"/>
      <c r="H32" s="817"/>
      <c r="I32" s="817"/>
    </row>
    <row r="33" spans="1:9" s="826" customFormat="1" ht="19.5" customHeight="1">
      <c r="A33" s="3411" t="s">
        <v>185</v>
      </c>
      <c r="B33" s="821" t="s">
        <v>560</v>
      </c>
      <c r="C33" s="822" t="s">
        <v>588</v>
      </c>
      <c r="D33" s="823"/>
      <c r="E33" s="821">
        <v>1</v>
      </c>
      <c r="F33" s="824" t="s">
        <v>589</v>
      </c>
      <c r="G33" s="825"/>
      <c r="H33" s="817"/>
      <c r="I33" s="817"/>
    </row>
    <row r="34" spans="1:9" s="826" customFormat="1" ht="19.5" customHeight="1">
      <c r="A34" s="3411"/>
      <c r="B34" s="821" t="s">
        <v>563</v>
      </c>
      <c r="C34" s="822" t="s">
        <v>590</v>
      </c>
      <c r="D34" s="823"/>
      <c r="E34" s="821">
        <v>1.5</v>
      </c>
      <c r="F34" s="824" t="s">
        <v>591</v>
      </c>
      <c r="G34" s="825"/>
      <c r="H34" s="817"/>
      <c r="I34" s="817"/>
    </row>
    <row r="35" spans="1:9" s="826" customFormat="1" ht="19.5" customHeight="1">
      <c r="A35" s="3411" t="s">
        <v>186</v>
      </c>
      <c r="B35" s="821" t="s">
        <v>560</v>
      </c>
      <c r="C35" s="822" t="s">
        <v>592</v>
      </c>
      <c r="D35" s="823"/>
      <c r="E35" s="821">
        <v>1</v>
      </c>
      <c r="F35" s="824" t="s">
        <v>593</v>
      </c>
      <c r="G35" s="825"/>
      <c r="H35" s="817"/>
      <c r="I35" s="817"/>
    </row>
    <row r="36" spans="1:9" s="826" customFormat="1" ht="19.5" customHeight="1">
      <c r="A36" s="3411"/>
      <c r="B36" s="3411" t="s">
        <v>563</v>
      </c>
      <c r="C36" s="822" t="s">
        <v>594</v>
      </c>
      <c r="D36" s="823"/>
      <c r="E36" s="821">
        <v>1</v>
      </c>
      <c r="F36" s="824" t="s">
        <v>595</v>
      </c>
      <c r="G36" s="825"/>
      <c r="H36" s="817"/>
      <c r="I36" s="817"/>
    </row>
    <row r="37" spans="1:9" s="826" customFormat="1" ht="19.5" customHeight="1">
      <c r="A37" s="3411"/>
      <c r="B37" s="3411"/>
      <c r="C37" s="822" t="s">
        <v>596</v>
      </c>
      <c r="D37" s="823"/>
      <c r="E37" s="821">
        <v>1.5</v>
      </c>
      <c r="F37" s="824" t="s">
        <v>597</v>
      </c>
      <c r="G37" s="825"/>
      <c r="H37" s="817"/>
      <c r="I37" s="817"/>
    </row>
    <row r="38" spans="1:9" s="826" customFormat="1" ht="19.5" customHeight="1">
      <c r="A38" s="3411"/>
      <c r="B38" s="3411"/>
      <c r="C38" s="822" t="s">
        <v>598</v>
      </c>
      <c r="D38" s="823"/>
      <c r="E38" s="821">
        <v>1</v>
      </c>
      <c r="F38" s="824" t="s">
        <v>599</v>
      </c>
      <c r="G38" s="825"/>
      <c r="H38" s="817"/>
      <c r="I38" s="817"/>
    </row>
    <row r="39" spans="1:9" s="826" customFormat="1" ht="19.5" customHeight="1">
      <c r="A39" s="3411"/>
      <c r="B39" s="341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1" t="s">
        <v>614</v>
      </c>
      <c r="C61" s="757" t="s">
        <v>615</v>
      </c>
      <c r="D61" s="757" t="s">
        <v>616</v>
      </c>
      <c r="E61" s="834">
        <v>0.5</v>
      </c>
      <c r="F61" s="821">
        <v>80</v>
      </c>
    </row>
    <row r="62" spans="1:8" s="817" customFormat="1" ht="24">
      <c r="A62" s="821">
        <v>2</v>
      </c>
      <c r="B62" s="3411"/>
      <c r="C62" s="757" t="s">
        <v>617</v>
      </c>
      <c r="D62" s="757" t="s">
        <v>618</v>
      </c>
      <c r="E62" s="834">
        <v>0.5</v>
      </c>
      <c r="F62" s="821">
        <v>80</v>
      </c>
    </row>
    <row r="63" spans="1:8" s="817" customFormat="1" ht="36">
      <c r="A63" s="821">
        <v>3</v>
      </c>
      <c r="B63" s="3411"/>
      <c r="C63" s="757" t="s">
        <v>619</v>
      </c>
      <c r="D63" s="757" t="s">
        <v>620</v>
      </c>
      <c r="E63" s="834">
        <v>0.5</v>
      </c>
      <c r="F63" s="821">
        <v>80</v>
      </c>
    </row>
    <row r="64" spans="1:8" s="817" customFormat="1" ht="36">
      <c r="A64" s="821">
        <v>4</v>
      </c>
      <c r="B64" s="3411"/>
      <c r="C64" s="757" t="s">
        <v>621</v>
      </c>
      <c r="D64" s="757" t="s">
        <v>622</v>
      </c>
      <c r="E64" s="834">
        <v>0.4</v>
      </c>
      <c r="F64" s="821">
        <v>60</v>
      </c>
    </row>
    <row r="65" spans="1:6" s="817" customFormat="1" ht="36">
      <c r="A65" s="821">
        <v>5</v>
      </c>
      <c r="B65" s="3411"/>
      <c r="C65" s="757" t="s">
        <v>623</v>
      </c>
      <c r="D65" s="757" t="s">
        <v>624</v>
      </c>
      <c r="E65" s="834">
        <v>0.2</v>
      </c>
      <c r="F65" s="821">
        <v>30</v>
      </c>
    </row>
    <row r="66" spans="1:6" s="817" customFormat="1" ht="36">
      <c r="A66" s="821">
        <v>6</v>
      </c>
      <c r="B66" s="3411"/>
      <c r="C66" s="757" t="s">
        <v>625</v>
      </c>
      <c r="D66" s="757" t="s">
        <v>626</v>
      </c>
      <c r="E66" s="834">
        <v>0.3</v>
      </c>
      <c r="F66" s="821">
        <v>50</v>
      </c>
    </row>
    <row r="67" spans="1:6" s="817" customFormat="1" ht="36">
      <c r="A67" s="821">
        <v>7</v>
      </c>
      <c r="B67" s="3411"/>
      <c r="C67" s="757" t="s">
        <v>627</v>
      </c>
      <c r="D67" s="757" t="s">
        <v>628</v>
      </c>
      <c r="E67" s="834">
        <v>0.2</v>
      </c>
      <c r="F67" s="821">
        <v>30</v>
      </c>
    </row>
    <row r="68" spans="1:6" s="817" customFormat="1" ht="36">
      <c r="A68" s="821">
        <v>8</v>
      </c>
      <c r="B68" s="3411"/>
      <c r="C68" s="757" t="s">
        <v>629</v>
      </c>
      <c r="D68" s="757" t="s">
        <v>630</v>
      </c>
      <c r="E68" s="834">
        <v>0.2</v>
      </c>
      <c r="F68" s="821">
        <v>30</v>
      </c>
    </row>
    <row r="69" spans="1:6" s="817" customFormat="1" ht="36">
      <c r="A69" s="821">
        <v>9</v>
      </c>
      <c r="B69" s="3411"/>
      <c r="C69" s="757" t="s">
        <v>631</v>
      </c>
      <c r="D69" s="757" t="s">
        <v>632</v>
      </c>
      <c r="E69" s="834">
        <v>0.2</v>
      </c>
      <c r="F69" s="821">
        <v>30</v>
      </c>
    </row>
    <row r="70" spans="1:6" s="817" customFormat="1" ht="48">
      <c r="A70" s="821">
        <v>10</v>
      </c>
      <c r="B70" s="3411"/>
      <c r="C70" s="757" t="s">
        <v>633</v>
      </c>
      <c r="D70" s="757" t="s">
        <v>634</v>
      </c>
      <c r="E70" s="834">
        <v>0.2</v>
      </c>
      <c r="F70" s="821">
        <v>30</v>
      </c>
    </row>
    <row r="71" spans="1:6" s="817" customFormat="1" ht="48">
      <c r="A71" s="821">
        <v>11</v>
      </c>
      <c r="B71" s="3411"/>
      <c r="C71" s="757" t="s">
        <v>635</v>
      </c>
      <c r="D71" s="757" t="s">
        <v>636</v>
      </c>
      <c r="E71" s="834">
        <v>0.2</v>
      </c>
      <c r="F71" s="821">
        <v>30</v>
      </c>
    </row>
    <row r="72" spans="1:6" s="817" customFormat="1" ht="36">
      <c r="A72" s="821">
        <v>12</v>
      </c>
      <c r="B72" s="3411"/>
      <c r="C72" s="757" t="s">
        <v>637</v>
      </c>
      <c r="D72" s="757" t="s">
        <v>638</v>
      </c>
      <c r="E72" s="834">
        <v>0.5</v>
      </c>
      <c r="F72" s="821">
        <v>80</v>
      </c>
    </row>
    <row r="73" spans="1:6" s="817" customFormat="1" ht="24">
      <c r="A73" s="821">
        <v>13</v>
      </c>
      <c r="B73" s="3411"/>
      <c r="C73" s="757" t="s">
        <v>639</v>
      </c>
      <c r="D73" s="757" t="s">
        <v>640</v>
      </c>
      <c r="E73" s="834">
        <v>0.4</v>
      </c>
      <c r="F73" s="821">
        <v>60</v>
      </c>
    </row>
    <row r="74" spans="1:6" s="817" customFormat="1" ht="24">
      <c r="A74" s="821">
        <v>14</v>
      </c>
      <c r="B74" s="3411"/>
      <c r="C74" s="757" t="s">
        <v>641</v>
      </c>
      <c r="D74" s="757" t="s">
        <v>642</v>
      </c>
      <c r="E74" s="834">
        <v>0.2</v>
      </c>
      <c r="F74" s="821">
        <v>30</v>
      </c>
    </row>
    <row r="75" spans="1:6" s="817" customFormat="1" ht="24">
      <c r="A75" s="821">
        <v>15</v>
      </c>
      <c r="B75" s="3411"/>
      <c r="C75" s="757" t="s">
        <v>643</v>
      </c>
      <c r="D75" s="757" t="s">
        <v>644</v>
      </c>
      <c r="E75" s="834">
        <v>0.2</v>
      </c>
      <c r="F75" s="821">
        <v>30</v>
      </c>
    </row>
    <row r="76" spans="1:6" s="817" customFormat="1" ht="24">
      <c r="A76" s="821">
        <v>16</v>
      </c>
      <c r="B76" s="3411" t="s">
        <v>645</v>
      </c>
      <c r="C76" s="757" t="s">
        <v>646</v>
      </c>
      <c r="D76" s="757" t="s">
        <v>647</v>
      </c>
      <c r="E76" s="834">
        <v>0.5</v>
      </c>
      <c r="F76" s="821">
        <v>80</v>
      </c>
    </row>
    <row r="77" spans="1:6" s="817" customFormat="1" ht="24">
      <c r="A77" s="821">
        <v>17</v>
      </c>
      <c r="B77" s="3411"/>
      <c r="C77" s="757" t="s">
        <v>648</v>
      </c>
      <c r="D77" s="757" t="s">
        <v>649</v>
      </c>
      <c r="E77" s="834">
        <v>0.5</v>
      </c>
      <c r="F77" s="821">
        <v>80</v>
      </c>
    </row>
    <row r="78" spans="1:6" s="817" customFormat="1" ht="24">
      <c r="A78" s="821">
        <v>18</v>
      </c>
      <c r="B78" s="3411"/>
      <c r="C78" s="757" t="s">
        <v>650</v>
      </c>
      <c r="D78" s="757" t="s">
        <v>651</v>
      </c>
      <c r="E78" s="834">
        <v>0.2</v>
      </c>
      <c r="F78" s="821">
        <v>30</v>
      </c>
    </row>
    <row r="79" spans="1:6" s="817" customFormat="1" ht="24">
      <c r="A79" s="821">
        <v>19</v>
      </c>
      <c r="B79" s="3411"/>
      <c r="C79" s="757" t="s">
        <v>652</v>
      </c>
      <c r="D79" s="757" t="s">
        <v>653</v>
      </c>
      <c r="E79" s="834">
        <v>0.5</v>
      </c>
      <c r="F79" s="821">
        <v>80</v>
      </c>
    </row>
    <row r="80" spans="1:6" s="817" customFormat="1" ht="36">
      <c r="A80" s="821">
        <v>20</v>
      </c>
      <c r="B80" s="3411"/>
      <c r="C80" s="757" t="s">
        <v>654</v>
      </c>
      <c r="D80" s="757" t="s">
        <v>655</v>
      </c>
      <c r="E80" s="834">
        <v>0.2</v>
      </c>
      <c r="F80" s="821">
        <v>30</v>
      </c>
    </row>
    <row r="81" spans="1:6" s="817" customFormat="1" ht="36">
      <c r="A81" s="821">
        <v>21</v>
      </c>
      <c r="B81" s="3411"/>
      <c r="C81" s="757" t="s">
        <v>656</v>
      </c>
      <c r="D81" s="757" t="s">
        <v>657</v>
      </c>
      <c r="E81" s="834">
        <v>0.2</v>
      </c>
      <c r="F81" s="821">
        <v>30</v>
      </c>
    </row>
    <row r="82" spans="1:6" s="817" customFormat="1" ht="48">
      <c r="A82" s="821">
        <v>22</v>
      </c>
      <c r="B82" s="3411"/>
      <c r="C82" s="757" t="s">
        <v>658</v>
      </c>
      <c r="D82" s="757" t="s">
        <v>659</v>
      </c>
      <c r="E82" s="834">
        <v>0.2</v>
      </c>
      <c r="F82" s="821">
        <v>30</v>
      </c>
    </row>
    <row r="83" spans="1:6" s="817" customFormat="1" ht="48">
      <c r="A83" s="821">
        <v>23</v>
      </c>
      <c r="B83" s="3411"/>
      <c r="C83" s="757" t="s">
        <v>660</v>
      </c>
      <c r="D83" s="757" t="s">
        <v>661</v>
      </c>
      <c r="E83" s="834">
        <v>0.2</v>
      </c>
      <c r="F83" s="821">
        <v>30</v>
      </c>
    </row>
    <row r="84" spans="1:6" s="817" customFormat="1" ht="36">
      <c r="A84" s="821">
        <v>24</v>
      </c>
      <c r="B84" s="3411"/>
      <c r="C84" s="757" t="s">
        <v>662</v>
      </c>
      <c r="D84" s="757" t="s">
        <v>663</v>
      </c>
      <c r="E84" s="834">
        <v>0.2</v>
      </c>
      <c r="F84" s="821">
        <v>30</v>
      </c>
    </row>
    <row r="85" spans="1:6" s="817" customFormat="1" ht="36">
      <c r="A85" s="821">
        <v>25</v>
      </c>
      <c r="B85" s="3411"/>
      <c r="C85" s="757" t="s">
        <v>664</v>
      </c>
      <c r="D85" s="757" t="s">
        <v>665</v>
      </c>
      <c r="E85" s="834">
        <v>0.5</v>
      </c>
      <c r="F85" s="821">
        <v>80</v>
      </c>
    </row>
    <row r="86" spans="1:6" s="817" customFormat="1" ht="36">
      <c r="A86" s="821">
        <v>26</v>
      </c>
      <c r="B86" s="3411"/>
      <c r="C86" s="757" t="s">
        <v>666</v>
      </c>
      <c r="D86" s="757" t="s">
        <v>667</v>
      </c>
      <c r="E86" s="834">
        <v>0.2</v>
      </c>
      <c r="F86" s="821">
        <v>30</v>
      </c>
    </row>
    <row r="87" spans="1:6" s="817" customFormat="1" ht="36">
      <c r="A87" s="821">
        <v>27</v>
      </c>
      <c r="B87" s="3411"/>
      <c r="C87" s="757" t="s">
        <v>668</v>
      </c>
      <c r="D87" s="757" t="s">
        <v>669</v>
      </c>
      <c r="E87" s="834">
        <v>0.2</v>
      </c>
      <c r="F87" s="821">
        <v>30</v>
      </c>
    </row>
    <row r="88" spans="1:6" s="817" customFormat="1" ht="36">
      <c r="A88" s="821">
        <v>28</v>
      </c>
      <c r="B88" s="3411"/>
      <c r="C88" s="757" t="s">
        <v>670</v>
      </c>
      <c r="D88" s="757" t="s">
        <v>671</v>
      </c>
      <c r="E88" s="834">
        <v>0.2</v>
      </c>
      <c r="F88" s="821">
        <v>30</v>
      </c>
    </row>
    <row r="89" spans="1:6" s="817" customFormat="1" ht="24">
      <c r="A89" s="821">
        <v>29</v>
      </c>
      <c r="B89" s="3411"/>
      <c r="C89" s="757" t="s">
        <v>672</v>
      </c>
      <c r="D89" s="757" t="s">
        <v>673</v>
      </c>
      <c r="E89" s="834">
        <v>0.2</v>
      </c>
      <c r="F89" s="821">
        <v>30</v>
      </c>
    </row>
    <row r="90" spans="1:6" s="817" customFormat="1" ht="24">
      <c r="A90" s="821">
        <v>30</v>
      </c>
      <c r="B90" s="3411"/>
      <c r="C90" s="757" t="s">
        <v>674</v>
      </c>
      <c r="D90" s="757" t="s">
        <v>675</v>
      </c>
      <c r="E90" s="834">
        <v>0.2</v>
      </c>
      <c r="F90" s="821">
        <v>30</v>
      </c>
    </row>
    <row r="91" spans="1:6" s="817" customFormat="1" ht="36">
      <c r="A91" s="821">
        <v>31</v>
      </c>
      <c r="B91" s="3411"/>
      <c r="C91" s="757" t="s">
        <v>676</v>
      </c>
      <c r="D91" s="757" t="s">
        <v>677</v>
      </c>
      <c r="E91" s="834">
        <v>0.2</v>
      </c>
      <c r="F91" s="821">
        <v>30</v>
      </c>
    </row>
    <row r="92" spans="1:6" s="817" customFormat="1" ht="24">
      <c r="A92" s="821">
        <v>32</v>
      </c>
      <c r="B92" s="3411" t="s">
        <v>678</v>
      </c>
      <c r="C92" s="821" t="s">
        <v>679</v>
      </c>
      <c r="D92" s="757" t="s">
        <v>680</v>
      </c>
      <c r="E92" s="834">
        <v>0.2</v>
      </c>
      <c r="F92" s="821">
        <v>30</v>
      </c>
    </row>
    <row r="93" spans="1:6" s="817" customFormat="1" ht="36">
      <c r="A93" s="821">
        <v>33</v>
      </c>
      <c r="B93" s="3411"/>
      <c r="C93" s="821" t="s">
        <v>681</v>
      </c>
      <c r="D93" s="757" t="s">
        <v>682</v>
      </c>
      <c r="E93" s="834">
        <v>0.2</v>
      </c>
      <c r="F93" s="821">
        <v>30</v>
      </c>
    </row>
    <row r="94" spans="1:6" s="817" customFormat="1" ht="48">
      <c r="A94" s="821">
        <v>34</v>
      </c>
      <c r="B94" s="3411"/>
      <c r="C94" s="821" t="s">
        <v>683</v>
      </c>
      <c r="D94" s="757" t="s">
        <v>684</v>
      </c>
      <c r="E94" s="834">
        <v>0.2</v>
      </c>
      <c r="F94" s="821">
        <v>30</v>
      </c>
    </row>
    <row r="95" spans="1:6" s="817" customFormat="1" ht="36">
      <c r="A95" s="821">
        <v>35</v>
      </c>
      <c r="B95" s="3411"/>
      <c r="C95" s="821" t="s">
        <v>685</v>
      </c>
      <c r="D95" s="757" t="s">
        <v>686</v>
      </c>
      <c r="E95" s="834">
        <v>0.2</v>
      </c>
      <c r="F95" s="821">
        <v>30</v>
      </c>
    </row>
    <row r="96" spans="1:6" s="817" customFormat="1" ht="48">
      <c r="A96" s="821">
        <v>36</v>
      </c>
      <c r="B96" s="3411"/>
      <c r="C96" s="757" t="s">
        <v>687</v>
      </c>
      <c r="D96" s="757" t="s">
        <v>688</v>
      </c>
      <c r="E96" s="834">
        <v>0.2</v>
      </c>
      <c r="F96" s="821">
        <v>30</v>
      </c>
    </row>
    <row r="97" spans="1:6" s="817" customFormat="1" ht="36">
      <c r="A97" s="821">
        <v>37</v>
      </c>
      <c r="B97" s="3411"/>
      <c r="C97" s="821" t="s">
        <v>689</v>
      </c>
      <c r="D97" s="757" t="s">
        <v>690</v>
      </c>
      <c r="E97" s="834">
        <v>0.2</v>
      </c>
      <c r="F97" s="821">
        <v>30</v>
      </c>
    </row>
    <row r="98" spans="1:6" s="817" customFormat="1" ht="36">
      <c r="A98" s="821">
        <v>38</v>
      </c>
      <c r="B98" s="3411"/>
      <c r="C98" s="821" t="s">
        <v>691</v>
      </c>
      <c r="D98" s="757" t="s">
        <v>692</v>
      </c>
      <c r="E98" s="834">
        <v>0.2</v>
      </c>
      <c r="F98" s="821">
        <v>30</v>
      </c>
    </row>
    <row r="99" spans="1:6" s="817" customFormat="1" ht="36">
      <c r="A99" s="821">
        <v>39</v>
      </c>
      <c r="B99" s="3411" t="s">
        <v>693</v>
      </c>
      <c r="C99" s="821" t="s">
        <v>694</v>
      </c>
      <c r="D99" s="757" t="s">
        <v>695</v>
      </c>
      <c r="E99" s="834">
        <v>0.3</v>
      </c>
      <c r="F99" s="821">
        <v>50</v>
      </c>
    </row>
    <row r="100" spans="1:6" s="817" customFormat="1" ht="24">
      <c r="A100" s="821">
        <v>40</v>
      </c>
      <c r="B100" s="3411"/>
      <c r="C100" s="821" t="s">
        <v>696</v>
      </c>
      <c r="D100" s="757" t="s">
        <v>697</v>
      </c>
      <c r="E100" s="834">
        <v>0.2</v>
      </c>
      <c r="F100" s="821">
        <v>30</v>
      </c>
    </row>
    <row r="101" spans="1:6" s="817" customFormat="1" ht="36">
      <c r="A101" s="821">
        <v>41</v>
      </c>
      <c r="B101" s="341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1" t="s">
        <v>708</v>
      </c>
      <c r="C105" s="821" t="s">
        <v>709</v>
      </c>
      <c r="D105" s="757" t="s">
        <v>710</v>
      </c>
      <c r="E105" s="834">
        <v>0.2</v>
      </c>
      <c r="F105" s="821">
        <v>30</v>
      </c>
    </row>
    <row r="106" spans="1:6" s="817" customFormat="1" ht="36">
      <c r="A106" s="821">
        <v>46</v>
      </c>
      <c r="B106" s="3411"/>
      <c r="C106" s="821" t="s">
        <v>711</v>
      </c>
      <c r="D106" s="757" t="s">
        <v>712</v>
      </c>
      <c r="E106" s="834">
        <v>0.2</v>
      </c>
      <c r="F106" s="821">
        <v>30</v>
      </c>
    </row>
    <row r="107" spans="1:6" s="817" customFormat="1" ht="36">
      <c r="A107" s="821">
        <v>47</v>
      </c>
      <c r="B107" s="3411" t="s">
        <v>713</v>
      </c>
      <c r="C107" s="821" t="s">
        <v>714</v>
      </c>
      <c r="D107" s="757" t="s">
        <v>715</v>
      </c>
      <c r="E107" s="834">
        <v>0.3</v>
      </c>
      <c r="F107" s="821">
        <v>50</v>
      </c>
    </row>
    <row r="108" spans="1:6" s="817" customFormat="1" ht="36">
      <c r="A108" s="821">
        <v>48</v>
      </c>
      <c r="B108" s="341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1" t="s">
        <v>724</v>
      </c>
      <c r="C111" s="821" t="s">
        <v>725</v>
      </c>
      <c r="D111" s="757" t="s">
        <v>726</v>
      </c>
      <c r="E111" s="834">
        <v>0.2</v>
      </c>
      <c r="F111" s="821">
        <v>30</v>
      </c>
    </row>
    <row r="112" spans="1:6" s="817" customFormat="1" ht="24">
      <c r="A112" s="821">
        <v>52</v>
      </c>
      <c r="B112" s="3411"/>
      <c r="C112" s="821" t="s">
        <v>727</v>
      </c>
      <c r="D112" s="757" t="s">
        <v>728</v>
      </c>
      <c r="E112" s="834">
        <v>0.2</v>
      </c>
      <c r="F112" s="821">
        <v>30</v>
      </c>
    </row>
    <row r="113" spans="1:6" s="817" customFormat="1" ht="24">
      <c r="A113" s="821">
        <v>53</v>
      </c>
      <c r="B113" s="341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1" t="s">
        <v>737</v>
      </c>
      <c r="C116" s="821" t="s">
        <v>738</v>
      </c>
      <c r="D116" s="757" t="s">
        <v>739</v>
      </c>
      <c r="E116" s="834">
        <v>0.2</v>
      </c>
      <c r="F116" s="821">
        <v>30</v>
      </c>
    </row>
    <row r="117" spans="1:6" ht="36">
      <c r="A117" s="821">
        <v>57</v>
      </c>
      <c r="B117" s="341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2818</v>
      </c>
      <c r="B1" s="2364"/>
      <c r="C1" s="2364"/>
      <c r="D1" s="2364"/>
      <c r="E1" s="2364"/>
      <c r="F1" s="3025"/>
      <c r="G1" s="3025"/>
      <c r="H1" s="3025"/>
      <c r="I1" s="3025"/>
      <c r="J1" s="3025"/>
      <c r="K1" s="3025"/>
      <c r="L1" s="3025"/>
      <c r="M1" s="3025"/>
      <c r="N1" s="3025"/>
      <c r="O1" s="3025"/>
      <c r="P1" s="3025"/>
    </row>
    <row r="2" spans="1:16" ht="15.75">
      <c r="A2" s="2362" t="s">
        <v>2810</v>
      </c>
      <c r="B2" s="2829" t="e">
        <f ca="1">SUMIF(B6:B13,"&lt;&gt;#ref!",B6:B13)</f>
        <v>#DIV/0!</v>
      </c>
      <c r="C2" s="2362" t="s">
        <v>2811</v>
      </c>
      <c r="D2" s="2362" t="s">
        <v>2812</v>
      </c>
      <c r="E2" s="2839">
        <f ca="1">SUMIF(E6:E13,"&lt;&gt;#ref!",E6:E13)</f>
        <v>0</v>
      </c>
      <c r="F2" s="3025"/>
      <c r="G2" s="3025"/>
      <c r="H2" s="3025"/>
      <c r="I2" s="3025"/>
      <c r="J2" s="3025"/>
      <c r="K2" s="3025"/>
      <c r="L2" s="3025"/>
      <c r="M2" s="3025"/>
      <c r="N2" s="3025"/>
      <c r="O2" s="3025"/>
      <c r="P2" s="3025"/>
    </row>
    <row r="3" spans="1:16" ht="15.75">
      <c r="A3" s="2362" t="s">
        <v>2813</v>
      </c>
      <c r="B3" s="2829" t="e">
        <f ca="1">ROUND(B2*10000/E2,0)</f>
        <v>#DIV/0!</v>
      </c>
      <c r="C3" s="2362" t="s">
        <v>2819</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2814</v>
      </c>
      <c r="B5" s="2837" t="s">
        <v>2815</v>
      </c>
      <c r="C5" s="2363"/>
      <c r="D5" s="3025"/>
      <c r="E5" s="2838" t="s">
        <v>2816</v>
      </c>
      <c r="F5" s="3025"/>
      <c r="G5" s="3025"/>
      <c r="H5" s="3025"/>
      <c r="I5" s="3025"/>
      <c r="J5" s="3025"/>
      <c r="K5" s="3025"/>
      <c r="L5" s="3025"/>
      <c r="M5" s="3025"/>
      <c r="N5" s="3025"/>
      <c r="O5" s="3025"/>
      <c r="P5" s="3025"/>
    </row>
    <row r="6" spans="1:16" ht="15.75">
      <c r="A6" s="2836" t="s">
        <v>2817</v>
      </c>
      <c r="B6" s="2829" t="e">
        <f ca="1">SUMIF(INDIRECT("'"&amp;A6&amp;"'"&amp;"!A:A"),"总价",INDIRECT("'"&amp;A6&amp;"'"&amp;"!B:B"))</f>
        <v>#DIV/0!</v>
      </c>
      <c r="C6" s="2362" t="s">
        <v>2811</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2811</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2811</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2811</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2811</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2811</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2811</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2811</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2"/>
      <c r="C2" s="3092"/>
      <c r="D2" s="3092"/>
      <c r="E2" s="3092"/>
    </row>
    <row r="3" spans="1:5" ht="18">
      <c r="A3" s="3093" t="str">
        <f>IF(项目基本情况!B9="房地产市场价值","估价结果一览表（市场价值不需“结果表-1”）","估价结果一览表")</f>
        <v>估价结果一览表</v>
      </c>
      <c r="B3" s="3093"/>
      <c r="C3" s="3093"/>
      <c r="D3" s="3093"/>
      <c r="E3" s="3093"/>
    </row>
    <row r="4" spans="1:5" ht="19.5" thickBot="1">
      <c r="A4" s="1680"/>
      <c r="B4" s="3091" t="s">
        <v>1595</v>
      </c>
      <c r="C4" s="3091"/>
      <c r="D4" s="3091"/>
      <c r="E4" s="1680"/>
    </row>
    <row r="5" spans="1:5" ht="16.5" thickTop="1">
      <c r="A5" s="1678"/>
      <c r="B5" s="3089" t="s">
        <v>1587</v>
      </c>
      <c r="C5" s="1681" t="s">
        <v>1588</v>
      </c>
      <c r="D5" s="959">
        <f ca="1">结果表!H101</f>
        <v>139851</v>
      </c>
      <c r="E5" s="1678"/>
    </row>
    <row r="6" spans="1:5" ht="15.75">
      <c r="A6" s="1678"/>
      <c r="B6" s="3089"/>
      <c r="C6" s="1681" t="s">
        <v>1589</v>
      </c>
      <c r="D6" s="959" t="str">
        <f ca="1">NUMBERSTRING(INT(D5*10000),2)&amp;"元整"</f>
        <v>壹拾叁亿玖仟捌佰伍拾壹万元整</v>
      </c>
      <c r="E6" s="1678"/>
    </row>
    <row r="7" spans="1:5" ht="15.75">
      <c r="A7" s="1678"/>
      <c r="B7" s="3094"/>
      <c r="C7" s="1682" t="s">
        <v>1590</v>
      </c>
      <c r="D7" s="960">
        <f ca="1">结果表!H102</f>
        <v>12980</v>
      </c>
      <c r="E7" s="1678"/>
    </row>
    <row r="8" spans="1:5" ht="15.75">
      <c r="A8" s="1678"/>
      <c r="B8" s="3095" t="str">
        <f>结果表!E103</f>
        <v>2.估价师知悉的法定优先受偿款</v>
      </c>
      <c r="C8" s="1683" t="s">
        <v>1591</v>
      </c>
      <c r="D8" s="960">
        <f>结果表!H103</f>
        <v>0</v>
      </c>
      <c r="E8" s="1678"/>
    </row>
    <row r="9" spans="1:5" ht="15.75">
      <c r="A9" s="1678"/>
      <c r="B9" s="3097"/>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88" t="str">
        <f>结果表!E107</f>
        <v>3.房地产抵押价值</v>
      </c>
      <c r="C13" s="1686" t="s">
        <v>1588</v>
      </c>
      <c r="D13" s="962">
        <f ca="1">结果表!H107</f>
        <v>139851</v>
      </c>
      <c r="E13" s="1678"/>
    </row>
    <row r="14" spans="1:5" ht="15.75">
      <c r="A14" s="1678"/>
      <c r="B14" s="3089"/>
      <c r="C14" s="1681" t="s">
        <v>1589</v>
      </c>
      <c r="D14" s="959" t="str">
        <f ca="1">NUMBERSTRING(INT(D13*10000),2)&amp;"元整"</f>
        <v>壹拾叁亿玖仟捌佰伍拾壹万元整</v>
      </c>
      <c r="E14" s="1678"/>
    </row>
    <row r="15" spans="1:5" ht="15">
      <c r="A15" s="1678"/>
      <c r="B15" s="3094"/>
      <c r="C15" s="1682" t="s">
        <v>1599</v>
      </c>
      <c r="D15" s="968">
        <f ca="1">结果表!H108</f>
        <v>12980</v>
      </c>
      <c r="E15" s="1678"/>
    </row>
    <row r="16" spans="1:5" ht="15">
      <c r="A16" s="1678"/>
      <c r="B16" s="3095" t="str">
        <f>结果表!E109</f>
        <v>——</v>
      </c>
      <c r="C16" s="1686" t="s">
        <v>1600</v>
      </c>
      <c r="D16" s="1687" t="str">
        <f>结果表!H109</f>
        <v>——</v>
      </c>
      <c r="E16" s="1678"/>
    </row>
    <row r="17" spans="1:5" ht="15.75">
      <c r="A17" s="1678"/>
      <c r="B17" s="3096"/>
      <c r="C17" s="1681" t="s">
        <v>1601</v>
      </c>
      <c r="D17" s="959" t="e">
        <f>NUMBERSTRING(INT(D16*10000),2)&amp;"元整"</f>
        <v>#VALUE!</v>
      </c>
      <c r="E17" s="1678"/>
    </row>
    <row r="18" spans="1:5" ht="15">
      <c r="A18" s="1678"/>
      <c r="B18" s="3097"/>
      <c r="C18" s="1682" t="s">
        <v>1590</v>
      </c>
      <c r="D18" s="968" t="str">
        <f>结果表!H110</f>
        <v>——</v>
      </c>
      <c r="E18" s="1678"/>
    </row>
    <row r="19" spans="1:5" ht="15.75">
      <c r="A19" s="1678"/>
      <c r="B19" s="3088" t="str">
        <f>结果表!E111</f>
        <v>——</v>
      </c>
      <c r="C19" s="1686" t="s">
        <v>1588</v>
      </c>
      <c r="D19" s="960" t="str">
        <f>结果表!H111</f>
        <v>——</v>
      </c>
      <c r="E19" s="1678"/>
    </row>
    <row r="20" spans="1:5" ht="15.75">
      <c r="A20" s="1678"/>
      <c r="B20" s="3089"/>
      <c r="C20" s="1681" t="s">
        <v>1601</v>
      </c>
      <c r="D20" s="959" t="e">
        <f>NUMBERSTRING(INT(D19*10000),2)&amp;"元整"</f>
        <v>#VALUE!</v>
      </c>
      <c r="E20" s="1678"/>
    </row>
    <row r="21" spans="1:5" ht="15.75" thickBot="1">
      <c r="A21" s="1678"/>
      <c r="B21" s="3090"/>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5"/>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17" t="s">
        <v>1117</v>
      </c>
      <c r="C1" s="3417"/>
      <c r="D1" s="3417"/>
      <c r="E1" s="3417"/>
      <c r="F1" s="3417"/>
      <c r="G1" s="3416" t="s">
        <v>1118</v>
      </c>
      <c r="H1" s="3416"/>
      <c r="I1" s="3416"/>
      <c r="J1" s="3416"/>
      <c r="K1" s="3416"/>
      <c r="L1" s="3416"/>
      <c r="N1" s="3416" t="s">
        <v>1119</v>
      </c>
      <c r="O1" s="3416"/>
      <c r="P1" s="3416"/>
      <c r="Q1" s="3416"/>
      <c r="S1" s="3416" t="s">
        <v>1120</v>
      </c>
      <c r="T1" s="3416"/>
      <c r="U1" s="3416"/>
      <c r="V1" s="3416"/>
      <c r="X1" s="3415" t="s">
        <v>1121</v>
      </c>
      <c r="Y1" s="3416"/>
      <c r="Z1" s="3416"/>
      <c r="AA1" s="3416"/>
      <c r="AB1" s="3416"/>
      <c r="AD1" s="3415" t="s">
        <v>1122</v>
      </c>
      <c r="AE1" s="3416"/>
      <c r="AF1" s="3416"/>
      <c r="AG1" s="3416"/>
      <c r="AH1" s="3416"/>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2851</v>
      </c>
      <c r="B3" s="2396"/>
      <c r="C3" s="2396"/>
      <c r="D3" s="2397"/>
      <c r="E3" s="2397"/>
      <c r="F3" s="2396"/>
      <c r="G3" s="2398"/>
      <c r="H3" s="2399"/>
      <c r="I3" s="2400">
        <f>ROUND(AVERAGE($I4:$I32),2)</f>
        <v>1.73</v>
      </c>
      <c r="J3" s="2400">
        <f>ROUND(AVERAGE($J4:$J32),2)</f>
        <v>1.1599999999999999</v>
      </c>
      <c r="K3" s="2400">
        <f>ROUND(AVERAGE($K4:$K32),2)</f>
        <v>1.9</v>
      </c>
      <c r="L3" s="2400">
        <f>ROUND(AVERAGE($L4:$L32),2)</f>
        <v>1.23</v>
      </c>
      <c r="N3" s="2398"/>
      <c r="S3" s="2398"/>
      <c r="W3" s="2402"/>
      <c r="X3" s="2403">
        <f>ROUND(SUMPRODUCT(PRODUCT(1+N3:N$31)),4)</f>
        <v>1.5652999999999999</v>
      </c>
      <c r="Y3" s="2403">
        <f>ROUND(SUMPRODUCT(PRODUCT(1+O3:O$31)),4)</f>
        <v>1.3472</v>
      </c>
      <c r="Z3" s="2403">
        <f t="shared" ref="Z3:Z29" si="0">Y3</f>
        <v>1.3472</v>
      </c>
      <c r="AA3" s="2403">
        <f>ROUND(SUMPRODUCT(PRODUCT(1+P3:P$31)),4)</f>
        <v>1.6335999999999999</v>
      </c>
      <c r="AB3" s="2403">
        <f>ROUND(SUMPRODUCT(PRODUCT(1+Q3:Q$31)),4)</f>
        <v>1.3880999999999999</v>
      </c>
      <c r="AD3" s="2404">
        <f>ROUND(AVERAGE(I3:I$32)/100,4)</f>
        <v>1.7299999999999999E-2</v>
      </c>
      <c r="AE3" s="2404">
        <f>ROUND(AVERAGE(J3:J$32)/100,4)</f>
        <v>1.1599999999999999E-2</v>
      </c>
      <c r="AF3" s="2404">
        <f t="shared" ref="AF3:AF30" si="1">AE3</f>
        <v>1.1599999999999999E-2</v>
      </c>
      <c r="AG3" s="2404">
        <f>ROUND(AVERAGE(K3:K$32)/100,4)</f>
        <v>1.9E-2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3056</v>
      </c>
      <c r="B5" s="2414">
        <f t="shared" ref="B5" si="2">B6*(1+N5)</f>
        <v>481.4103506697644</v>
      </c>
      <c r="C5" s="2414">
        <f t="shared" ref="C5" si="3">C6*(1+O5)</f>
        <v>347.29066026648707</v>
      </c>
      <c r="D5" s="2414">
        <f t="shared" ref="D5" si="4">C5</f>
        <v>347.29066026648707</v>
      </c>
      <c r="E5" s="2414">
        <f t="shared" ref="E5" si="5">E6*(1+P5)</f>
        <v>690.85977273901995</v>
      </c>
      <c r="F5" s="2414">
        <f t="shared" ref="F5" si="6">F6*(1+Q5)</f>
        <v>319.13136737000184</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2852</v>
      </c>
      <c r="X5" s="2422">
        <f>ROUND(IF(项目基本情况!B6="出让",SUMPRODUCT(PRODUCT(1+N5:N$32)),SUMPRODUCT(PRODUCT(1+N5:N$31))),4)</f>
        <v>1.5652999999999999</v>
      </c>
      <c r="Y5" s="2422">
        <f>ROUND(IF(项目基本情况!B6="出让",SUMPRODUCT(PRODUCT(1+O5:O$32)),SUMPRODUCT(PRODUCT(1+O5:O$31))),4)</f>
        <v>1.3472</v>
      </c>
      <c r="Z5" s="2422">
        <f t="shared" ref="Z5" si="11">Y5</f>
        <v>1.3472</v>
      </c>
      <c r="AA5" s="2422">
        <f>ROUND(IF(项目基本情况!B6="出让",SUMPRODUCT(PRODUCT(1+P5:P$32)),SUMPRODUCT(PRODUCT(1+P5:P$31))),4)</f>
        <v>1.6335999999999999</v>
      </c>
      <c r="AB5" s="2422">
        <f>ROUND(IF(项目基本情况!B6="出让",SUMPRODUCT(PRODUCT(1+Q5:Q$32)),SUMPRODUCT(PRODUCT(1+Q5:Q$31))),4)</f>
        <v>1.3880999999999999</v>
      </c>
      <c r="AD5" s="2423">
        <f>ROUND(AVERAGE(I5:I$32)/100,4)</f>
        <v>1.7299999999999999E-2</v>
      </c>
      <c r="AE5" s="2423">
        <f>ROUND(AVERAGE(J5:J$32)/100,4)</f>
        <v>1.1599999999999999E-2</v>
      </c>
      <c r="AF5" s="2423">
        <f t="shared" ref="AF5" si="12">AE5</f>
        <v>1.1599999999999999E-2</v>
      </c>
      <c r="AG5" s="2423">
        <f>ROUND(AVERAGE(K5:K$32)/100,4)</f>
        <v>1.9E-2</v>
      </c>
      <c r="AH5" s="2423">
        <f>ROUND(AVERAGE(L5:L$32)/100,4)</f>
        <v>1.23E-2</v>
      </c>
    </row>
    <row r="6" spans="1:34" s="2431" customFormat="1">
      <c r="A6" s="2424" t="s">
        <v>3055</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3041">
        <v>2020</v>
      </c>
      <c r="H6" s="2426">
        <v>3</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ROUND(IF(项目基本情况!B7="出让",SUMPRODUCT(PRODUCT(1+N6:N$32)),SUMPRODUCT(PRODUCT(1+N6:N$31))),4)</f>
        <v>1.5652999999999999</v>
      </c>
      <c r="Y6" s="2429">
        <f>ROUND(IF(项目基本情况!B7="出让",SUMPRODUCT(PRODUCT(1+O6:O$32)),SUMPRODUCT(PRODUCT(1+O6:O$31))),4)</f>
        <v>1.3472</v>
      </c>
      <c r="Z6" s="2429">
        <f t="shared" ref="Z6" si="22">Y6</f>
        <v>1.3472</v>
      </c>
      <c r="AA6" s="2429">
        <f>ROUND(IF(项目基本情况!B7="出让",SUMPRODUCT(PRODUCT(1+P6:P$32)),SUMPRODUCT(PRODUCT(1+P6:P$31))),4)</f>
        <v>1.6335999999999999</v>
      </c>
      <c r="AB6" s="2429">
        <f>ROUND(IF(项目基本情况!B7="出让",SUMPRODUCT(PRODUCT(1+Q6:Q$32)),SUMPRODUCT(PRODUCT(1+Q6:Q$31))),4)</f>
        <v>1.3880999999999999</v>
      </c>
      <c r="AC6" s="2429"/>
      <c r="AD6" s="2430">
        <f>ROUND(AVERAGE(I6:I$32)/100,4)</f>
        <v>1.7899999999999999E-2</v>
      </c>
      <c r="AE6" s="2430">
        <f>ROUND(AVERAGE(J6:J$32)/100,4)</f>
        <v>1.2E-2</v>
      </c>
      <c r="AF6" s="2430">
        <f t="shared" ref="AF6" si="23">AE6</f>
        <v>1.2E-2</v>
      </c>
      <c r="AG6" s="2430">
        <f>ROUND(AVERAGE(K6:K$32)/100,4)</f>
        <v>1.9699999999999999E-2</v>
      </c>
      <c r="AH6" s="2430">
        <f>ROUND(AVERAGE(L6:L$32)/100,4)</f>
        <v>1.2699999999999999E-2</v>
      </c>
    </row>
    <row r="7" spans="1:34" s="2431" customFormat="1">
      <c r="A7" s="2424" t="s">
        <v>2868</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2866</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2865</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2864</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2862</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2860</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2863</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413">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2858</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413"/>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2857</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413"/>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2850</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22"/>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2848</v>
      </c>
      <c r="B17" s="2439">
        <v>439</v>
      </c>
      <c r="C17" s="2439">
        <v>327</v>
      </c>
      <c r="D17" s="2439">
        <f>C17</f>
        <v>327</v>
      </c>
      <c r="E17" s="2439">
        <v>627</v>
      </c>
      <c r="F17" s="2440">
        <v>283</v>
      </c>
      <c r="G17" s="3418">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2849</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413"/>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413"/>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22"/>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18">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413"/>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413"/>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14"/>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412">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413"/>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413"/>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14"/>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412">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413"/>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413"/>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14"/>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19">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20"/>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20"/>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21"/>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412">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413"/>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413"/>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414"/>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412">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413">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413">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14">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412">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413">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413">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14">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412">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413">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413">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14">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412">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413">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413">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14">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412">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413">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413">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14">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412">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413">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413">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14">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412">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413">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413">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14">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412">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413">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413">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14">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412">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413">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413">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14">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412">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413">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413">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14">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26" t="s">
        <v>2821</v>
      </c>
      <c r="D1" s="3427"/>
      <c r="E1" s="3427"/>
      <c r="F1" s="3427"/>
      <c r="G1" s="3427"/>
      <c r="H1" s="3427"/>
      <c r="I1" s="3427"/>
      <c r="J1" s="3427"/>
      <c r="K1" s="3427"/>
      <c r="L1" s="3427"/>
      <c r="M1" s="3427"/>
      <c r="N1" s="3427"/>
      <c r="O1" s="3427"/>
      <c r="P1" s="3427"/>
      <c r="Q1" s="3427"/>
      <c r="R1" s="3427"/>
      <c r="S1" s="3428"/>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2824</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2825</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2830</v>
      </c>
      <c r="B17" s="2366"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2832</v>
      </c>
      <c r="E19" s="1526"/>
      <c r="F19" s="1526"/>
      <c r="G19" s="1526"/>
      <c r="H19" s="1190"/>
      <c r="I19" s="164"/>
      <c r="J19" s="164"/>
      <c r="K19" s="164"/>
      <c r="L19" s="164"/>
      <c r="M19" s="164"/>
      <c r="N19" s="164"/>
      <c r="O19" s="164"/>
      <c r="P19" s="164"/>
      <c r="Q19" s="164"/>
      <c r="R19" s="727"/>
      <c r="S19" s="134"/>
    </row>
    <row r="20" spans="1:45" ht="16.5" thickBot="1">
      <c r="A20" s="671" t="s">
        <v>2833</v>
      </c>
      <c r="B20" s="300" t="e">
        <f ca="1">IF(D20="——",S22,S22-F20)</f>
        <v>#REF!</v>
      </c>
      <c r="C20" s="164"/>
      <c r="D20" s="2368"/>
      <c r="E20" s="1527"/>
      <c r="F20" s="1114" t="e">
        <f ca="1">SUMIF(INDIRECT("'"&amp;H20&amp;"'"&amp;"!A:A"),"承租人权益价值",INDIRECT("'"&amp;H20&amp;"'"&amp;"!c:c"))</f>
        <v>#REF!</v>
      </c>
      <c r="G20" s="1114" t="s">
        <v>2834</v>
      </c>
      <c r="H20" s="2369"/>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23" t="s">
        <v>33</v>
      </c>
      <c r="D22" s="3424"/>
      <c r="E22" s="3424"/>
      <c r="F22" s="3424"/>
      <c r="G22" s="3424"/>
      <c r="H22" s="3424"/>
      <c r="I22" s="3424"/>
      <c r="J22" s="3424"/>
      <c r="K22" s="3424"/>
      <c r="L22" s="3424"/>
      <c r="M22" s="3424"/>
      <c r="N22" s="3424"/>
      <c r="O22" s="3424"/>
      <c r="P22" s="3424"/>
      <c r="Q22" s="3425"/>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59004</v>
      </c>
      <c r="C2" s="2" t="s">
        <v>133</v>
      </c>
      <c r="D2" s="205"/>
      <c r="E2" s="205"/>
      <c r="F2" s="205"/>
      <c r="G2" s="205"/>
    </row>
    <row r="3" spans="1:7" s="206" customFormat="1" ht="18" customHeight="1" thickBot="1">
      <c r="A3" s="209" t="s">
        <v>85</v>
      </c>
      <c r="B3" s="210">
        <f ca="1">ROUND(B2*10000/'数据-汇总表'!E3,0)</f>
        <v>5476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1463</v>
      </c>
      <c r="D9" s="954">
        <f>'数据-汇总表'!E5</f>
        <v>50455.470000000008</v>
      </c>
      <c r="E9" s="231">
        <f>'数据-取费表'!B27</f>
        <v>290</v>
      </c>
      <c r="F9" s="227"/>
      <c r="G9" s="232"/>
    </row>
    <row r="10" spans="1:7" s="220" customFormat="1" ht="13.5" customHeight="1">
      <c r="A10" s="887" t="s">
        <v>801</v>
      </c>
      <c r="B10" s="230" t="s">
        <v>94</v>
      </c>
      <c r="C10" s="231">
        <f>ROUND(D10*E10/10000,0)</f>
        <v>1833</v>
      </c>
      <c r="D10" s="954">
        <f>'数据-汇总表'!E6</f>
        <v>57291.54</v>
      </c>
      <c r="E10" s="231">
        <f>'数据-取费表'!B28</f>
        <v>320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2155</v>
      </c>
      <c r="D19" s="958">
        <f>'数据-汇总表'!E3</f>
        <v>107747.01000000001</v>
      </c>
      <c r="E19" s="217">
        <f>'数据-取费表'!B31</f>
        <v>200</v>
      </c>
      <c r="F19" s="237"/>
      <c r="G19" s="1" t="s">
        <v>1042</v>
      </c>
    </row>
    <row r="20" spans="1:7" s="220" customFormat="1" ht="13.5" customHeight="1">
      <c r="A20" s="885" t="s">
        <v>1025</v>
      </c>
      <c r="B20" s="216" t="s">
        <v>104</v>
      </c>
      <c r="C20" s="238">
        <f>ROUND((C5+C19)*F20,0)</f>
        <v>683</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1665</v>
      </c>
      <c r="D22" s="241">
        <f ca="1">C26</f>
        <v>1.1000000000000001E-3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155</v>
      </c>
      <c r="D24" s="244"/>
      <c r="E24" s="244"/>
      <c r="F24" s="245"/>
      <c r="G24" s="246" t="s">
        <v>109</v>
      </c>
    </row>
    <row r="25" spans="1:7" s="220" customFormat="1" ht="24">
      <c r="A25" s="888" t="s">
        <v>793</v>
      </c>
      <c r="B25" s="221" t="s">
        <v>1026</v>
      </c>
      <c r="C25" s="1265">
        <f ca="1">ROUND(IF('数据-取费表'!B22&lt;=1,C20*F22*'数据-取费表'!B23/2,C20*(POWER((1+F22),'数据-取费表'!B23/2)-1)),0)</f>
        <v>24</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1759</v>
      </c>
      <c r="D27" s="241">
        <f>C29</f>
        <v>2.3E-3</v>
      </c>
      <c r="E27" s="242" t="s">
        <v>126</v>
      </c>
      <c r="F27" s="252">
        <f>'数据-取费表'!Q16</f>
        <v>0.1</v>
      </c>
      <c r="G27" s="253" t="s">
        <v>1037</v>
      </c>
    </row>
    <row r="28" spans="1:7" s="220" customFormat="1" ht="13.5" customHeight="1">
      <c r="A28" s="888" t="s">
        <v>794</v>
      </c>
      <c r="B28" s="254" t="s">
        <v>1030</v>
      </c>
      <c r="C28" s="255">
        <f>ROUND((C5+C19+C20)*F27*'数据-取费表'!B21/'数据-取费表'!B20,0)</f>
        <v>1759</v>
      </c>
      <c r="D28" s="241"/>
      <c r="E28" s="242"/>
      <c r="F28" s="252"/>
      <c r="G28" s="253"/>
    </row>
    <row r="29" spans="1:7" s="220" customFormat="1" ht="13.5" customHeight="1">
      <c r="A29" s="888" t="s">
        <v>792</v>
      </c>
      <c r="B29" s="254" t="s">
        <v>1031</v>
      </c>
      <c r="C29" s="244">
        <f>ROUND(C21*F27*'数据-取费表'!B21/'数据-取费表'!B20,4)</f>
        <v>2.3E-3</v>
      </c>
      <c r="D29" s="241"/>
      <c r="E29" s="242"/>
      <c r="F29" s="252"/>
      <c r="G29" s="253"/>
    </row>
    <row r="30" spans="1:7" s="220" customFormat="1" ht="13.5" customHeight="1">
      <c r="A30" s="885" t="s">
        <v>788</v>
      </c>
      <c r="B30" s="216" t="s">
        <v>58</v>
      </c>
      <c r="C30" s="241">
        <f>F30</f>
        <v>5.6500000000000002E-2</v>
      </c>
      <c r="D30" s="242" t="s">
        <v>127</v>
      </c>
      <c r="E30" s="247"/>
      <c r="F30" s="243">
        <f>'数据-取费表'!B41</f>
        <v>5.6500000000000002E-2</v>
      </c>
      <c r="G30" s="240" t="s">
        <v>113</v>
      </c>
    </row>
    <row r="31" spans="1:7" ht="16.5" customHeight="1">
      <c r="A31" s="215">
        <v>1</v>
      </c>
      <c r="B31" s="216" t="s">
        <v>128</v>
      </c>
      <c r="C31" s="217">
        <f ca="1">ROUND((C5+C19+C20+C22+C27)/(1-C21-D22-D27-C30/(1+'数据-取费表'!B42)),0)</f>
        <v>29439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23057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19440</v>
      </c>
      <c r="D34" s="223"/>
      <c r="E34" s="226"/>
      <c r="F34" s="263">
        <f>IF('数据-取费表'!B24=0,1,'数据-取费表'!N16)</f>
        <v>0.745</v>
      </c>
      <c r="G34" s="225" t="s">
        <v>116</v>
      </c>
    </row>
    <row r="35" spans="1:7" ht="13.5" customHeight="1">
      <c r="A35" s="888" t="s">
        <v>796</v>
      </c>
      <c r="B35" s="221" t="s">
        <v>60</v>
      </c>
      <c r="C35" s="226">
        <f>ROUND(C34*F35,0)</f>
        <v>972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748</v>
      </c>
      <c r="D36" s="226"/>
      <c r="E36" s="226"/>
      <c r="F36" s="265">
        <f>'数据-取费表'!B34</f>
        <v>0.08</v>
      </c>
      <c r="G36" s="266" t="s">
        <v>62</v>
      </c>
    </row>
    <row r="37" spans="1:7" s="264" customFormat="1" ht="13.5" customHeight="1">
      <c r="A37" s="888" t="s">
        <v>798</v>
      </c>
      <c r="B37" s="221" t="s">
        <v>118</v>
      </c>
      <c r="C37" s="255">
        <f>ROUND(E37*D37*F34/10000,0)</f>
        <v>1605</v>
      </c>
      <c r="D37" s="223">
        <f>'数据-汇总表'!E3</f>
        <v>107747.01000000001</v>
      </c>
      <c r="E37" s="255">
        <f>'数据-取费表'!B35</f>
        <v>200</v>
      </c>
      <c r="F37" s="265"/>
      <c r="G37" s="267" t="s">
        <v>119</v>
      </c>
    </row>
    <row r="38" spans="1:7" ht="13.5" customHeight="1">
      <c r="A38" s="888" t="s">
        <v>799</v>
      </c>
      <c r="B38" s="221" t="s">
        <v>63</v>
      </c>
      <c r="C38" s="226">
        <f>ROUND(C34*F38,0)</f>
        <v>292</v>
      </c>
      <c r="D38" s="226"/>
      <c r="E38" s="226"/>
      <c r="F38" s="265">
        <f>'数据-取费表'!B36</f>
        <v>1.4999999999999999E-2</v>
      </c>
      <c r="G38" s="225" t="s">
        <v>117</v>
      </c>
    </row>
    <row r="39" spans="1:7" s="220" customFormat="1" ht="13.5" customHeight="1">
      <c r="A39" s="885" t="s">
        <v>783</v>
      </c>
      <c r="B39" s="216" t="s">
        <v>104</v>
      </c>
      <c r="C39" s="238">
        <f>ROUND(C33*F20,0)</f>
        <v>692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842</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817</v>
      </c>
      <c r="D42" s="244"/>
      <c r="E42" s="244"/>
      <c r="F42" s="245"/>
      <c r="G42" s="3283" t="s">
        <v>121</v>
      </c>
    </row>
    <row r="43" spans="1:7" ht="13.5" customHeight="1">
      <c r="A43" s="888" t="s">
        <v>792</v>
      </c>
      <c r="B43" s="221" t="s">
        <v>1032</v>
      </c>
      <c r="C43" s="244">
        <f ca="1">ROUND(IF('数据-取费表'!B22&lt;=1,C39*F22*'数据-取费表'!B21/2,C39*(POWER((1+F22),'数据-取费表'!B21/2)-1)),0)</f>
        <v>25</v>
      </c>
      <c r="D43" s="244"/>
      <c r="E43" s="244"/>
      <c r="F43" s="245"/>
      <c r="G43" s="3284"/>
    </row>
    <row r="44" spans="1:7" ht="13.5" customHeight="1">
      <c r="A44" s="888" t="s">
        <v>793</v>
      </c>
      <c r="B44" s="221" t="s">
        <v>1034</v>
      </c>
      <c r="C44" s="244">
        <f ca="1">ROUND(IF('数据-取费表'!B22&lt;=1,C40*F22*'数据-取费表'!B21/2,C40*(POWER((1+F22),'数据-取费表'!B21/2)-1)),4)</f>
        <v>1.1000000000000001E-3</v>
      </c>
      <c r="D44" s="244"/>
      <c r="E44" s="244"/>
      <c r="F44" s="245"/>
      <c r="G44" s="3285"/>
    </row>
    <row r="45" spans="1:7" s="220" customFormat="1" ht="13.5" customHeight="1">
      <c r="A45" s="885" t="s">
        <v>786</v>
      </c>
      <c r="B45" s="250" t="s">
        <v>112</v>
      </c>
      <c r="C45" s="251">
        <f>C46</f>
        <v>2375</v>
      </c>
      <c r="D45" s="241">
        <f>C47</f>
        <v>3.0000000000000001E-3</v>
      </c>
      <c r="E45" s="242" t="s">
        <v>129</v>
      </c>
      <c r="F45" s="252"/>
      <c r="G45" s="253" t="s">
        <v>1040</v>
      </c>
    </row>
    <row r="46" spans="1:7" s="220" customFormat="1" ht="13.5" customHeight="1">
      <c r="A46" s="888" t="s">
        <v>794</v>
      </c>
      <c r="B46" s="254" t="s">
        <v>1033</v>
      </c>
      <c r="C46" s="255">
        <f>ROUND((C33+C39)*F27,0)</f>
        <v>2375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5.6500000000000002E-2</v>
      </c>
      <c r="D48" s="242" t="s">
        <v>130</v>
      </c>
      <c r="E48" s="238"/>
      <c r="F48" s="243"/>
      <c r="G48" s="240" t="s">
        <v>123</v>
      </c>
    </row>
    <row r="49" spans="1:7" ht="16.5" customHeight="1">
      <c r="A49" s="885" t="s">
        <v>788</v>
      </c>
      <c r="B49" s="216" t="s">
        <v>131</v>
      </c>
      <c r="C49" s="238">
        <f ca="1">ROUND((C33+C39+C41+C45)/(1-C40-D41-D45-C48/(1+'数据-取费表'!B42)),0)</f>
        <v>29565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29565</v>
      </c>
      <c r="D51" s="238"/>
      <c r="E51" s="238"/>
      <c r="F51" s="270"/>
      <c r="G51" s="240" t="s">
        <v>64</v>
      </c>
    </row>
    <row r="52" spans="1:7" s="214" customFormat="1" ht="16.5" thickBot="1">
      <c r="A52" s="271" t="s">
        <v>65</v>
      </c>
      <c r="B52" s="272"/>
      <c r="C52" s="273">
        <f ca="1">C31+C51</f>
        <v>59004</v>
      </c>
      <c r="D52" s="272"/>
      <c r="E52" s="272"/>
      <c r="F52" s="272"/>
      <c r="G52" s="274"/>
    </row>
    <row r="55" spans="1:7" ht="15">
      <c r="B55" s="276" t="s">
        <v>66</v>
      </c>
      <c r="C55" s="277"/>
    </row>
    <row r="56" spans="1:7">
      <c r="B56" s="279" t="s">
        <v>67</v>
      </c>
      <c r="C56" s="280">
        <f ca="1">ROUND(C51/C52,3)</f>
        <v>0.501</v>
      </c>
    </row>
    <row r="57" spans="1:7">
      <c r="B57" s="279" t="s">
        <v>68</v>
      </c>
      <c r="C57" s="281">
        <f ca="1">1-C56</f>
        <v>0.499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9" t="s">
        <v>156</v>
      </c>
      <c r="B1" s="3429"/>
      <c r="C1" s="3429"/>
      <c r="D1" s="3429"/>
      <c r="E1" s="3429"/>
      <c r="F1" s="342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0" t="s">
        <v>169</v>
      </c>
      <c r="B2" s="3430"/>
      <c r="C2" s="3430"/>
      <c r="D2" s="3430"/>
      <c r="E2" s="3430"/>
      <c r="F2" s="343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9" t="s">
        <v>839</v>
      </c>
      <c r="B1" s="342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44134</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7" t="str">
        <f>IF(项目基本情况!B9="房地产市场价值","估价结果一览表","结果表-2")</f>
        <v>结果表-2</v>
      </c>
      <c r="B1" s="3107"/>
      <c r="C1" s="3107"/>
      <c r="D1" s="3107"/>
      <c r="E1" s="3107"/>
      <c r="F1" s="3107"/>
      <c r="G1" s="3107"/>
      <c r="H1" s="3107"/>
      <c r="I1" s="3107"/>
    </row>
    <row r="2" spans="1:9" ht="30" customHeight="1" thickTop="1">
      <c r="A2" s="3108" t="s">
        <v>1606</v>
      </c>
      <c r="B2" s="3108" t="s">
        <v>1607</v>
      </c>
      <c r="C2" s="3108" t="s">
        <v>1608</v>
      </c>
      <c r="D2" s="3108" t="str">
        <f>结果表!D116</f>
        <v>出让国有建设用地使用权价值</v>
      </c>
      <c r="E2" s="3108"/>
      <c r="F2" s="3108" t="str">
        <f>结果表!F116</f>
        <v>在建建筑物价值</v>
      </c>
      <c r="G2" s="3108"/>
      <c r="H2" s="3108" t="str">
        <f>IF(项目基本情况!B9="房地产市场价值","房地产市场价值","房地产价值")</f>
        <v>房地产价值</v>
      </c>
      <c r="I2" s="3108"/>
    </row>
    <row r="3" spans="1:9" ht="15">
      <c r="A3" s="3102"/>
      <c r="B3" s="3102"/>
      <c r="C3" s="3102"/>
      <c r="D3" s="963" t="s">
        <v>1603</v>
      </c>
      <c r="E3" s="963" t="s">
        <v>1609</v>
      </c>
      <c r="F3" s="963" t="s">
        <v>1603</v>
      </c>
      <c r="G3" s="963" t="s">
        <v>1604</v>
      </c>
      <c r="H3" s="963" t="s">
        <v>1603</v>
      </c>
      <c r="I3" s="963" t="s">
        <v>1604</v>
      </c>
    </row>
    <row r="4" spans="1:9" ht="15">
      <c r="A4" s="1692" t="str">
        <f>项目基本情况!S2</f>
        <v>房地产</v>
      </c>
      <c r="B4" s="963">
        <f>项目基本情况!C17</f>
        <v>107747.01000000001</v>
      </c>
      <c r="C4" s="963">
        <f>项目基本情况!C18</f>
        <v>33243.519999999997</v>
      </c>
      <c r="D4" s="963">
        <f ca="1">结果表!D118</f>
        <v>112300</v>
      </c>
      <c r="E4" s="963">
        <f ca="1">结果表!E118</f>
        <v>10423</v>
      </c>
      <c r="F4" s="963">
        <f ca="1">结果表!F118</f>
        <v>27551</v>
      </c>
      <c r="G4" s="963">
        <f ca="1">结果表!G118</f>
        <v>2557</v>
      </c>
      <c r="H4" s="963">
        <f ca="1">结果表!H118</f>
        <v>139851</v>
      </c>
      <c r="I4" s="963">
        <f ca="1">结果表!I118</f>
        <v>12980</v>
      </c>
    </row>
    <row r="5" spans="1:9" ht="30" customHeight="1">
      <c r="A5" s="3102" t="s">
        <v>1605</v>
      </c>
      <c r="B5" s="3102"/>
      <c r="C5" s="3102"/>
      <c r="D5" s="3103" t="str">
        <f ca="1">结果表!D119</f>
        <v>壹拾壹亿贰仟叁佰万元整</v>
      </c>
      <c r="E5" s="3103"/>
      <c r="F5" s="3103" t="str">
        <f ca="1">结果表!F119</f>
        <v>贰亿柒仟伍佰伍拾壹万元整</v>
      </c>
      <c r="G5" s="3103"/>
      <c r="H5" s="3103" t="str">
        <f ca="1">结果表!H119</f>
        <v>壹拾叁亿玖仟捌佰伍拾壹万元整</v>
      </c>
      <c r="I5" s="3103"/>
    </row>
    <row r="6" spans="1:9" ht="15.75">
      <c r="A6" s="3101" t="str">
        <f>结果表!A120</f>
        <v>估价师知悉的法定优先受偿款</v>
      </c>
      <c r="B6" s="3101"/>
      <c r="C6" s="3101"/>
      <c r="D6" s="3101">
        <f>结果表!D120</f>
        <v>0</v>
      </c>
      <c r="E6" s="3101"/>
      <c r="F6" s="3101"/>
      <c r="G6" s="3101"/>
      <c r="H6" s="3101"/>
      <c r="I6" s="3101"/>
    </row>
    <row r="7" spans="1:9" ht="15">
      <c r="A7" s="3102" t="s">
        <v>1605</v>
      </c>
      <c r="B7" s="3102"/>
      <c r="C7" s="3102"/>
      <c r="D7" s="3104" t="str">
        <f>结果表!D121</f>
        <v>零元整</v>
      </c>
      <c r="E7" s="3105"/>
      <c r="F7" s="3105"/>
      <c r="G7" s="3105"/>
      <c r="H7" s="3105"/>
      <c r="I7" s="3106"/>
    </row>
    <row r="8" spans="1:9" ht="15.75">
      <c r="A8" s="3101" t="str">
        <f>结果表!A122</f>
        <v>房地产抵押价值</v>
      </c>
      <c r="B8" s="3101"/>
      <c r="C8" s="3101"/>
      <c r="D8" s="3101">
        <f ca="1">结果表!D122</f>
        <v>139851</v>
      </c>
      <c r="E8" s="3101"/>
      <c r="F8" s="3101"/>
      <c r="G8" s="3101"/>
      <c r="H8" s="3101"/>
      <c r="I8" s="3101"/>
    </row>
    <row r="9" spans="1:9" ht="15">
      <c r="A9" s="3102" t="s">
        <v>1605</v>
      </c>
      <c r="B9" s="3102"/>
      <c r="C9" s="3102"/>
      <c r="D9" s="3103" t="str">
        <f ca="1">结果表!D123</f>
        <v>壹拾叁亿玖仟捌佰伍拾壹万元整</v>
      </c>
      <c r="E9" s="3103"/>
      <c r="F9" s="3103"/>
      <c r="G9" s="3103"/>
      <c r="H9" s="3103"/>
      <c r="I9" s="3103"/>
    </row>
    <row r="10" spans="1:9" ht="15.75">
      <c r="A10" s="3101" t="str">
        <f>结果表!A124</f>
        <v/>
      </c>
      <c r="B10" s="3101"/>
      <c r="C10" s="3101"/>
      <c r="D10" s="3101" t="str">
        <f>结果表!D124</f>
        <v>——</v>
      </c>
      <c r="E10" s="3101"/>
      <c r="F10" s="3101"/>
      <c r="G10" s="3101"/>
      <c r="H10" s="3101"/>
      <c r="I10" s="3101"/>
    </row>
    <row r="11" spans="1:9" ht="15">
      <c r="A11" s="3102" t="s">
        <v>1605</v>
      </c>
      <c r="B11" s="3102"/>
      <c r="C11" s="3102"/>
      <c r="D11" s="3103" t="e">
        <f>结果表!D125</f>
        <v>#VALUE!</v>
      </c>
      <c r="E11" s="3103"/>
      <c r="F11" s="3103"/>
      <c r="G11" s="3103"/>
      <c r="H11" s="3103"/>
      <c r="I11" s="3103"/>
    </row>
    <row r="12" spans="1:9" ht="15.75">
      <c r="A12" s="3101" t="str">
        <f>结果表!A126</f>
        <v/>
      </c>
      <c r="B12" s="3101"/>
      <c r="C12" s="3101"/>
      <c r="D12" s="3101" t="str">
        <f>结果表!D126</f>
        <v>——</v>
      </c>
      <c r="E12" s="3101"/>
      <c r="F12" s="3101"/>
      <c r="G12" s="3101"/>
      <c r="H12" s="3101"/>
      <c r="I12" s="3101"/>
    </row>
    <row r="13" spans="1:9" ht="15.75" thickBot="1">
      <c r="A13" s="3098" t="s">
        <v>1605</v>
      </c>
      <c r="B13" s="3098"/>
      <c r="C13" s="3098"/>
      <c r="D13" s="3099" t="e">
        <f>结果表!D127</f>
        <v>#VALUE!</v>
      </c>
      <c r="E13" s="3099"/>
      <c r="F13" s="3099"/>
      <c r="G13" s="3099"/>
      <c r="H13" s="3099"/>
      <c r="I13" s="3099"/>
    </row>
    <row r="14" spans="1:9" ht="15" thickTop="1">
      <c r="A14" s="3100" t="s">
        <v>1610</v>
      </c>
      <c r="B14" s="3100"/>
      <c r="C14" s="3100"/>
      <c r="D14" s="3100"/>
      <c r="E14" s="3100"/>
      <c r="F14" s="3100"/>
      <c r="G14" s="3100"/>
      <c r="H14" s="3100"/>
      <c r="I14" s="3100"/>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5" t="s">
        <v>1627</v>
      </c>
      <c r="B1" s="3115"/>
      <c r="C1" s="3115"/>
      <c r="D1" s="3115"/>
    </row>
    <row r="2" spans="1:4" ht="18">
      <c r="A2" s="3116" t="s">
        <v>1611</v>
      </c>
      <c r="B2" s="3116"/>
      <c r="C2" s="3116"/>
      <c r="D2" s="3116"/>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16" t="s">
        <v>1617</v>
      </c>
      <c r="B6" s="3116"/>
      <c r="C6" s="3116"/>
      <c r="D6" s="3116"/>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17" t="s">
        <v>1620</v>
      </c>
      <c r="B11" s="3109"/>
      <c r="C11" s="3109"/>
      <c r="D11" s="3109"/>
    </row>
    <row r="12" spans="1:4" ht="15.75">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09" t="str">
        <f>IF(项目基本情况!B8="抵押","4.本次评估估价师所知悉的法定优先受偿款情况说明如下：","——")</f>
        <v>4.本次评估估价师所知悉的法定优先受偿款情况说明如下：</v>
      </c>
      <c r="B14" s="3114"/>
      <c r="C14" s="3114"/>
      <c r="D14" s="3114"/>
    </row>
    <row r="15" spans="1:4" ht="42" customHeight="1">
      <c r="A15" s="31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9"/>
      <c r="C15" s="3109"/>
      <c r="D15" s="3109"/>
    </row>
    <row r="16" spans="1:4" ht="30" customHeight="1">
      <c r="A16" s="3111" t="s">
        <v>1621</v>
      </c>
      <c r="B16" s="3111"/>
      <c r="C16" s="3111"/>
      <c r="D16" s="3111"/>
    </row>
    <row r="17" spans="1:4" ht="144" customHeight="1">
      <c r="A17" s="3111" t="s">
        <v>1622</v>
      </c>
      <c r="B17" s="3111"/>
      <c r="C17" s="3111"/>
      <c r="D17" s="3111"/>
    </row>
    <row r="18" spans="1:4" ht="15.75" customHeight="1">
      <c r="A18" s="3109" t="str">
        <f>IF(项目基本情况!B8="抵押",结果表!K120,"——")</f>
        <v>故，本次评估不存在估价师知悉的法定优先受偿款</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9"/>
      <c r="C20" s="3109"/>
      <c r="D20" s="3109"/>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1623</v>
      </c>
      <c r="B22" s="3113"/>
      <c r="C22" s="3113"/>
      <c r="D22" s="3113"/>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10">
        <v>42551</v>
      </c>
      <c r="D31" s="31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23" t="s">
        <v>1634</v>
      </c>
      <c r="B15" s="3118" t="s">
        <v>136</v>
      </c>
      <c r="C15" s="3119"/>
    </row>
    <row r="16" spans="1:7" ht="13.5">
      <c r="A16" s="3124"/>
      <c r="B16" s="3118" t="s">
        <v>69</v>
      </c>
      <c r="C16" s="3119"/>
    </row>
    <row r="17" spans="1:3" ht="13.5">
      <c r="A17" s="3124"/>
      <c r="B17" s="3121" t="s">
        <v>1635</v>
      </c>
      <c r="C17" s="1719" t="s">
        <v>1634</v>
      </c>
    </row>
    <row r="18" spans="1:3" ht="13.5">
      <c r="A18" s="3124"/>
      <c r="B18" s="3121"/>
      <c r="C18" s="1719" t="s">
        <v>1636</v>
      </c>
    </row>
    <row r="19" spans="1:3" ht="13.5">
      <c r="A19" s="3124"/>
      <c r="B19" s="3121"/>
      <c r="C19" s="1719" t="s">
        <v>1637</v>
      </c>
    </row>
    <row r="20" spans="1:3" ht="13.5">
      <c r="A20" s="3125"/>
      <c r="B20" s="3120" t="s">
        <v>1638</v>
      </c>
      <c r="C20" s="3119"/>
    </row>
    <row r="21" spans="1:3" ht="13.5">
      <c r="A21" s="1720" t="s">
        <v>1639</v>
      </c>
      <c r="B21" s="1721"/>
      <c r="C21" s="1722"/>
    </row>
    <row r="22" spans="1:3" ht="13.5">
      <c r="A22" s="3122" t="s">
        <v>1640</v>
      </c>
      <c r="B22" s="3120" t="s">
        <v>1641</v>
      </c>
      <c r="C22" s="3119"/>
    </row>
    <row r="23" spans="1:3" ht="13.5">
      <c r="A23" s="3122"/>
      <c r="B23" s="3120" t="s">
        <v>1642</v>
      </c>
      <c r="C23" s="3119"/>
    </row>
    <row r="24" spans="1:3" ht="13.5">
      <c r="A24" s="3122"/>
      <c r="B24" s="3120" t="s">
        <v>1643</v>
      </c>
      <c r="C24" s="3119"/>
    </row>
    <row r="25" spans="1:3" ht="13.5">
      <c r="A25" s="3122"/>
      <c r="B25" s="3121" t="s">
        <v>1644</v>
      </c>
      <c r="C25" s="1719" t="s">
        <v>1645</v>
      </c>
    </row>
    <row r="26" spans="1:3" ht="13.5">
      <c r="A26" s="3122"/>
      <c r="B26" s="3121"/>
      <c r="C26" s="1719" t="s">
        <v>1646</v>
      </c>
    </row>
    <row r="27" spans="1:3" ht="13.5">
      <c r="A27" s="3122"/>
      <c r="B27" s="3121"/>
      <c r="C27" s="1719" t="s">
        <v>1647</v>
      </c>
    </row>
    <row r="28" spans="1:3" ht="13.5">
      <c r="A28" s="3122"/>
      <c r="B28" s="3121"/>
      <c r="C28" s="1719" t="s">
        <v>1648</v>
      </c>
    </row>
    <row r="29" spans="1:3" ht="13.5">
      <c r="A29" s="3122"/>
      <c r="B29" s="3121"/>
      <c r="C29" s="1719" t="s">
        <v>1649</v>
      </c>
    </row>
    <row r="30" spans="1:3" ht="13.5">
      <c r="A30" s="3122"/>
      <c r="B30" s="3121"/>
      <c r="C30" s="1719" t="s">
        <v>1650</v>
      </c>
    </row>
    <row r="31" spans="1:3" ht="13.5">
      <c r="A31" s="3122"/>
      <c r="B31" s="3121"/>
      <c r="C31" s="1719" t="s">
        <v>1651</v>
      </c>
    </row>
    <row r="32" spans="1:3" ht="13.5">
      <c r="A32" s="3122"/>
      <c r="B32" s="3121"/>
      <c r="C32" s="1719" t="s">
        <v>1652</v>
      </c>
    </row>
    <row r="33" spans="1:3" ht="13.5">
      <c r="A33" s="3122"/>
      <c r="B33" s="3121"/>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2877</v>
      </c>
      <c r="B2" s="2563">
        <f ca="1">TODAY()</f>
        <v>44138</v>
      </c>
      <c r="C2" s="2564" t="s">
        <v>2878</v>
      </c>
      <c r="D2" s="2564"/>
      <c r="E2" s="2564"/>
      <c r="F2" s="2560"/>
      <c r="G2" s="2560"/>
      <c r="H2" s="2560"/>
    </row>
    <row r="3" spans="1:8" ht="24" customHeight="1">
      <c r="A3" s="2565" t="s">
        <v>2879</v>
      </c>
      <c r="B3" s="2566" t="s">
        <v>2880</v>
      </c>
      <c r="C3" s="2566" t="s">
        <v>2881</v>
      </c>
      <c r="D3" s="2567" t="s">
        <v>2882</v>
      </c>
      <c r="E3" s="2568" t="s">
        <v>2883</v>
      </c>
      <c r="F3" s="1474" t="s">
        <v>2884</v>
      </c>
      <c r="G3" s="2566" t="s">
        <v>2881</v>
      </c>
      <c r="H3" s="2567" t="s">
        <v>2885</v>
      </c>
    </row>
    <row r="4" spans="1:8" ht="24" customHeight="1">
      <c r="A4" s="1474" t="s">
        <v>2886</v>
      </c>
      <c r="B4" s="1474">
        <f ca="1">IF(C4&lt;B2,"已过期",1119970066)</f>
        <v>1119970066</v>
      </c>
      <c r="C4" s="2569">
        <v>44876</v>
      </c>
      <c r="D4" s="2570" t="str">
        <f ca="1">A4&amp;"（注册号："&amp;B4&amp;"）"</f>
        <v>梁津（注册号：1119970066）</v>
      </c>
      <c r="E4" s="2571" t="s">
        <v>2886</v>
      </c>
      <c r="F4" s="1474">
        <f ca="1">IF(G4&lt;B2,"已过期",96010014)</f>
        <v>96010014</v>
      </c>
      <c r="G4" s="2572">
        <v>47118</v>
      </c>
      <c r="H4" s="2573" t="str">
        <f ca="1">E4&amp;"（注册号："&amp;F4&amp;"）"</f>
        <v>梁津（注册号：96010014）</v>
      </c>
    </row>
    <row r="5" spans="1:8" ht="24" customHeight="1">
      <c r="A5" s="1474" t="s">
        <v>2887</v>
      </c>
      <c r="B5" s="1474">
        <f ca="1">IF(C5&lt;B2,"已过期",1119970111)</f>
        <v>1119970111</v>
      </c>
      <c r="C5" s="2569">
        <v>44876</v>
      </c>
      <c r="D5" s="2570" t="str">
        <f t="shared" ref="D5:D15" ca="1" si="0">A5&amp;"（注册号："&amp;B5&amp;"）"</f>
        <v>叶凌（注册号：1119970111）</v>
      </c>
      <c r="E5" s="2571" t="s">
        <v>2887</v>
      </c>
      <c r="F5" s="1474">
        <f ca="1">IF(G5&lt;B2,"已过期",94010078)</f>
        <v>94010078</v>
      </c>
      <c r="G5" s="2572">
        <v>46387</v>
      </c>
      <c r="H5" s="2573" t="str">
        <f t="shared" ref="H5:H16" ca="1" si="1">E5&amp;"（注册号："&amp;F5&amp;"）"</f>
        <v>叶凌（注册号：94010078）</v>
      </c>
    </row>
    <row r="6" spans="1:8" ht="24" customHeight="1">
      <c r="A6" s="1474" t="s">
        <v>2888</v>
      </c>
      <c r="B6" s="1474">
        <f ca="1">IF(C6&lt;B2,"已过期",1120050019)</f>
        <v>1120050019</v>
      </c>
      <c r="C6" s="2569">
        <v>44395</v>
      </c>
      <c r="D6" s="2570" t="str">
        <f t="shared" ca="1" si="0"/>
        <v>王鹏（注册号：1120050019）</v>
      </c>
      <c r="E6" s="2571" t="s">
        <v>2888</v>
      </c>
      <c r="F6" s="1474">
        <f ca="1">IF(G6&lt;B2,"已过期",2002110030)</f>
        <v>2002110030</v>
      </c>
      <c r="G6" s="2572">
        <v>46387</v>
      </c>
      <c r="H6" s="2573" t="str">
        <f t="shared" ca="1" si="1"/>
        <v>王鹏（注册号：2002110030）</v>
      </c>
    </row>
    <row r="7" spans="1:8" ht="24" customHeight="1">
      <c r="A7" s="1474" t="s">
        <v>2889</v>
      </c>
      <c r="B7" s="1474">
        <f ca="1">IF(C7&lt;B2,"已过期",1120000080)</f>
        <v>1120000080</v>
      </c>
      <c r="C7" s="2569">
        <v>44876</v>
      </c>
      <c r="D7" s="2570" t="str">
        <f t="shared" ca="1" si="0"/>
        <v>欧红伟（注册号：1120000080）</v>
      </c>
      <c r="E7" s="2571" t="s">
        <v>2889</v>
      </c>
      <c r="F7" s="1474">
        <f ca="1">IF(G7&lt;B2,"已过期",2000110082)</f>
        <v>2000110082</v>
      </c>
      <c r="G7" s="2572">
        <v>46387</v>
      </c>
      <c r="H7" s="2573" t="str">
        <f t="shared" ca="1" si="1"/>
        <v>欧红伟（注册号：2000110082）</v>
      </c>
    </row>
    <row r="8" spans="1:8" ht="24" customHeight="1">
      <c r="A8" s="1474" t="s">
        <v>2890</v>
      </c>
      <c r="B8" s="1474">
        <f ca="1">IF(C8&lt;B2,"已过期",1419970001)</f>
        <v>1419970001</v>
      </c>
      <c r="C8" s="2569">
        <v>44899</v>
      </c>
      <c r="D8" s="2570" t="str">
        <f t="shared" ca="1" si="0"/>
        <v>吴薇（注册号：1419970001）</v>
      </c>
      <c r="E8" s="2571" t="s">
        <v>2890</v>
      </c>
      <c r="F8" s="1474">
        <f ca="1">IF(G8&lt;B2,"已过期",2002110125)</f>
        <v>2002110125</v>
      </c>
      <c r="G8" s="2572">
        <v>47118</v>
      </c>
      <c r="H8" s="2573" t="str">
        <f t="shared" ca="1" si="1"/>
        <v>吴薇（注册号：2002110125）</v>
      </c>
    </row>
    <row r="9" spans="1:8" ht="24" customHeight="1">
      <c r="A9" s="1474" t="s">
        <v>2891</v>
      </c>
      <c r="B9" s="1474">
        <f ca="1">IF(C9&lt;B2,"已过期",1120060040)</f>
        <v>1120060040</v>
      </c>
      <c r="C9" s="2574">
        <v>44554</v>
      </c>
      <c r="D9" s="2570" t="str">
        <f t="shared" ca="1" si="0"/>
        <v>陈颖（注册号：1120060040）</v>
      </c>
      <c r="E9" s="2571" t="s">
        <v>2891</v>
      </c>
      <c r="F9" s="1474">
        <f ca="1">IF(G9&lt;B2,"已过期",2004110096)</f>
        <v>2004110096</v>
      </c>
      <c r="G9" s="2572">
        <v>47118</v>
      </c>
      <c r="H9" s="2573" t="str">
        <f t="shared" ca="1" si="1"/>
        <v>陈颖（注册号：2004110096）</v>
      </c>
    </row>
    <row r="10" spans="1:8" ht="24" customHeight="1">
      <c r="A10" s="1474" t="s">
        <v>2892</v>
      </c>
      <c r="B10" s="1474">
        <f ca="1">IF(C10&lt;B2,"已过期",1120100036)</f>
        <v>1120100036</v>
      </c>
      <c r="C10" s="2574">
        <v>44675</v>
      </c>
      <c r="D10" s="2570" t="str">
        <f t="shared" ca="1" si="0"/>
        <v>崔锴（注册号：1120100036）</v>
      </c>
      <c r="E10" s="2571" t="s">
        <v>2892</v>
      </c>
      <c r="F10" s="1474">
        <f ca="1">IF(G10&lt;B2,"已过期",2010110070)</f>
        <v>2010110070</v>
      </c>
      <c r="G10" s="2572">
        <v>47907</v>
      </c>
      <c r="H10" s="2573" t="str">
        <f t="shared" ca="1" si="1"/>
        <v>崔锴（注册号：2010110070）</v>
      </c>
    </row>
    <row r="11" spans="1:8" ht="24" customHeight="1">
      <c r="A11" s="1474" t="s">
        <v>2893</v>
      </c>
      <c r="B11" s="1474">
        <f ca="1">IF(C11&lt;B2,"已过期",1120070131)</f>
        <v>1120070131</v>
      </c>
      <c r="C11" s="2569">
        <v>44849</v>
      </c>
      <c r="D11" s="2570" t="str">
        <f t="shared" ca="1" si="0"/>
        <v>郑燚（注册号：1120070131）</v>
      </c>
      <c r="E11" s="2571" t="s">
        <v>2893</v>
      </c>
      <c r="F11" s="1474">
        <f ca="1">IF(G11&lt;B2,"已过期",2014110011)</f>
        <v>2014110011</v>
      </c>
      <c r="G11" s="2572">
        <v>49302</v>
      </c>
      <c r="H11" s="2573" t="str">
        <f t="shared" ca="1" si="1"/>
        <v>郑燚（注册号：2014110011）</v>
      </c>
    </row>
    <row r="12" spans="1:8" ht="24" customHeight="1">
      <c r="A12" s="1474" t="s">
        <v>2894</v>
      </c>
      <c r="B12" s="1474">
        <f ca="1">IF(C12&lt;B2,"已过期",1120040230)</f>
        <v>1120040230</v>
      </c>
      <c r="C12" s="2574">
        <v>44864</v>
      </c>
      <c r="D12" s="2570" t="str">
        <f t="shared" ca="1" si="0"/>
        <v>苏海（注册号：1120040230）</v>
      </c>
      <c r="E12" s="2571" t="s">
        <v>2894</v>
      </c>
      <c r="F12" s="1474">
        <f ca="1">IF(G12&lt;B2,"已过期",98030020)</f>
        <v>98030020</v>
      </c>
      <c r="G12" s="2572">
        <v>47118</v>
      </c>
      <c r="H12" s="2573" t="str">
        <f t="shared" ca="1" si="1"/>
        <v>苏海（注册号：98030020）</v>
      </c>
    </row>
    <row r="13" spans="1:8" ht="24" customHeight="1">
      <c r="A13" s="1474" t="s">
        <v>2895</v>
      </c>
      <c r="B13" s="1474">
        <f ca="1">IF(C13&lt;B2,"已过期",1120020033)</f>
        <v>1120020033</v>
      </c>
      <c r="C13" s="2569">
        <v>44339</v>
      </c>
      <c r="D13" s="2570" t="str">
        <f t="shared" ca="1" si="0"/>
        <v>刘敬东（注册号：1120020033）</v>
      </c>
      <c r="E13" s="2571" t="s">
        <v>2895</v>
      </c>
      <c r="F13" s="1474">
        <f ca="1">IF(G13&lt;B2,"已过期",2000110137)</f>
        <v>2000110137</v>
      </c>
      <c r="G13" s="2572">
        <v>46387</v>
      </c>
      <c r="H13" s="2573" t="str">
        <f t="shared" ca="1" si="1"/>
        <v>刘敬东（注册号：2000110137）</v>
      </c>
    </row>
    <row r="14" spans="1:8" ht="24" customHeight="1">
      <c r="A14" s="1474" t="s">
        <v>2896</v>
      </c>
      <c r="B14" s="1474">
        <f ca="1">IF(C14&lt;B2,"已过期",1119980106)</f>
        <v>1119980106</v>
      </c>
      <c r="C14" s="2574">
        <v>44969</v>
      </c>
      <c r="D14" s="2570" t="str">
        <f t="shared" ca="1" si="0"/>
        <v>刘俊财（注册号：1119980106）</v>
      </c>
      <c r="E14" s="2571" t="s">
        <v>2896</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2897</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26" t="s">
        <v>2898</v>
      </c>
      <c r="B17" s="3126"/>
      <c r="C17" s="3126"/>
      <c r="D17" s="3126"/>
      <c r="E17" s="3126"/>
      <c r="F17" s="3126"/>
      <c r="G17" s="3126"/>
      <c r="H17" s="3126"/>
    </row>
    <row r="18" spans="1:8" ht="24" customHeight="1">
      <c r="A18" s="3127" t="s">
        <v>2899</v>
      </c>
      <c r="B18" s="3127"/>
      <c r="C18" s="3127"/>
      <c r="D18" s="2567"/>
      <c r="E18" s="3128" t="s">
        <v>2900</v>
      </c>
      <c r="F18" s="3127"/>
      <c r="G18" s="3127"/>
    </row>
    <row r="19" spans="1:8" s="2578" customFormat="1" ht="24" customHeight="1">
      <c r="A19" s="2577" t="s">
        <v>2901</v>
      </c>
      <c r="B19" s="2566" t="s">
        <v>2902</v>
      </c>
      <c r="C19" s="2566" t="s">
        <v>2881</v>
      </c>
      <c r="D19" s="2567"/>
      <c r="E19" s="2571" t="s">
        <v>2901</v>
      </c>
      <c r="F19" s="2566" t="s">
        <v>2902</v>
      </c>
      <c r="G19" s="2566" t="s">
        <v>2881</v>
      </c>
    </row>
    <row r="20" spans="1:8" s="2578" customFormat="1" ht="24" customHeight="1">
      <c r="A20" s="2579" t="s">
        <v>2903</v>
      </c>
      <c r="B20" s="2579" t="s">
        <v>2904</v>
      </c>
      <c r="C20" s="2572">
        <v>44820</v>
      </c>
      <c r="D20" s="2580"/>
      <c r="E20" s="2581" t="s">
        <v>2905</v>
      </c>
      <c r="F20" s="2579" t="s">
        <v>2906</v>
      </c>
      <c r="G20" s="2582">
        <v>44377</v>
      </c>
    </row>
    <row r="21" spans="1:8" s="2578" customFormat="1" ht="24" customHeight="1">
      <c r="A21" s="2579"/>
      <c r="B21" s="2579"/>
      <c r="C21" s="2583"/>
      <c r="D21" s="2584"/>
      <c r="E21" s="2581" t="s">
        <v>2907</v>
      </c>
      <c r="F21" s="2585" t="s">
        <v>2908</v>
      </c>
      <c r="G21" s="2586">
        <v>44012</v>
      </c>
    </row>
    <row r="22" spans="1:8" ht="24" customHeight="1">
      <c r="C22" s="2587"/>
      <c r="D22" s="2587"/>
      <c r="E22" s="2588"/>
      <c r="F22" s="2589"/>
      <c r="G22" s="2590"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466" priority="51">
      <formula>AND($C4-TODAY()&lt;30,TODAY()&lt;$C4)</formula>
    </cfRule>
  </conditionalFormatting>
  <conditionalFormatting sqref="C20:D20">
    <cfRule type="expression" dxfId="465" priority="50">
      <formula>AND($C20-TODAY()&lt;30,TODAY()&lt;$C20)</formula>
    </cfRule>
  </conditionalFormatting>
  <conditionalFormatting sqref="C20:D20 G4 C4:D5 C13:D13">
    <cfRule type="cellIs" dxfId="464" priority="52" stopIfTrue="1" operator="lessThan">
      <formula>$B$2</formula>
    </cfRule>
  </conditionalFormatting>
  <conditionalFormatting sqref="G5 G7 G9">
    <cfRule type="cellIs" dxfId="463" priority="49" stopIfTrue="1" operator="lessThan">
      <formula>$B$2</formula>
    </cfRule>
  </conditionalFormatting>
  <conditionalFormatting sqref="C6:D6 D14 D16">
    <cfRule type="expression" dxfId="462" priority="47">
      <formula>AND($C6-TODAY()&lt;30,TODAY()&lt;$C6)</formula>
    </cfRule>
  </conditionalFormatting>
  <conditionalFormatting sqref="G6 G8 G10 C6:D6 D7:D12 D14 D16">
    <cfRule type="cellIs" dxfId="461" priority="48" stopIfTrue="1" operator="lessThan">
      <formula>$B$2</formula>
    </cfRule>
  </conditionalFormatting>
  <conditionalFormatting sqref="D12">
    <cfRule type="expression" dxfId="460" priority="45">
      <formula>AND($C12-TODAY()&lt;30,TODAY()&lt;$C12)</formula>
    </cfRule>
  </conditionalFormatting>
  <conditionalFormatting sqref="D12">
    <cfRule type="cellIs" dxfId="459" priority="46" stopIfTrue="1" operator="lessThan">
      <formula>$B$2</formula>
    </cfRule>
  </conditionalFormatting>
  <conditionalFormatting sqref="C13:D13">
    <cfRule type="expression" dxfId="458" priority="43">
      <formula>AND($C13-TODAY()&lt;30,TODAY()&lt;$C13)</formula>
    </cfRule>
  </conditionalFormatting>
  <conditionalFormatting sqref="C13:D13">
    <cfRule type="cellIs" dxfId="457" priority="44" stopIfTrue="1" operator="lessThan">
      <formula>$B$2</formula>
    </cfRule>
  </conditionalFormatting>
  <conditionalFormatting sqref="D14">
    <cfRule type="expression" dxfId="456" priority="41">
      <formula>AND($C14-TODAY()&lt;30,TODAY()&lt;$C14)</formula>
    </cfRule>
  </conditionalFormatting>
  <conditionalFormatting sqref="D14">
    <cfRule type="cellIs" dxfId="455" priority="42" stopIfTrue="1" operator="lessThan">
      <formula>$B$2</formula>
    </cfRule>
  </conditionalFormatting>
  <conditionalFormatting sqref="G13">
    <cfRule type="cellIs" dxfId="454" priority="40" stopIfTrue="1" operator="lessThan">
      <formula>$B$2</formula>
    </cfRule>
  </conditionalFormatting>
  <conditionalFormatting sqref="B4:B11 F4:F11 B13 F13:F14">
    <cfRule type="cellIs" dxfId="453" priority="39" stopIfTrue="1" operator="equal">
      <formula>"已过期"</formula>
    </cfRule>
  </conditionalFormatting>
  <conditionalFormatting sqref="G20">
    <cfRule type="expression" dxfId="452" priority="37">
      <formula>AND($E20-TODAY()&lt;30,TODAY()&lt;$E20)</formula>
    </cfRule>
  </conditionalFormatting>
  <conditionalFormatting sqref="G20">
    <cfRule type="cellIs" dxfId="451" priority="38" stopIfTrue="1" operator="lessThan">
      <formula>$B$2</formula>
    </cfRule>
  </conditionalFormatting>
  <conditionalFormatting sqref="C7">
    <cfRule type="expression" dxfId="450" priority="35">
      <formula>AND($C7-TODAY()&lt;30,TODAY()&lt;$C7)</formula>
    </cfRule>
  </conditionalFormatting>
  <conditionalFormatting sqref="C7">
    <cfRule type="cellIs" dxfId="449" priority="36" stopIfTrue="1" operator="lessThan">
      <formula>$B$2</formula>
    </cfRule>
  </conditionalFormatting>
  <conditionalFormatting sqref="C8">
    <cfRule type="expression" dxfId="448" priority="33">
      <formula>AND($C8-TODAY()&lt;30,TODAY()&lt;$C8)</formula>
    </cfRule>
  </conditionalFormatting>
  <conditionalFormatting sqref="C8">
    <cfRule type="cellIs" dxfId="447" priority="34" stopIfTrue="1" operator="lessThan">
      <formula>$B$2</formula>
    </cfRule>
  </conditionalFormatting>
  <conditionalFormatting sqref="C11">
    <cfRule type="expression" dxfId="446" priority="31">
      <formula>AND($C11-TODAY()&lt;30,TODAY()&lt;$C11)</formula>
    </cfRule>
  </conditionalFormatting>
  <conditionalFormatting sqref="C11">
    <cfRule type="cellIs" dxfId="445" priority="32" stopIfTrue="1" operator="lessThan">
      <formula>$B$2</formula>
    </cfRule>
  </conditionalFormatting>
  <conditionalFormatting sqref="A16:C16">
    <cfRule type="cellIs" dxfId="444" priority="30" stopIfTrue="1" operator="equal">
      <formula>"已过期"</formula>
    </cfRule>
  </conditionalFormatting>
  <conditionalFormatting sqref="E16:G16">
    <cfRule type="cellIs" dxfId="443" priority="29" stopIfTrue="1" operator="equal">
      <formula>"已过期"</formula>
    </cfRule>
  </conditionalFormatting>
  <conditionalFormatting sqref="G11">
    <cfRule type="cellIs" dxfId="442" priority="28" stopIfTrue="1" operator="lessThan">
      <formula>$B$2</formula>
    </cfRule>
  </conditionalFormatting>
  <conditionalFormatting sqref="F12">
    <cfRule type="cellIs" dxfId="441" priority="27" stopIfTrue="1" operator="equal">
      <formula>"已过期"</formula>
    </cfRule>
  </conditionalFormatting>
  <conditionalFormatting sqref="G12">
    <cfRule type="cellIs" dxfId="440" priority="26" stopIfTrue="1" operator="lessThan">
      <formula>$B$2</formula>
    </cfRule>
  </conditionalFormatting>
  <conditionalFormatting sqref="C12">
    <cfRule type="cellIs" dxfId="439" priority="25" stopIfTrue="1" operator="lessThan">
      <formula>$B$2</formula>
    </cfRule>
  </conditionalFormatting>
  <conditionalFormatting sqref="C12">
    <cfRule type="expression" dxfId="438" priority="23">
      <formula>AND($C12-TODAY()&lt;30,TODAY()&lt;$C12)</formula>
    </cfRule>
  </conditionalFormatting>
  <conditionalFormatting sqref="C12">
    <cfRule type="cellIs" dxfId="437" priority="24" stopIfTrue="1" operator="lessThan">
      <formula>$B$2</formula>
    </cfRule>
  </conditionalFormatting>
  <conditionalFormatting sqref="B12">
    <cfRule type="cellIs" dxfId="436" priority="22" stopIfTrue="1" operator="equal">
      <formula>"已过期"</formula>
    </cfRule>
  </conditionalFormatting>
  <conditionalFormatting sqref="C9:C10">
    <cfRule type="expression" dxfId="435" priority="20">
      <formula>AND($C9-TODAY()&lt;30,TODAY()&lt;$C9)</formula>
    </cfRule>
  </conditionalFormatting>
  <conditionalFormatting sqref="C9:C10">
    <cfRule type="cellIs" dxfId="434" priority="21" stopIfTrue="1" operator="lessThan">
      <formula>$B$2</formula>
    </cfRule>
  </conditionalFormatting>
  <conditionalFormatting sqref="G21">
    <cfRule type="expression" dxfId="433" priority="18" stopIfTrue="1">
      <formula>AND(#REF!-TODAY()&lt;30,TODAY()&lt;#REF!)</formula>
    </cfRule>
  </conditionalFormatting>
  <conditionalFormatting sqref="G21">
    <cfRule type="cellIs" dxfId="432" priority="19" stopIfTrue="1" operator="lessThan">
      <formula>$B$2</formula>
    </cfRule>
  </conditionalFormatting>
  <conditionalFormatting sqref="C14">
    <cfRule type="expression" dxfId="431" priority="16">
      <formula>AND($C14-TODAY()&lt;30,TODAY()&lt;$C14)</formula>
    </cfRule>
  </conditionalFormatting>
  <conditionalFormatting sqref="C14">
    <cfRule type="cellIs" dxfId="430" priority="17" stopIfTrue="1" operator="lessThan">
      <formula>$B$2</formula>
    </cfRule>
  </conditionalFormatting>
  <conditionalFormatting sqref="C14">
    <cfRule type="expression" dxfId="429" priority="14">
      <formula>AND($C14-TODAY()&lt;30,TODAY()&lt;$C14)</formula>
    </cfRule>
  </conditionalFormatting>
  <conditionalFormatting sqref="C14">
    <cfRule type="cellIs" dxfId="428" priority="15" stopIfTrue="1" operator="lessThan">
      <formula>$B$2</formula>
    </cfRule>
  </conditionalFormatting>
  <conditionalFormatting sqref="B14">
    <cfRule type="cellIs" dxfId="427" priority="13" stopIfTrue="1" operator="equal">
      <formula>"已过期"</formula>
    </cfRule>
  </conditionalFormatting>
  <conditionalFormatting sqref="G14">
    <cfRule type="cellIs" dxfId="426" priority="12" stopIfTrue="1" operator="lessThan">
      <formula>$B$2</formula>
    </cfRule>
  </conditionalFormatting>
  <conditionalFormatting sqref="D15">
    <cfRule type="expression" dxfId="425" priority="10">
      <formula>AND($C15-TODAY()&lt;30,TODAY()&lt;$C15)</formula>
    </cfRule>
  </conditionalFormatting>
  <conditionalFormatting sqref="D15">
    <cfRule type="cellIs" dxfId="424" priority="11" stopIfTrue="1" operator="lessThan">
      <formula>$B$2</formula>
    </cfRule>
  </conditionalFormatting>
  <conditionalFormatting sqref="D15">
    <cfRule type="expression" dxfId="423" priority="8">
      <formula>AND($C15-TODAY()&lt;30,TODAY()&lt;$C15)</formula>
    </cfRule>
  </conditionalFormatting>
  <conditionalFormatting sqref="D15">
    <cfRule type="cellIs" dxfId="422" priority="9" stopIfTrue="1" operator="lessThan">
      <formula>$B$2</formula>
    </cfRule>
  </conditionalFormatting>
  <conditionalFormatting sqref="F15">
    <cfRule type="cellIs" dxfId="421" priority="7" stopIfTrue="1" operator="equal">
      <formula>"已过期"</formula>
    </cfRule>
  </conditionalFormatting>
  <conditionalFormatting sqref="C15">
    <cfRule type="expression" dxfId="420" priority="5">
      <formula>AND($C15-TODAY()&lt;30,TODAY()&lt;$C15)</formula>
    </cfRule>
  </conditionalFormatting>
  <conditionalFormatting sqref="C15">
    <cfRule type="cellIs" dxfId="419" priority="6" stopIfTrue="1" operator="lessThan">
      <formula>$B$2</formula>
    </cfRule>
  </conditionalFormatting>
  <conditionalFormatting sqref="C15">
    <cfRule type="expression" dxfId="418" priority="3">
      <formula>AND($C15-TODAY()&lt;30,TODAY()&lt;$C15)</formula>
    </cfRule>
  </conditionalFormatting>
  <conditionalFormatting sqref="C15">
    <cfRule type="cellIs" dxfId="417" priority="4" stopIfTrue="1" operator="lessThan">
      <formula>$B$2</formula>
    </cfRule>
  </conditionalFormatting>
  <conditionalFormatting sqref="B15">
    <cfRule type="cellIs" dxfId="416" priority="2" stopIfTrue="1" operator="equal">
      <formula>"已过期"</formula>
    </cfRule>
  </conditionalFormatting>
  <conditionalFormatting sqref="G15">
    <cfRule type="cellIs" dxfId="41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商业面积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2020-11-03T06:55:30Z</dcterms:modified>
</cp:coreProperties>
</file>