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95" windowWidth="11385" windowHeight="9435"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成本法" sheetId="68"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6" i="15" l="1"/>
  <c r="F8" i="15"/>
  <c r="F7" i="15"/>
  <c r="F9" i="15"/>
  <c r="C6" i="15"/>
  <c r="C33" i="15"/>
  <c r="F4" i="73"/>
  <c r="I1" i="73"/>
  <c r="B39" i="1"/>
  <c r="F11" i="15"/>
  <c r="C10" i="15"/>
  <c r="C5" i="15"/>
  <c r="C32" i="15"/>
  <c r="N6" i="1"/>
  <c r="B2" i="49"/>
  <c r="C37" i="21"/>
  <c r="E37" i="21"/>
  <c r="G37" i="21"/>
  <c r="I37" i="21"/>
  <c r="I47" i="21"/>
  <c r="G47" i="21"/>
  <c r="E47" i="21"/>
  <c r="D104" i="21"/>
  <c r="E104" i="21"/>
  <c r="F104" i="21"/>
  <c r="G104" i="21"/>
  <c r="H104" i="21"/>
  <c r="I104" i="21"/>
  <c r="J104" i="21"/>
  <c r="K104" i="21"/>
  <c r="L104" i="21"/>
  <c r="F19" i="6"/>
  <c r="D3" i="39"/>
  <c r="Y6" i="1"/>
  <c r="A6" i="1"/>
  <c r="E19" i="6"/>
  <c r="K6" i="1"/>
  <c r="A7" i="1"/>
  <c r="K7" i="1"/>
  <c r="A8" i="1"/>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K15" i="1"/>
  <c r="K16" i="1"/>
  <c r="B29" i="1"/>
  <c r="I46" i="39"/>
  <c r="G46" i="39"/>
  <c r="E46" i="39"/>
  <c r="I38" i="39"/>
  <c r="G38" i="39"/>
  <c r="E38" i="39"/>
  <c r="D71" i="39"/>
  <c r="E71" i="39"/>
  <c r="F71" i="39"/>
  <c r="G71" i="39"/>
  <c r="I7" i="39"/>
  <c r="G7" i="39"/>
  <c r="E7" i="39"/>
  <c r="I5" i="39"/>
  <c r="G5" i="39"/>
  <c r="E5" i="39"/>
  <c r="G2" i="43"/>
  <c r="C6" i="43"/>
  <c r="H17" i="43"/>
  <c r="I17" i="43"/>
  <c r="J17" i="43"/>
  <c r="K17" i="43"/>
  <c r="L17" i="43"/>
  <c r="M17" i="43"/>
  <c r="N17" i="43"/>
  <c r="O17" i="43"/>
  <c r="G17" i="43"/>
  <c r="M15" i="45"/>
  <c r="L15" i="45"/>
  <c r="K15" i="45"/>
  <c r="J15" i="45"/>
  <c r="I15" i="45"/>
  <c r="H15" i="45"/>
  <c r="G15" i="45"/>
  <c r="F15" i="45"/>
  <c r="E15" i="45"/>
  <c r="D15" i="45"/>
  <c r="C15" i="45"/>
  <c r="B15" i="45"/>
  <c r="P10" i="71"/>
  <c r="E10" i="71"/>
  <c r="P9" i="71"/>
  <c r="E9" i="71"/>
  <c r="P8" i="71"/>
  <c r="E8" i="71"/>
  <c r="P7" i="71"/>
  <c r="E7" i="71"/>
  <c r="P6" i="71"/>
  <c r="E6" i="71"/>
  <c r="V6" i="71"/>
  <c r="O10" i="71"/>
  <c r="C10" i="71"/>
  <c r="O9" i="71"/>
  <c r="C9" i="71"/>
  <c r="O8" i="71"/>
  <c r="C8" i="71"/>
  <c r="O7" i="71"/>
  <c r="C7" i="71"/>
  <c r="O6" i="71"/>
  <c r="C6" i="71"/>
  <c r="D6" i="71"/>
  <c r="D7" i="71"/>
  <c r="U6" i="71"/>
  <c r="T6" i="71"/>
  <c r="N10" i="71"/>
  <c r="B10" i="71"/>
  <c r="N9" i="71"/>
  <c r="B9" i="71"/>
  <c r="N8" i="71"/>
  <c r="B8" i="71"/>
  <c r="N7" i="71"/>
  <c r="B7" i="71"/>
  <c r="N6" i="71"/>
  <c r="B6" i="71"/>
  <c r="S6" i="71"/>
  <c r="AH5" i="71"/>
  <c r="AG5" i="71"/>
  <c r="AE5" i="71"/>
  <c r="AF5" i="71"/>
  <c r="AD5" i="71"/>
  <c r="Q5" i="71"/>
  <c r="P5" i="71"/>
  <c r="O5" i="71"/>
  <c r="N5" i="71"/>
  <c r="AD6" i="71"/>
  <c r="AH6" i="71"/>
  <c r="AG6" i="71"/>
  <c r="AE6" i="71"/>
  <c r="AF6" i="71"/>
  <c r="Q6" i="71"/>
  <c r="Q7" i="71"/>
  <c r="Q8" i="71"/>
  <c r="Q9" i="71"/>
  <c r="Q10" i="71"/>
  <c r="Q11" i="71"/>
  <c r="Q12" i="71"/>
  <c r="Q13" i="71"/>
  <c r="Q14" i="71"/>
  <c r="Q15" i="71"/>
  <c r="Q16" i="71"/>
  <c r="Q17" i="71"/>
  <c r="Q18" i="71"/>
  <c r="Q19" i="71"/>
  <c r="Q20" i="71"/>
  <c r="Q21" i="71"/>
  <c r="Q22" i="71"/>
  <c r="Q23" i="71"/>
  <c r="Q24" i="71"/>
  <c r="Q25" i="71"/>
  <c r="AB5" i="71"/>
  <c r="P11" i="71"/>
  <c r="P12" i="71"/>
  <c r="P13" i="71"/>
  <c r="P14" i="71"/>
  <c r="P15" i="71"/>
  <c r="P16" i="71"/>
  <c r="P17" i="71"/>
  <c r="P18" i="71"/>
  <c r="P19" i="71"/>
  <c r="P20" i="71"/>
  <c r="P21" i="71"/>
  <c r="P22" i="71"/>
  <c r="P23" i="71"/>
  <c r="P24" i="71"/>
  <c r="P25" i="71"/>
  <c r="AA5" i="71"/>
  <c r="O11" i="71"/>
  <c r="O12" i="71"/>
  <c r="O13" i="71"/>
  <c r="O14" i="71"/>
  <c r="O15" i="71"/>
  <c r="O16" i="71"/>
  <c r="O17" i="71"/>
  <c r="O18" i="71"/>
  <c r="O19" i="71"/>
  <c r="O20" i="71"/>
  <c r="O21" i="71"/>
  <c r="O22" i="71"/>
  <c r="O23" i="71"/>
  <c r="O24" i="71"/>
  <c r="O25" i="71"/>
  <c r="Y5" i="71"/>
  <c r="Z5" i="71"/>
  <c r="N11" i="71"/>
  <c r="N12" i="71"/>
  <c r="N13" i="71"/>
  <c r="N14" i="71"/>
  <c r="N15" i="71"/>
  <c r="N16" i="71"/>
  <c r="N17" i="71"/>
  <c r="N18" i="71"/>
  <c r="N19" i="71"/>
  <c r="N20" i="71"/>
  <c r="N21" i="71"/>
  <c r="N22" i="71"/>
  <c r="N23" i="71"/>
  <c r="N24" i="71"/>
  <c r="N25" i="71"/>
  <c r="X5" i="71"/>
  <c r="G20" i="43"/>
  <c r="E41" i="43"/>
  <c r="C41" i="43"/>
  <c r="L3" i="71"/>
  <c r="AH3" i="71"/>
  <c r="K3" i="71"/>
  <c r="AG3" i="71"/>
  <c r="J3" i="71"/>
  <c r="AE3" i="71"/>
  <c r="I3" i="71"/>
  <c r="AH7" i="71"/>
  <c r="AG7" i="71"/>
  <c r="AE7" i="71"/>
  <c r="AF7" i="71"/>
  <c r="AD7" i="71"/>
  <c r="AB6" i="71"/>
  <c r="AB7" i="71"/>
  <c r="AA6" i="71"/>
  <c r="AA7" i="71"/>
  <c r="Y7" i="71"/>
  <c r="Z7" i="71"/>
  <c r="X6" i="71"/>
  <c r="X7" i="71"/>
  <c r="F10" i="71"/>
  <c r="F9" i="71"/>
  <c r="F8" i="71"/>
  <c r="B5" i="71"/>
  <c r="X8" i="71"/>
  <c r="AH8" i="71"/>
  <c r="AG8" i="71"/>
  <c r="AE8" i="71"/>
  <c r="AF8" i="71"/>
  <c r="AD8" i="71"/>
  <c r="AB8" i="71"/>
  <c r="AA8" i="71"/>
  <c r="Y8" i="71"/>
  <c r="Z8" i="71"/>
  <c r="D8" i="71"/>
  <c r="D9" i="71"/>
  <c r="M19" i="43"/>
  <c r="M47" i="67"/>
  <c r="J53" i="67"/>
  <c r="D11" i="71"/>
  <c r="AH9" i="71"/>
  <c r="AG9" i="71"/>
  <c r="AE9" i="71"/>
  <c r="AF9" i="71"/>
  <c r="AD9" i="71"/>
  <c r="AD10" i="71"/>
  <c r="AG10" i="71"/>
  <c r="AH10" i="71"/>
  <c r="AE10" i="71"/>
  <c r="AF10" i="71"/>
  <c r="X9" i="71"/>
  <c r="AB9" i="71"/>
  <c r="AA9" i="71"/>
  <c r="Y9" i="71"/>
  <c r="Z9" i="71"/>
  <c r="T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O39" i="71"/>
  <c r="C40" i="71"/>
  <c r="Q39" i="71"/>
  <c r="F40" i="71"/>
  <c r="F41" i="71"/>
  <c r="F42" i="71"/>
  <c r="V42" i="71"/>
  <c r="P39" i="71"/>
  <c r="E40"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AB25" i="71"/>
  <c r="AA25" i="71"/>
  <c r="Y25" i="71"/>
  <c r="Z25" i="71"/>
  <c r="X25" i="71"/>
  <c r="AB24" i="71"/>
  <c r="Y24" i="71"/>
  <c r="Z24" i="71"/>
  <c r="F24" i="71"/>
  <c r="F25" i="71"/>
  <c r="F26" i="71"/>
  <c r="V26" i="71"/>
  <c r="D23" i="71"/>
  <c r="AB22" i="71"/>
  <c r="Y22" i="71"/>
  <c r="Z22" i="71"/>
  <c r="AB21" i="71"/>
  <c r="Y21" i="71"/>
  <c r="Z21" i="71"/>
  <c r="AB20" i="71"/>
  <c r="Y20" i="71"/>
  <c r="Z20" i="71"/>
  <c r="F20" i="71"/>
  <c r="F21" i="71"/>
  <c r="F22" i="71"/>
  <c r="V22" i="71"/>
  <c r="D19" i="71"/>
  <c r="AB18" i="71"/>
  <c r="Y18" i="71"/>
  <c r="Z18" i="71"/>
  <c r="AB17" i="71"/>
  <c r="Y17" i="71"/>
  <c r="Z17" i="71"/>
  <c r="AB16" i="71"/>
  <c r="Y16" i="71"/>
  <c r="Z16" i="71"/>
  <c r="F16" i="71"/>
  <c r="F17" i="71"/>
  <c r="F18" i="71"/>
  <c r="V18" i="71"/>
  <c r="D15"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E41" i="71"/>
  <c r="E42" i="71"/>
  <c r="U42" i="71"/>
  <c r="E45" i="71"/>
  <c r="E46" i="71"/>
  <c r="U46" i="71"/>
  <c r="E49" i="71"/>
  <c r="E50" i="71"/>
  <c r="U50" i="71"/>
  <c r="Q51" i="71"/>
  <c r="U54" i="71"/>
  <c r="E53"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D83" i="21"/>
  <c r="F21" i="21"/>
  <c r="AA21" i="21"/>
  <c r="G20" i="20"/>
  <c r="B86" i="43"/>
  <c r="C22" i="20"/>
  <c r="B75" i="43"/>
  <c r="B55" i="43"/>
  <c r="C25" i="40"/>
  <c r="S25" i="40"/>
  <c r="S18" i="36"/>
  <c r="U18" i="36"/>
  <c r="S21" i="34"/>
  <c r="F94" i="40"/>
  <c r="H25" i="40"/>
  <c r="G94" i="40"/>
  <c r="J25" i="40"/>
  <c r="F103" i="39"/>
  <c r="H29" i="39"/>
  <c r="AB29" i="39"/>
  <c r="G103" i="39"/>
  <c r="J29" i="39"/>
  <c r="AC29" i="39"/>
  <c r="G66" i="36"/>
  <c r="J18" i="36"/>
  <c r="F68" i="35"/>
  <c r="H18" i="35"/>
  <c r="S18" i="35"/>
  <c r="G68" i="35"/>
  <c r="J18" i="35"/>
  <c r="F77" i="37"/>
  <c r="H21" i="37"/>
  <c r="F21" i="37"/>
  <c r="F84" i="34"/>
  <c r="H21" i="34"/>
  <c r="F83" i="33"/>
  <c r="H21" i="33"/>
  <c r="F21" i="33"/>
  <c r="E83" i="21"/>
  <c r="F83" i="21"/>
  <c r="G83" i="21"/>
  <c r="H1" i="69"/>
  <c r="AC25" i="40"/>
  <c r="W25" i="40"/>
  <c r="AB25" i="40"/>
  <c r="U25" i="40"/>
  <c r="W29" i="39"/>
  <c r="AC18" i="36"/>
  <c r="W18" i="36"/>
  <c r="AB21" i="37"/>
  <c r="U21" i="37"/>
  <c r="AA21" i="37"/>
  <c r="S21" i="37"/>
  <c r="AB21" i="34"/>
  <c r="U21" i="34"/>
  <c r="U21" i="33"/>
  <c r="AB21" i="33"/>
  <c r="AA21" i="33"/>
  <c r="S21" i="33"/>
  <c r="AB18" i="35"/>
  <c r="U18" i="35"/>
  <c r="AC18" i="35"/>
  <c r="W18" i="35"/>
  <c r="G77" i="37"/>
  <c r="J21" i="37"/>
  <c r="G84" i="34"/>
  <c r="J21" i="34"/>
  <c r="G83" i="33"/>
  <c r="J21" i="33"/>
  <c r="H21" i="21"/>
  <c r="U21" i="21"/>
  <c r="F38" i="69"/>
  <c r="E37" i="69"/>
  <c r="F36" i="69"/>
  <c r="F35" i="69"/>
  <c r="F21" i="69"/>
  <c r="C21" i="69"/>
  <c r="F20" i="69"/>
  <c r="E10" i="69"/>
  <c r="E9" i="69"/>
  <c r="F7" i="69"/>
  <c r="C7" i="69"/>
  <c r="AC21" i="37"/>
  <c r="W21" i="37"/>
  <c r="AC21" i="34"/>
  <c r="W21" i="34"/>
  <c r="AC21" i="33"/>
  <c r="W21" i="33"/>
  <c r="AB21" i="21"/>
  <c r="J21" i="21"/>
  <c r="W21" i="21"/>
  <c r="C40" i="69"/>
  <c r="F38" i="68"/>
  <c r="E37" i="68"/>
  <c r="F36" i="68"/>
  <c r="F35" i="68"/>
  <c r="F21" i="68"/>
  <c r="C21" i="68"/>
  <c r="F20" i="68"/>
  <c r="E10" i="68"/>
  <c r="E9" i="68"/>
  <c r="F7" i="68"/>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13" i="1"/>
  <c r="G13" i="1"/>
  <c r="D6" i="1"/>
  <c r="D9" i="1"/>
  <c r="D10" i="1"/>
  <c r="D11" i="1"/>
  <c r="D12"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BL112" i="3"/>
  <c r="BK112" i="3"/>
  <c r="BJ112" i="3"/>
  <c r="BI112" i="3"/>
  <c r="BH112" i="3"/>
  <c r="BG112" i="3"/>
  <c r="BF112" i="3"/>
  <c r="BE112" i="3"/>
  <c r="BD112" i="3"/>
  <c r="BC112" i="3"/>
  <c r="BB112" i="3"/>
  <c r="BA112" i="3"/>
  <c r="AZ112" i="3"/>
  <c r="AX112" i="3"/>
  <c r="AW112" i="3"/>
  <c r="AV112" i="3"/>
  <c r="AC112" i="3"/>
  <c r="H112" i="3"/>
  <c r="G112" i="3"/>
  <c r="BL111" i="3"/>
  <c r="BK111" i="3"/>
  <c r="BJ111" i="3"/>
  <c r="BI111" i="3"/>
  <c r="BH111" i="3"/>
  <c r="BG111" i="3"/>
  <c r="BF111" i="3"/>
  <c r="BE111" i="3"/>
  <c r="BD111" i="3"/>
  <c r="BC111" i="3"/>
  <c r="BB111" i="3"/>
  <c r="BA111" i="3"/>
  <c r="AX111" i="3"/>
  <c r="AW111" i="3"/>
  <c r="AV111" i="3"/>
  <c r="AC111" i="3"/>
  <c r="H111" i="3"/>
  <c r="G111" i="3"/>
  <c r="BL110" i="3"/>
  <c r="BK110" i="3"/>
  <c r="BJ110" i="3"/>
  <c r="BI110" i="3"/>
  <c r="BH110" i="3"/>
  <c r="BG110" i="3"/>
  <c r="BF110" i="3"/>
  <c r="BE110" i="3"/>
  <c r="BD110" i="3"/>
  <c r="BC110" i="3"/>
  <c r="BB110" i="3"/>
  <c r="BA110" i="3"/>
  <c r="AX110" i="3"/>
  <c r="AW110" i="3"/>
  <c r="AV110" i="3"/>
  <c r="AC110" i="3"/>
  <c r="H110" i="3"/>
  <c r="G110" i="3"/>
  <c r="BL109" i="3"/>
  <c r="BK109" i="3"/>
  <c r="BJ109" i="3"/>
  <c r="BI109" i="3"/>
  <c r="BH109" i="3"/>
  <c r="BG109" i="3"/>
  <c r="BF109" i="3"/>
  <c r="BE109" i="3"/>
  <c r="BD109" i="3"/>
  <c r="BC109" i="3"/>
  <c r="BB109" i="3"/>
  <c r="BA109" i="3"/>
  <c r="AX109" i="3"/>
  <c r="AW109" i="3"/>
  <c r="AV109" i="3"/>
  <c r="AC109" i="3"/>
  <c r="H109" i="3"/>
  <c r="G109" i="3"/>
  <c r="BL108" i="3"/>
  <c r="BK108" i="3"/>
  <c r="BJ108" i="3"/>
  <c r="BI108" i="3"/>
  <c r="BH108" i="3"/>
  <c r="BG108" i="3"/>
  <c r="BF108" i="3"/>
  <c r="BE108" i="3"/>
  <c r="BD108" i="3"/>
  <c r="BC108" i="3"/>
  <c r="BB108" i="3"/>
  <c r="BA108" i="3"/>
  <c r="AZ108" i="3"/>
  <c r="AX108" i="3"/>
  <c r="AW108" i="3"/>
  <c r="AV108" i="3"/>
  <c r="AC108" i="3"/>
  <c r="H108" i="3"/>
  <c r="G108" i="3"/>
  <c r="BL107" i="3"/>
  <c r="BK107" i="3"/>
  <c r="BJ107" i="3"/>
  <c r="BI107" i="3"/>
  <c r="BH107" i="3"/>
  <c r="BG107" i="3"/>
  <c r="BF107" i="3"/>
  <c r="BE107" i="3"/>
  <c r="BD107" i="3"/>
  <c r="BC107" i="3"/>
  <c r="BB107" i="3"/>
  <c r="BA107" i="3"/>
  <c r="AX107" i="3"/>
  <c r="AW107" i="3"/>
  <c r="AV107" i="3"/>
  <c r="AC107" i="3"/>
  <c r="H107" i="3"/>
  <c r="G107" i="3"/>
  <c r="BL106" i="3"/>
  <c r="BK106" i="3"/>
  <c r="BJ106" i="3"/>
  <c r="BI106" i="3"/>
  <c r="BH106" i="3"/>
  <c r="BG106" i="3"/>
  <c r="BF106" i="3"/>
  <c r="BE106" i="3"/>
  <c r="BD106" i="3"/>
  <c r="BC106" i="3"/>
  <c r="BB106" i="3"/>
  <c r="BA106" i="3"/>
  <c r="AZ106" i="3"/>
  <c r="AX106" i="3"/>
  <c r="AW106" i="3"/>
  <c r="AV106" i="3"/>
  <c r="AC106" i="3"/>
  <c r="H106" i="3"/>
  <c r="G106" i="3"/>
  <c r="BL105" i="3"/>
  <c r="BK105" i="3"/>
  <c r="BJ105" i="3"/>
  <c r="BI105" i="3"/>
  <c r="BH105" i="3"/>
  <c r="BG105" i="3"/>
  <c r="BF105" i="3"/>
  <c r="BE105" i="3"/>
  <c r="BD105" i="3"/>
  <c r="BC105" i="3"/>
  <c r="BB105" i="3"/>
  <c r="BA105" i="3"/>
  <c r="AX105" i="3"/>
  <c r="AW105" i="3"/>
  <c r="AV105" i="3"/>
  <c r="AC105" i="3"/>
  <c r="H105" i="3"/>
  <c r="G105" i="3"/>
  <c r="BL104" i="3"/>
  <c r="BK104" i="3"/>
  <c r="BJ104" i="3"/>
  <c r="BI104" i="3"/>
  <c r="BH104" i="3"/>
  <c r="BG104" i="3"/>
  <c r="BF104" i="3"/>
  <c r="BE104" i="3"/>
  <c r="BD104" i="3"/>
  <c r="BC104" i="3"/>
  <c r="BB104" i="3"/>
  <c r="BA104" i="3"/>
  <c r="AZ104" i="3"/>
  <c r="AX104" i="3"/>
  <c r="AW104" i="3"/>
  <c r="AV104" i="3"/>
  <c r="AC104" i="3"/>
  <c r="H104" i="3"/>
  <c r="G104" i="3"/>
  <c r="BL103" i="3"/>
  <c r="BK103" i="3"/>
  <c r="BJ103" i="3"/>
  <c r="BI103" i="3"/>
  <c r="BH103" i="3"/>
  <c r="BG103" i="3"/>
  <c r="BF103" i="3"/>
  <c r="BE103" i="3"/>
  <c r="BD103" i="3"/>
  <c r="BC103" i="3"/>
  <c r="BB103" i="3"/>
  <c r="BA103" i="3"/>
  <c r="AZ103" i="3"/>
  <c r="AX103" i="3"/>
  <c r="AW103" i="3"/>
  <c r="AV103" i="3"/>
  <c r="AC103" i="3"/>
  <c r="H103" i="3"/>
  <c r="G103" i="3"/>
  <c r="BL102" i="3"/>
  <c r="BK102" i="3"/>
  <c r="BJ102" i="3"/>
  <c r="BI102" i="3"/>
  <c r="BH102" i="3"/>
  <c r="BG102" i="3"/>
  <c r="BF102" i="3"/>
  <c r="BE102" i="3"/>
  <c r="BD102" i="3"/>
  <c r="BC102" i="3"/>
  <c r="BB102" i="3"/>
  <c r="BA102" i="3"/>
  <c r="AX102" i="3"/>
  <c r="AW102" i="3"/>
  <c r="AV102" i="3"/>
  <c r="AC102" i="3"/>
  <c r="H102" i="3"/>
  <c r="G102" i="3"/>
  <c r="BL101" i="3"/>
  <c r="BK101" i="3"/>
  <c r="BJ101" i="3"/>
  <c r="BI101" i="3"/>
  <c r="BH101" i="3"/>
  <c r="BG101" i="3"/>
  <c r="BF101" i="3"/>
  <c r="BE101" i="3"/>
  <c r="BD101" i="3"/>
  <c r="BC101" i="3"/>
  <c r="BB101" i="3"/>
  <c r="BA101" i="3"/>
  <c r="AX101" i="3"/>
  <c r="AW101" i="3"/>
  <c r="AV101" i="3"/>
  <c r="AC101" i="3"/>
  <c r="H101" i="3"/>
  <c r="G101" i="3"/>
  <c r="BL100" i="3"/>
  <c r="BK100" i="3"/>
  <c r="BJ100" i="3"/>
  <c r="BI100" i="3"/>
  <c r="BH100" i="3"/>
  <c r="BG100" i="3"/>
  <c r="BF100" i="3"/>
  <c r="BE100" i="3"/>
  <c r="BD100" i="3"/>
  <c r="BC100" i="3"/>
  <c r="BB100" i="3"/>
  <c r="BA100" i="3"/>
  <c r="AZ100" i="3"/>
  <c r="AX100" i="3"/>
  <c r="AW100" i="3"/>
  <c r="AV100" i="3"/>
  <c r="AC100" i="3"/>
  <c r="H100" i="3"/>
  <c r="G100" i="3"/>
  <c r="BL99" i="3"/>
  <c r="BK99" i="3"/>
  <c r="BJ99" i="3"/>
  <c r="BI99" i="3"/>
  <c r="BH99" i="3"/>
  <c r="BG99" i="3"/>
  <c r="BF99" i="3"/>
  <c r="BE99" i="3"/>
  <c r="BD99" i="3"/>
  <c r="BC99" i="3"/>
  <c r="BB99" i="3"/>
  <c r="BA99" i="3"/>
  <c r="AZ99" i="3"/>
  <c r="AX99" i="3"/>
  <c r="AW99" i="3"/>
  <c r="AV99" i="3"/>
  <c r="AC99" i="3"/>
  <c r="H99" i="3"/>
  <c r="G99" i="3"/>
  <c r="BL98" i="3"/>
  <c r="BK98" i="3"/>
  <c r="BJ98" i="3"/>
  <c r="BI98" i="3"/>
  <c r="BH98" i="3"/>
  <c r="BG98" i="3"/>
  <c r="BF98" i="3"/>
  <c r="BE98" i="3"/>
  <c r="BD98" i="3"/>
  <c r="BC98" i="3"/>
  <c r="BB98" i="3"/>
  <c r="BA98" i="3"/>
  <c r="AZ98" i="3"/>
  <c r="AX98" i="3"/>
  <c r="AW98" i="3"/>
  <c r="AV98" i="3"/>
  <c r="AC98" i="3"/>
  <c r="H98" i="3"/>
  <c r="G98" i="3"/>
  <c r="BL97" i="3"/>
  <c r="BK97" i="3"/>
  <c r="BJ97" i="3"/>
  <c r="BI97" i="3"/>
  <c r="BH97" i="3"/>
  <c r="BG97" i="3"/>
  <c r="BF97" i="3"/>
  <c r="BE97" i="3"/>
  <c r="BD97" i="3"/>
  <c r="BC97" i="3"/>
  <c r="BB97" i="3"/>
  <c r="BA97" i="3"/>
  <c r="AX97" i="3"/>
  <c r="AW97" i="3"/>
  <c r="AV97" i="3"/>
  <c r="AC97" i="3"/>
  <c r="H97" i="3"/>
  <c r="G97" i="3"/>
  <c r="BL96" i="3"/>
  <c r="BK96" i="3"/>
  <c r="BJ96" i="3"/>
  <c r="BI96" i="3"/>
  <c r="BH96" i="3"/>
  <c r="BG96" i="3"/>
  <c r="BF96" i="3"/>
  <c r="BE96" i="3"/>
  <c r="BD96" i="3"/>
  <c r="BC96" i="3"/>
  <c r="BB96" i="3"/>
  <c r="BA96" i="3"/>
  <c r="AZ96" i="3"/>
  <c r="AX96" i="3"/>
  <c r="AW96" i="3"/>
  <c r="AV96" i="3"/>
  <c r="AC96" i="3"/>
  <c r="H96" i="3"/>
  <c r="G96" i="3"/>
  <c r="BL95" i="3"/>
  <c r="BK95" i="3"/>
  <c r="BJ95" i="3"/>
  <c r="BI95" i="3"/>
  <c r="BH95" i="3"/>
  <c r="BG95" i="3"/>
  <c r="BF95" i="3"/>
  <c r="BE95" i="3"/>
  <c r="BD95" i="3"/>
  <c r="BC95" i="3"/>
  <c r="BB95" i="3"/>
  <c r="BA95" i="3"/>
  <c r="AZ95" i="3"/>
  <c r="AX95" i="3"/>
  <c r="AW95" i="3"/>
  <c r="AV95" i="3"/>
  <c r="AC95" i="3"/>
  <c r="H95" i="3"/>
  <c r="G95" i="3"/>
  <c r="BL94" i="3"/>
  <c r="BK94" i="3"/>
  <c r="BJ94" i="3"/>
  <c r="BI94" i="3"/>
  <c r="BH94" i="3"/>
  <c r="BG94" i="3"/>
  <c r="BF94" i="3"/>
  <c r="BE94" i="3"/>
  <c r="BD94" i="3"/>
  <c r="BC94" i="3"/>
  <c r="BB94" i="3"/>
  <c r="BA94" i="3"/>
  <c r="AX94" i="3"/>
  <c r="AW94" i="3"/>
  <c r="AV94" i="3"/>
  <c r="AC94" i="3"/>
  <c r="H94" i="3"/>
  <c r="G94" i="3"/>
  <c r="BL93" i="3"/>
  <c r="BK93" i="3"/>
  <c r="BJ93" i="3"/>
  <c r="BI93" i="3"/>
  <c r="BH93" i="3"/>
  <c r="BG93" i="3"/>
  <c r="BF93" i="3"/>
  <c r="BE93" i="3"/>
  <c r="BD93" i="3"/>
  <c r="BC93" i="3"/>
  <c r="BB93" i="3"/>
  <c r="BA93" i="3"/>
  <c r="AX93" i="3"/>
  <c r="AW93" i="3"/>
  <c r="AV93" i="3"/>
  <c r="AC93" i="3"/>
  <c r="H93" i="3"/>
  <c r="G93" i="3"/>
  <c r="BL92" i="3"/>
  <c r="BK92" i="3"/>
  <c r="BJ92" i="3"/>
  <c r="BI92" i="3"/>
  <c r="BH92" i="3"/>
  <c r="BG92" i="3"/>
  <c r="BF92" i="3"/>
  <c r="BE92" i="3"/>
  <c r="BD92" i="3"/>
  <c r="BC92" i="3"/>
  <c r="BB92" i="3"/>
  <c r="BA92" i="3"/>
  <c r="AZ92" i="3"/>
  <c r="AX92" i="3"/>
  <c r="AW92" i="3"/>
  <c r="AV92" i="3"/>
  <c r="AC92" i="3"/>
  <c r="H92" i="3"/>
  <c r="G92" i="3"/>
  <c r="BL91" i="3"/>
  <c r="BK91" i="3"/>
  <c r="BJ91" i="3"/>
  <c r="BI91" i="3"/>
  <c r="BH91" i="3"/>
  <c r="BG91" i="3"/>
  <c r="BF91" i="3"/>
  <c r="BE91" i="3"/>
  <c r="BD91" i="3"/>
  <c r="BC91" i="3"/>
  <c r="BB91" i="3"/>
  <c r="BA91" i="3"/>
  <c r="AZ91" i="3"/>
  <c r="AX91" i="3"/>
  <c r="AW91" i="3"/>
  <c r="AV91" i="3"/>
  <c r="AC91" i="3"/>
  <c r="H91" i="3"/>
  <c r="G91" i="3"/>
  <c r="BL90" i="3"/>
  <c r="BK90" i="3"/>
  <c r="BJ90" i="3"/>
  <c r="BI90" i="3"/>
  <c r="BH90" i="3"/>
  <c r="BG90" i="3"/>
  <c r="BF90" i="3"/>
  <c r="BE90" i="3"/>
  <c r="BD90" i="3"/>
  <c r="BC90" i="3"/>
  <c r="BB90" i="3"/>
  <c r="BA90" i="3"/>
  <c r="AZ90" i="3"/>
  <c r="AX90" i="3"/>
  <c r="AW90" i="3"/>
  <c r="AV90" i="3"/>
  <c r="AC90" i="3"/>
  <c r="H90" i="3"/>
  <c r="G90" i="3"/>
  <c r="BL89" i="3"/>
  <c r="BK89" i="3"/>
  <c r="BJ89" i="3"/>
  <c r="BI89" i="3"/>
  <c r="BH89" i="3"/>
  <c r="BG89" i="3"/>
  <c r="BF89" i="3"/>
  <c r="BE89" i="3"/>
  <c r="BD89" i="3"/>
  <c r="BC89" i="3"/>
  <c r="BB89" i="3"/>
  <c r="BA89" i="3"/>
  <c r="AX89" i="3"/>
  <c r="AW89" i="3"/>
  <c r="AV89" i="3"/>
  <c r="AC89" i="3"/>
  <c r="H89" i="3"/>
  <c r="G89" i="3"/>
  <c r="BL88" i="3"/>
  <c r="BK88" i="3"/>
  <c r="BJ88" i="3"/>
  <c r="BI88" i="3"/>
  <c r="BH88" i="3"/>
  <c r="BG88" i="3"/>
  <c r="BF88" i="3"/>
  <c r="BE88" i="3"/>
  <c r="BD88" i="3"/>
  <c r="BC88" i="3"/>
  <c r="BB88" i="3"/>
  <c r="BA88" i="3"/>
  <c r="AX88" i="3"/>
  <c r="AW88" i="3"/>
  <c r="AV88" i="3"/>
  <c r="AC88" i="3"/>
  <c r="H88" i="3"/>
  <c r="G88" i="3"/>
  <c r="BL87" i="3"/>
  <c r="BK87" i="3"/>
  <c r="BJ87" i="3"/>
  <c r="BI87" i="3"/>
  <c r="BH87" i="3"/>
  <c r="BG87" i="3"/>
  <c r="BF87" i="3"/>
  <c r="BE87" i="3"/>
  <c r="BD87" i="3"/>
  <c r="BC87" i="3"/>
  <c r="BB87" i="3"/>
  <c r="BA87" i="3"/>
  <c r="AZ87" i="3"/>
  <c r="AX87" i="3"/>
  <c r="AW87" i="3"/>
  <c r="AV87" i="3"/>
  <c r="AC87" i="3"/>
  <c r="H87" i="3"/>
  <c r="G87" i="3"/>
  <c r="BL86" i="3"/>
  <c r="BK86" i="3"/>
  <c r="BJ86" i="3"/>
  <c r="BI86" i="3"/>
  <c r="BH86" i="3"/>
  <c r="BG86" i="3"/>
  <c r="BF86" i="3"/>
  <c r="BE86" i="3"/>
  <c r="BD86" i="3"/>
  <c r="BC86" i="3"/>
  <c r="BB86" i="3"/>
  <c r="BA86" i="3"/>
  <c r="AX86" i="3"/>
  <c r="AW86" i="3"/>
  <c r="AV86" i="3"/>
  <c r="AC86" i="3"/>
  <c r="H86" i="3"/>
  <c r="G86" i="3"/>
  <c r="BL85" i="3"/>
  <c r="BK85" i="3"/>
  <c r="BJ85" i="3"/>
  <c r="BI85" i="3"/>
  <c r="BH85" i="3"/>
  <c r="BG85" i="3"/>
  <c r="BF85" i="3"/>
  <c r="BE85" i="3"/>
  <c r="BD85" i="3"/>
  <c r="BC85" i="3"/>
  <c r="BB85" i="3"/>
  <c r="BA85" i="3"/>
  <c r="AX85" i="3"/>
  <c r="AW85" i="3"/>
  <c r="AV85" i="3"/>
  <c r="AC85" i="3"/>
  <c r="H85" i="3"/>
  <c r="G85" i="3"/>
  <c r="BL84" i="3"/>
  <c r="BK84" i="3"/>
  <c r="BJ84" i="3"/>
  <c r="BI84" i="3"/>
  <c r="BH84" i="3"/>
  <c r="BG84" i="3"/>
  <c r="BF84" i="3"/>
  <c r="BE84" i="3"/>
  <c r="BD84" i="3"/>
  <c r="BC84" i="3"/>
  <c r="BB84" i="3"/>
  <c r="BA84" i="3"/>
  <c r="AX84" i="3"/>
  <c r="AW84" i="3"/>
  <c r="AV84" i="3"/>
  <c r="AC84" i="3"/>
  <c r="H84" i="3"/>
  <c r="G84" i="3"/>
  <c r="BL83" i="3"/>
  <c r="BK83" i="3"/>
  <c r="BJ83" i="3"/>
  <c r="BI83" i="3"/>
  <c r="BH83" i="3"/>
  <c r="BG83" i="3"/>
  <c r="BF83" i="3"/>
  <c r="BE83" i="3"/>
  <c r="BD83" i="3"/>
  <c r="BC83" i="3"/>
  <c r="BB83" i="3"/>
  <c r="BA83" i="3"/>
  <c r="AX83" i="3"/>
  <c r="AW83" i="3"/>
  <c r="AV83" i="3"/>
  <c r="AC83" i="3"/>
  <c r="H83" i="3"/>
  <c r="G83" i="3"/>
  <c r="BL82" i="3"/>
  <c r="BK82" i="3"/>
  <c r="BJ82" i="3"/>
  <c r="BI82" i="3"/>
  <c r="BH82" i="3"/>
  <c r="BG82" i="3"/>
  <c r="BF82" i="3"/>
  <c r="BE82" i="3"/>
  <c r="BD82" i="3"/>
  <c r="BC82" i="3"/>
  <c r="BB82" i="3"/>
  <c r="BA82" i="3"/>
  <c r="AX82" i="3"/>
  <c r="AW82" i="3"/>
  <c r="AV82" i="3"/>
  <c r="AC82" i="3"/>
  <c r="H82" i="3"/>
  <c r="G82" i="3"/>
  <c r="BL81" i="3"/>
  <c r="BK81" i="3"/>
  <c r="BJ81" i="3"/>
  <c r="BI81" i="3"/>
  <c r="BH81" i="3"/>
  <c r="BG81" i="3"/>
  <c r="BF81" i="3"/>
  <c r="BE81" i="3"/>
  <c r="BD81" i="3"/>
  <c r="BC81" i="3"/>
  <c r="BB81" i="3"/>
  <c r="BA81" i="3"/>
  <c r="AZ81" i="3"/>
  <c r="AX81" i="3"/>
  <c r="AW81" i="3"/>
  <c r="AV81" i="3"/>
  <c r="AC81" i="3"/>
  <c r="H81" i="3"/>
  <c r="G81" i="3"/>
  <c r="BL80" i="3"/>
  <c r="BK80" i="3"/>
  <c r="BJ80" i="3"/>
  <c r="BI80" i="3"/>
  <c r="BH80" i="3"/>
  <c r="BG80" i="3"/>
  <c r="BF80" i="3"/>
  <c r="BE80" i="3"/>
  <c r="BD80" i="3"/>
  <c r="BC80" i="3"/>
  <c r="BB80" i="3"/>
  <c r="BA80" i="3"/>
  <c r="AX80" i="3"/>
  <c r="AW80" i="3"/>
  <c r="AV80" i="3"/>
  <c r="AC80" i="3"/>
  <c r="H80" i="3"/>
  <c r="G80" i="3"/>
  <c r="BL79" i="3"/>
  <c r="BK79" i="3"/>
  <c r="BJ79" i="3"/>
  <c r="BI79" i="3"/>
  <c r="BH79" i="3"/>
  <c r="BG79" i="3"/>
  <c r="BF79" i="3"/>
  <c r="BE79" i="3"/>
  <c r="BD79" i="3"/>
  <c r="BC79" i="3"/>
  <c r="BB79" i="3"/>
  <c r="BA79" i="3"/>
  <c r="AX79" i="3"/>
  <c r="AW79" i="3"/>
  <c r="AV79" i="3"/>
  <c r="AC79" i="3"/>
  <c r="H79" i="3"/>
  <c r="G79" i="3"/>
  <c r="BL78" i="3"/>
  <c r="BK78" i="3"/>
  <c r="BJ78" i="3"/>
  <c r="BI78" i="3"/>
  <c r="BH78" i="3"/>
  <c r="BG78" i="3"/>
  <c r="BF78" i="3"/>
  <c r="BE78" i="3"/>
  <c r="BD78" i="3"/>
  <c r="BC78" i="3"/>
  <c r="BB78" i="3"/>
  <c r="BA78" i="3"/>
  <c r="AZ78" i="3"/>
  <c r="AX78" i="3"/>
  <c r="AW78" i="3"/>
  <c r="AV78" i="3"/>
  <c r="AC78" i="3"/>
  <c r="H78" i="3"/>
  <c r="G78" i="3"/>
  <c r="BL77" i="3"/>
  <c r="BK77" i="3"/>
  <c r="BJ77" i="3"/>
  <c r="BI77" i="3"/>
  <c r="BH77" i="3"/>
  <c r="BG77" i="3"/>
  <c r="BF77" i="3"/>
  <c r="BE77" i="3"/>
  <c r="BD77" i="3"/>
  <c r="BC77" i="3"/>
  <c r="BB77" i="3"/>
  <c r="BA77" i="3"/>
  <c r="AX77" i="3"/>
  <c r="AW77" i="3"/>
  <c r="AV77" i="3"/>
  <c r="AC77" i="3"/>
  <c r="H77" i="3"/>
  <c r="G77" i="3"/>
  <c r="BL76" i="3"/>
  <c r="BK76" i="3"/>
  <c r="BJ76" i="3"/>
  <c r="BI76" i="3"/>
  <c r="BH76" i="3"/>
  <c r="BG76" i="3"/>
  <c r="BF76" i="3"/>
  <c r="BE76" i="3"/>
  <c r="BD76" i="3"/>
  <c r="BC76" i="3"/>
  <c r="BB76" i="3"/>
  <c r="BA76" i="3"/>
  <c r="AZ76" i="3"/>
  <c r="AX76" i="3"/>
  <c r="AW76" i="3"/>
  <c r="AV76" i="3"/>
  <c r="AC76" i="3"/>
  <c r="H76" i="3"/>
  <c r="G76" i="3"/>
  <c r="BL75" i="3"/>
  <c r="BK75" i="3"/>
  <c r="BJ75" i="3"/>
  <c r="BI75" i="3"/>
  <c r="BH75" i="3"/>
  <c r="BG75" i="3"/>
  <c r="BF75" i="3"/>
  <c r="BE75" i="3"/>
  <c r="BD75" i="3"/>
  <c r="BC75" i="3"/>
  <c r="BB75" i="3"/>
  <c r="BA75" i="3"/>
  <c r="AX75" i="3"/>
  <c r="AW75" i="3"/>
  <c r="AV75" i="3"/>
  <c r="AC75" i="3"/>
  <c r="H75" i="3"/>
  <c r="G75" i="3"/>
  <c r="BL74" i="3"/>
  <c r="BK74" i="3"/>
  <c r="BJ74" i="3"/>
  <c r="BI74" i="3"/>
  <c r="BH74" i="3"/>
  <c r="BG74" i="3"/>
  <c r="BF74" i="3"/>
  <c r="BE74" i="3"/>
  <c r="BD74" i="3"/>
  <c r="BC74" i="3"/>
  <c r="BB74" i="3"/>
  <c r="BA74" i="3"/>
  <c r="AX74" i="3"/>
  <c r="AW74" i="3"/>
  <c r="AV74" i="3"/>
  <c r="AC74" i="3"/>
  <c r="H74" i="3"/>
  <c r="G74" i="3"/>
  <c r="BL73" i="3"/>
  <c r="BK73" i="3"/>
  <c r="BJ73" i="3"/>
  <c r="BI73" i="3"/>
  <c r="BH73" i="3"/>
  <c r="BG73" i="3"/>
  <c r="BF73" i="3"/>
  <c r="BE73" i="3"/>
  <c r="BD73" i="3"/>
  <c r="BC73" i="3"/>
  <c r="BB73" i="3"/>
  <c r="BA73" i="3"/>
  <c r="AZ73" i="3"/>
  <c r="AX73" i="3"/>
  <c r="AW73" i="3"/>
  <c r="AV73" i="3"/>
  <c r="AC73" i="3"/>
  <c r="H73" i="3"/>
  <c r="G73" i="3"/>
  <c r="BL72" i="3"/>
  <c r="BK72" i="3"/>
  <c r="BJ72" i="3"/>
  <c r="BI72" i="3"/>
  <c r="BH72" i="3"/>
  <c r="BG72" i="3"/>
  <c r="BF72" i="3"/>
  <c r="BE72" i="3"/>
  <c r="BD72" i="3"/>
  <c r="BC72" i="3"/>
  <c r="BB72" i="3"/>
  <c r="BA72" i="3"/>
  <c r="AX72" i="3"/>
  <c r="AW72" i="3"/>
  <c r="AV72" i="3"/>
  <c r="AC72" i="3"/>
  <c r="H72" i="3"/>
  <c r="G72" i="3"/>
  <c r="BL71" i="3"/>
  <c r="BK71" i="3"/>
  <c r="BJ71" i="3"/>
  <c r="BI71" i="3"/>
  <c r="BH71" i="3"/>
  <c r="BG71" i="3"/>
  <c r="BF71" i="3"/>
  <c r="BE71" i="3"/>
  <c r="BD71" i="3"/>
  <c r="BC71" i="3"/>
  <c r="BB71" i="3"/>
  <c r="BA71" i="3"/>
  <c r="AX71" i="3"/>
  <c r="AW71" i="3"/>
  <c r="AV71" i="3"/>
  <c r="AC71" i="3"/>
  <c r="H71" i="3"/>
  <c r="G71" i="3"/>
  <c r="BL70" i="3"/>
  <c r="BK70" i="3"/>
  <c r="BJ70" i="3"/>
  <c r="BI70" i="3"/>
  <c r="BH70" i="3"/>
  <c r="BG70" i="3"/>
  <c r="BF70" i="3"/>
  <c r="BE70" i="3"/>
  <c r="BD70" i="3"/>
  <c r="BC70" i="3"/>
  <c r="BB70" i="3"/>
  <c r="BA70" i="3"/>
  <c r="AZ70" i="3"/>
  <c r="AX70" i="3"/>
  <c r="AW70" i="3"/>
  <c r="AV70" i="3"/>
  <c r="AC70" i="3"/>
  <c r="H70" i="3"/>
  <c r="G70" i="3"/>
  <c r="BL69" i="3"/>
  <c r="BK69" i="3"/>
  <c r="BJ69" i="3"/>
  <c r="BI69" i="3"/>
  <c r="BH69" i="3"/>
  <c r="BG69" i="3"/>
  <c r="BF69" i="3"/>
  <c r="BE69" i="3"/>
  <c r="BD69" i="3"/>
  <c r="BC69" i="3"/>
  <c r="BB69" i="3"/>
  <c r="BA69" i="3"/>
  <c r="AX69" i="3"/>
  <c r="AW69" i="3"/>
  <c r="AV69" i="3"/>
  <c r="AC69" i="3"/>
  <c r="H69" i="3"/>
  <c r="G69" i="3"/>
  <c r="BL68" i="3"/>
  <c r="BK68" i="3"/>
  <c r="BJ68" i="3"/>
  <c r="BI68" i="3"/>
  <c r="BH68" i="3"/>
  <c r="BG68" i="3"/>
  <c r="BF68" i="3"/>
  <c r="BE68" i="3"/>
  <c r="BD68" i="3"/>
  <c r="BC68" i="3"/>
  <c r="BB68" i="3"/>
  <c r="BA68" i="3"/>
  <c r="AZ68" i="3"/>
  <c r="AX68" i="3"/>
  <c r="AW68" i="3"/>
  <c r="AV68" i="3"/>
  <c r="AC68" i="3"/>
  <c r="H68" i="3"/>
  <c r="G68" i="3"/>
  <c r="BL67" i="3"/>
  <c r="BK67" i="3"/>
  <c r="BJ67" i="3"/>
  <c r="BI67" i="3"/>
  <c r="BH67" i="3"/>
  <c r="BG67" i="3"/>
  <c r="BF67" i="3"/>
  <c r="BE67" i="3"/>
  <c r="BD67" i="3"/>
  <c r="BC67" i="3"/>
  <c r="BB67" i="3"/>
  <c r="BA67" i="3"/>
  <c r="AX67" i="3"/>
  <c r="AW67" i="3"/>
  <c r="AV67" i="3"/>
  <c r="AC67" i="3"/>
  <c r="H67" i="3"/>
  <c r="G67" i="3"/>
  <c r="BL66" i="3"/>
  <c r="BK66" i="3"/>
  <c r="BJ66" i="3"/>
  <c r="BI66" i="3"/>
  <c r="BH66" i="3"/>
  <c r="BG66" i="3"/>
  <c r="BF66" i="3"/>
  <c r="BE66" i="3"/>
  <c r="BD66" i="3"/>
  <c r="BC66" i="3"/>
  <c r="BB66" i="3"/>
  <c r="BA66" i="3"/>
  <c r="AX66" i="3"/>
  <c r="AW66" i="3"/>
  <c r="AV66" i="3"/>
  <c r="AC66" i="3"/>
  <c r="H66" i="3"/>
  <c r="G66" i="3"/>
  <c r="BL65" i="3"/>
  <c r="BK65" i="3"/>
  <c r="BJ65" i="3"/>
  <c r="BI65" i="3"/>
  <c r="BH65" i="3"/>
  <c r="BG65" i="3"/>
  <c r="BF65" i="3"/>
  <c r="BE65" i="3"/>
  <c r="BD65" i="3"/>
  <c r="BC65" i="3"/>
  <c r="BB65" i="3"/>
  <c r="BA65" i="3"/>
  <c r="AZ65" i="3"/>
  <c r="AX65" i="3"/>
  <c r="AW65" i="3"/>
  <c r="AV65" i="3"/>
  <c r="AC65" i="3"/>
  <c r="H65" i="3"/>
  <c r="G65" i="3"/>
  <c r="BL64" i="3"/>
  <c r="BK64" i="3"/>
  <c r="BJ64" i="3"/>
  <c r="BI64" i="3"/>
  <c r="BH64" i="3"/>
  <c r="BG64" i="3"/>
  <c r="BF64" i="3"/>
  <c r="BE64" i="3"/>
  <c r="BD64" i="3"/>
  <c r="BC64" i="3"/>
  <c r="BB64" i="3"/>
  <c r="BA64" i="3"/>
  <c r="AZ64" i="3"/>
  <c r="AX64" i="3"/>
  <c r="AW64" i="3"/>
  <c r="AV64" i="3"/>
  <c r="AC64" i="3"/>
  <c r="H64" i="3"/>
  <c r="G64" i="3"/>
  <c r="BL63" i="3"/>
  <c r="BK63" i="3"/>
  <c r="BJ63" i="3"/>
  <c r="BI63" i="3"/>
  <c r="BH63" i="3"/>
  <c r="BG63" i="3"/>
  <c r="BF63" i="3"/>
  <c r="BE63" i="3"/>
  <c r="BD63" i="3"/>
  <c r="BC63" i="3"/>
  <c r="BB63" i="3"/>
  <c r="BA63" i="3"/>
  <c r="AX63" i="3"/>
  <c r="AW63" i="3"/>
  <c r="AV63" i="3"/>
  <c r="AC63" i="3"/>
  <c r="H63" i="3"/>
  <c r="G63" i="3"/>
  <c r="BL62" i="3"/>
  <c r="BK62" i="3"/>
  <c r="BJ62" i="3"/>
  <c r="BI62" i="3"/>
  <c r="BH62" i="3"/>
  <c r="BG62" i="3"/>
  <c r="BF62" i="3"/>
  <c r="BE62" i="3"/>
  <c r="BD62" i="3"/>
  <c r="BC62" i="3"/>
  <c r="BB62" i="3"/>
  <c r="BA62" i="3"/>
  <c r="AZ62" i="3"/>
  <c r="AX62" i="3"/>
  <c r="AW62" i="3"/>
  <c r="AV62" i="3"/>
  <c r="AC62" i="3"/>
  <c r="H62" i="3"/>
  <c r="G62" i="3"/>
  <c r="BL61" i="3"/>
  <c r="BK61" i="3"/>
  <c r="BJ61" i="3"/>
  <c r="BI61" i="3"/>
  <c r="BH61" i="3"/>
  <c r="BG61" i="3"/>
  <c r="BF61" i="3"/>
  <c r="BE61" i="3"/>
  <c r="BD61" i="3"/>
  <c r="BC61" i="3"/>
  <c r="BB61" i="3"/>
  <c r="BA61" i="3"/>
  <c r="AX61" i="3"/>
  <c r="AW61" i="3"/>
  <c r="AV61" i="3"/>
  <c r="AC61" i="3"/>
  <c r="H61" i="3"/>
  <c r="G61" i="3"/>
  <c r="BL60" i="3"/>
  <c r="BK60" i="3"/>
  <c r="BJ60" i="3"/>
  <c r="BI60" i="3"/>
  <c r="BH60" i="3"/>
  <c r="BG60" i="3"/>
  <c r="BF60" i="3"/>
  <c r="BE60" i="3"/>
  <c r="BD60" i="3"/>
  <c r="BC60" i="3"/>
  <c r="BB60" i="3"/>
  <c r="BA60" i="3"/>
  <c r="AZ60" i="3"/>
  <c r="AX60" i="3"/>
  <c r="AW60" i="3"/>
  <c r="AV60" i="3"/>
  <c r="AC60" i="3"/>
  <c r="H60" i="3"/>
  <c r="G60" i="3"/>
  <c r="BL59" i="3"/>
  <c r="BK59" i="3"/>
  <c r="BJ59" i="3"/>
  <c r="BI59" i="3"/>
  <c r="BH59" i="3"/>
  <c r="BG59" i="3"/>
  <c r="BF59" i="3"/>
  <c r="BE59" i="3"/>
  <c r="BD59" i="3"/>
  <c r="BC59" i="3"/>
  <c r="BB59" i="3"/>
  <c r="BA59" i="3"/>
  <c r="AX59" i="3"/>
  <c r="AW59" i="3"/>
  <c r="AV59" i="3"/>
  <c r="AC59" i="3"/>
  <c r="H59" i="3"/>
  <c r="G59" i="3"/>
  <c r="BL58" i="3"/>
  <c r="BK58" i="3"/>
  <c r="BJ58" i="3"/>
  <c r="BI58" i="3"/>
  <c r="BH58" i="3"/>
  <c r="BG58" i="3"/>
  <c r="BF58" i="3"/>
  <c r="BE58" i="3"/>
  <c r="BD58" i="3"/>
  <c r="BC58" i="3"/>
  <c r="BB58" i="3"/>
  <c r="BA58" i="3"/>
  <c r="AX58" i="3"/>
  <c r="AW58" i="3"/>
  <c r="AV58" i="3"/>
  <c r="AC58" i="3"/>
  <c r="H58" i="3"/>
  <c r="G58" i="3"/>
  <c r="BL57" i="3"/>
  <c r="BK57" i="3"/>
  <c r="BJ57" i="3"/>
  <c r="BI57" i="3"/>
  <c r="BH57" i="3"/>
  <c r="BG57" i="3"/>
  <c r="BF57" i="3"/>
  <c r="BE57" i="3"/>
  <c r="BD57" i="3"/>
  <c r="BC57" i="3"/>
  <c r="BB57" i="3"/>
  <c r="BA57" i="3"/>
  <c r="AZ57" i="3"/>
  <c r="AX57" i="3"/>
  <c r="AW57" i="3"/>
  <c r="AV57" i="3"/>
  <c r="AC57" i="3"/>
  <c r="H57" i="3"/>
  <c r="G57" i="3"/>
  <c r="BL56" i="3"/>
  <c r="BK56" i="3"/>
  <c r="BJ56" i="3"/>
  <c r="BI56" i="3"/>
  <c r="BH56" i="3"/>
  <c r="BG56" i="3"/>
  <c r="BF56" i="3"/>
  <c r="BE56" i="3"/>
  <c r="BD56" i="3"/>
  <c r="BC56" i="3"/>
  <c r="BB56" i="3"/>
  <c r="BA56" i="3"/>
  <c r="AZ56" i="3"/>
  <c r="AX56" i="3"/>
  <c r="AW56" i="3"/>
  <c r="AV56" i="3"/>
  <c r="AC56" i="3"/>
  <c r="H56" i="3"/>
  <c r="G56" i="3"/>
  <c r="BL55" i="3"/>
  <c r="BK55" i="3"/>
  <c r="BJ55" i="3"/>
  <c r="BI55" i="3"/>
  <c r="BH55" i="3"/>
  <c r="BG55" i="3"/>
  <c r="BF55" i="3"/>
  <c r="BE55" i="3"/>
  <c r="BD55" i="3"/>
  <c r="BC55" i="3"/>
  <c r="BB55" i="3"/>
  <c r="BA55" i="3"/>
  <c r="AX55" i="3"/>
  <c r="AW55" i="3"/>
  <c r="AV55" i="3"/>
  <c r="AC55" i="3"/>
  <c r="H55" i="3"/>
  <c r="G55" i="3"/>
  <c r="BL54" i="3"/>
  <c r="BK54" i="3"/>
  <c r="BJ54" i="3"/>
  <c r="BI54" i="3"/>
  <c r="BH54" i="3"/>
  <c r="BG54" i="3"/>
  <c r="BF54" i="3"/>
  <c r="BE54" i="3"/>
  <c r="BD54" i="3"/>
  <c r="BC54" i="3"/>
  <c r="BB54" i="3"/>
  <c r="BA54" i="3"/>
  <c r="AZ54" i="3"/>
  <c r="AX54" i="3"/>
  <c r="AW54" i="3"/>
  <c r="AV54" i="3"/>
  <c r="AC54" i="3"/>
  <c r="H54" i="3"/>
  <c r="G54" i="3"/>
  <c r="BL53" i="3"/>
  <c r="BK53" i="3"/>
  <c r="BJ53" i="3"/>
  <c r="BI53" i="3"/>
  <c r="BH53" i="3"/>
  <c r="BG53" i="3"/>
  <c r="BF53" i="3"/>
  <c r="BE53" i="3"/>
  <c r="BD53" i="3"/>
  <c r="BC53" i="3"/>
  <c r="BB53" i="3"/>
  <c r="BA53" i="3"/>
  <c r="AX53" i="3"/>
  <c r="AW53" i="3"/>
  <c r="AV53" i="3"/>
  <c r="AC53" i="3"/>
  <c r="H53" i="3"/>
  <c r="G53" i="3"/>
  <c r="BL52" i="3"/>
  <c r="BK52" i="3"/>
  <c r="BJ52" i="3"/>
  <c r="BI52" i="3"/>
  <c r="BH52" i="3"/>
  <c r="BG52" i="3"/>
  <c r="BF52" i="3"/>
  <c r="BE52" i="3"/>
  <c r="BD52" i="3"/>
  <c r="BC52" i="3"/>
  <c r="BB52" i="3"/>
  <c r="BA52" i="3"/>
  <c r="AZ52" i="3"/>
  <c r="AX52" i="3"/>
  <c r="AW52" i="3"/>
  <c r="AV52" i="3"/>
  <c r="AC52" i="3"/>
  <c r="H52" i="3"/>
  <c r="G52" i="3"/>
  <c r="BL51" i="3"/>
  <c r="BK51" i="3"/>
  <c r="BJ51" i="3"/>
  <c r="BI51" i="3"/>
  <c r="BH51" i="3"/>
  <c r="BG51" i="3"/>
  <c r="BF51" i="3"/>
  <c r="BE51" i="3"/>
  <c r="BD51" i="3"/>
  <c r="BC51" i="3"/>
  <c r="BB51" i="3"/>
  <c r="BA51" i="3"/>
  <c r="AX51" i="3"/>
  <c r="AW51" i="3"/>
  <c r="AV51" i="3"/>
  <c r="AC51" i="3"/>
  <c r="H51" i="3"/>
  <c r="G51" i="3"/>
  <c r="BL50" i="3"/>
  <c r="BK50" i="3"/>
  <c r="BJ50" i="3"/>
  <c r="BI50" i="3"/>
  <c r="BH50" i="3"/>
  <c r="BG50" i="3"/>
  <c r="BF50" i="3"/>
  <c r="BE50" i="3"/>
  <c r="BD50" i="3"/>
  <c r="BC50" i="3"/>
  <c r="BB50" i="3"/>
  <c r="BA50" i="3"/>
  <c r="AX50" i="3"/>
  <c r="AW50" i="3"/>
  <c r="AV50" i="3"/>
  <c r="AC50" i="3"/>
  <c r="H50" i="3"/>
  <c r="G50" i="3"/>
  <c r="BL49" i="3"/>
  <c r="BK49" i="3"/>
  <c r="BJ49" i="3"/>
  <c r="BI49" i="3"/>
  <c r="BH49" i="3"/>
  <c r="BG49" i="3"/>
  <c r="BF49" i="3"/>
  <c r="BE49" i="3"/>
  <c r="BD49" i="3"/>
  <c r="BC49" i="3"/>
  <c r="BB49" i="3"/>
  <c r="BA49" i="3"/>
  <c r="AZ49" i="3"/>
  <c r="AX49" i="3"/>
  <c r="AW49" i="3"/>
  <c r="AV49" i="3"/>
  <c r="AC49" i="3"/>
  <c r="H49" i="3"/>
  <c r="G49" i="3"/>
  <c r="BL48" i="3"/>
  <c r="BK48" i="3"/>
  <c r="BJ48" i="3"/>
  <c r="BI48" i="3"/>
  <c r="BH48" i="3"/>
  <c r="BG48" i="3"/>
  <c r="BF48" i="3"/>
  <c r="BE48" i="3"/>
  <c r="BD48" i="3"/>
  <c r="BC48" i="3"/>
  <c r="BB48" i="3"/>
  <c r="BA48" i="3"/>
  <c r="AZ48" i="3"/>
  <c r="AX48" i="3"/>
  <c r="AW48" i="3"/>
  <c r="AV48" i="3"/>
  <c r="AC48" i="3"/>
  <c r="H48" i="3"/>
  <c r="G48" i="3"/>
  <c r="BL47" i="3"/>
  <c r="BK47" i="3"/>
  <c r="BJ47" i="3"/>
  <c r="BI47" i="3"/>
  <c r="BH47" i="3"/>
  <c r="BG47" i="3"/>
  <c r="BF47" i="3"/>
  <c r="BE47" i="3"/>
  <c r="BD47" i="3"/>
  <c r="BC47" i="3"/>
  <c r="BB47" i="3"/>
  <c r="BA47" i="3"/>
  <c r="AX47" i="3"/>
  <c r="AW47" i="3"/>
  <c r="AV47" i="3"/>
  <c r="AC47" i="3"/>
  <c r="H47" i="3"/>
  <c r="G47" i="3"/>
  <c r="BL46" i="3"/>
  <c r="BK46" i="3"/>
  <c r="BJ46" i="3"/>
  <c r="BI46" i="3"/>
  <c r="BH46" i="3"/>
  <c r="BG46" i="3"/>
  <c r="BF46" i="3"/>
  <c r="BE46" i="3"/>
  <c r="BD46" i="3"/>
  <c r="BC46" i="3"/>
  <c r="BB46" i="3"/>
  <c r="BA46" i="3"/>
  <c r="AZ46" i="3"/>
  <c r="AX46" i="3"/>
  <c r="AW46" i="3"/>
  <c r="AV46" i="3"/>
  <c r="AC46" i="3"/>
  <c r="H46" i="3"/>
  <c r="G46" i="3"/>
  <c r="BL45" i="3"/>
  <c r="BK45" i="3"/>
  <c r="BJ45" i="3"/>
  <c r="BI45" i="3"/>
  <c r="BH45" i="3"/>
  <c r="BG45" i="3"/>
  <c r="BF45" i="3"/>
  <c r="BE45" i="3"/>
  <c r="BD45" i="3"/>
  <c r="BC45" i="3"/>
  <c r="BB45" i="3"/>
  <c r="BA45" i="3"/>
  <c r="AX45" i="3"/>
  <c r="AW45" i="3"/>
  <c r="AV45" i="3"/>
  <c r="AC45" i="3"/>
  <c r="H45" i="3"/>
  <c r="G45" i="3"/>
  <c r="BL44" i="3"/>
  <c r="BK44" i="3"/>
  <c r="BJ44" i="3"/>
  <c r="BI44" i="3"/>
  <c r="BH44" i="3"/>
  <c r="BG44" i="3"/>
  <c r="BF44" i="3"/>
  <c r="BE44" i="3"/>
  <c r="BD44" i="3"/>
  <c r="BC44" i="3"/>
  <c r="BB44" i="3"/>
  <c r="BA44" i="3"/>
  <c r="AZ44" i="3"/>
  <c r="AX44" i="3"/>
  <c r="AW44" i="3"/>
  <c r="AV44" i="3"/>
  <c r="AC44" i="3"/>
  <c r="H44" i="3"/>
  <c r="G44" i="3"/>
  <c r="BL43" i="3"/>
  <c r="BK43" i="3"/>
  <c r="BJ43" i="3"/>
  <c r="BI43" i="3"/>
  <c r="BH43" i="3"/>
  <c r="BG43" i="3"/>
  <c r="BF43" i="3"/>
  <c r="BE43" i="3"/>
  <c r="BD43" i="3"/>
  <c r="BC43" i="3"/>
  <c r="BB43" i="3"/>
  <c r="BA43" i="3"/>
  <c r="AX43" i="3"/>
  <c r="AW43" i="3"/>
  <c r="AV43" i="3"/>
  <c r="AC43" i="3"/>
  <c r="H43" i="3"/>
  <c r="G43" i="3"/>
  <c r="BL42" i="3"/>
  <c r="BK42" i="3"/>
  <c r="BJ42" i="3"/>
  <c r="BI42" i="3"/>
  <c r="BH42" i="3"/>
  <c r="BG42" i="3"/>
  <c r="BF42" i="3"/>
  <c r="BE42" i="3"/>
  <c r="BD42" i="3"/>
  <c r="BC42" i="3"/>
  <c r="BB42" i="3"/>
  <c r="BA42" i="3"/>
  <c r="AX42" i="3"/>
  <c r="AW42" i="3"/>
  <c r="AV42" i="3"/>
  <c r="AC42" i="3"/>
  <c r="H42" i="3"/>
  <c r="G42" i="3"/>
  <c r="BL41" i="3"/>
  <c r="BK41" i="3"/>
  <c r="BJ41" i="3"/>
  <c r="BI41" i="3"/>
  <c r="BH41" i="3"/>
  <c r="BG41" i="3"/>
  <c r="BF41" i="3"/>
  <c r="BE41" i="3"/>
  <c r="BD41" i="3"/>
  <c r="BC41" i="3"/>
  <c r="BB41" i="3"/>
  <c r="BA41" i="3"/>
  <c r="AX41" i="3"/>
  <c r="AW41" i="3"/>
  <c r="AV41" i="3"/>
  <c r="AC41" i="3"/>
  <c r="H41" i="3"/>
  <c r="G41" i="3"/>
  <c r="BL40" i="3"/>
  <c r="BK40" i="3"/>
  <c r="BJ40" i="3"/>
  <c r="BI40" i="3"/>
  <c r="BH40" i="3"/>
  <c r="BG40" i="3"/>
  <c r="BF40" i="3"/>
  <c r="BE40" i="3"/>
  <c r="BD40" i="3"/>
  <c r="BC40" i="3"/>
  <c r="BB40" i="3"/>
  <c r="BA40" i="3"/>
  <c r="AZ40" i="3"/>
  <c r="AX40" i="3"/>
  <c r="AW40" i="3"/>
  <c r="AV40" i="3"/>
  <c r="AC40" i="3"/>
  <c r="H40" i="3"/>
  <c r="G40" i="3"/>
  <c r="BL39" i="3"/>
  <c r="BK39" i="3"/>
  <c r="BJ39" i="3"/>
  <c r="BI39" i="3"/>
  <c r="BH39" i="3"/>
  <c r="BG39" i="3"/>
  <c r="BF39" i="3"/>
  <c r="BE39" i="3"/>
  <c r="BD39" i="3"/>
  <c r="BC39" i="3"/>
  <c r="BB39" i="3"/>
  <c r="BA39" i="3"/>
  <c r="AX39" i="3"/>
  <c r="AW39" i="3"/>
  <c r="AV39" i="3"/>
  <c r="AC39" i="3"/>
  <c r="H39" i="3"/>
  <c r="G39" i="3"/>
  <c r="BL38" i="3"/>
  <c r="BK38" i="3"/>
  <c r="BJ38" i="3"/>
  <c r="BI38" i="3"/>
  <c r="BH38" i="3"/>
  <c r="BG38" i="3"/>
  <c r="BF38" i="3"/>
  <c r="BE38" i="3"/>
  <c r="BD38" i="3"/>
  <c r="BC38" i="3"/>
  <c r="BB38" i="3"/>
  <c r="BA38" i="3"/>
  <c r="AZ38" i="3"/>
  <c r="AX38" i="3"/>
  <c r="AW38" i="3"/>
  <c r="AV38" i="3"/>
  <c r="AC38" i="3"/>
  <c r="H38" i="3"/>
  <c r="G38" i="3"/>
  <c r="BL37" i="3"/>
  <c r="BK37" i="3"/>
  <c r="BJ37" i="3"/>
  <c r="BI37" i="3"/>
  <c r="BH37" i="3"/>
  <c r="BG37" i="3"/>
  <c r="BF37" i="3"/>
  <c r="BE37" i="3"/>
  <c r="BD37" i="3"/>
  <c r="BC37" i="3"/>
  <c r="BB37" i="3"/>
  <c r="BA37" i="3"/>
  <c r="AX37" i="3"/>
  <c r="AW37" i="3"/>
  <c r="AV37" i="3"/>
  <c r="AC37" i="3"/>
  <c r="H37" i="3"/>
  <c r="G37" i="3"/>
  <c r="BL36" i="3"/>
  <c r="BK36" i="3"/>
  <c r="BJ36" i="3"/>
  <c r="BI36" i="3"/>
  <c r="BH36" i="3"/>
  <c r="BG36" i="3"/>
  <c r="BF36" i="3"/>
  <c r="BE36" i="3"/>
  <c r="BD36" i="3"/>
  <c r="BC36" i="3"/>
  <c r="BB36" i="3"/>
  <c r="BA36" i="3"/>
  <c r="AZ36" i="3"/>
  <c r="AX36" i="3"/>
  <c r="AW36" i="3"/>
  <c r="AV36" i="3"/>
  <c r="AC36" i="3"/>
  <c r="H36" i="3"/>
  <c r="G36" i="3"/>
  <c r="BL35" i="3"/>
  <c r="BK35" i="3"/>
  <c r="BJ35" i="3"/>
  <c r="BI35" i="3"/>
  <c r="BH35" i="3"/>
  <c r="BG35" i="3"/>
  <c r="BF35" i="3"/>
  <c r="BE35" i="3"/>
  <c r="BD35" i="3"/>
  <c r="BC35" i="3"/>
  <c r="BB35" i="3"/>
  <c r="BA35" i="3"/>
  <c r="AX35" i="3"/>
  <c r="AW35" i="3"/>
  <c r="AV35" i="3"/>
  <c r="AC35" i="3"/>
  <c r="H35" i="3"/>
  <c r="G35" i="3"/>
  <c r="BL34" i="3"/>
  <c r="BK34" i="3"/>
  <c r="BJ34" i="3"/>
  <c r="BI34" i="3"/>
  <c r="BH34" i="3"/>
  <c r="BG34" i="3"/>
  <c r="BF34" i="3"/>
  <c r="BE34" i="3"/>
  <c r="BD34" i="3"/>
  <c r="BC34" i="3"/>
  <c r="BB34" i="3"/>
  <c r="BA34" i="3"/>
  <c r="AZ34" i="3"/>
  <c r="AX34" i="3"/>
  <c r="AW34" i="3"/>
  <c r="AV34" i="3"/>
  <c r="AC34" i="3"/>
  <c r="H34" i="3"/>
  <c r="G34" i="3"/>
  <c r="BL33" i="3"/>
  <c r="BK33" i="3"/>
  <c r="BJ33" i="3"/>
  <c r="BI33" i="3"/>
  <c r="BH33" i="3"/>
  <c r="BG33" i="3"/>
  <c r="BF33" i="3"/>
  <c r="BE33" i="3"/>
  <c r="BD33" i="3"/>
  <c r="BC33" i="3"/>
  <c r="BB33" i="3"/>
  <c r="BA33" i="3"/>
  <c r="AX33" i="3"/>
  <c r="AW33" i="3"/>
  <c r="AV33" i="3"/>
  <c r="AC33" i="3"/>
  <c r="H33" i="3"/>
  <c r="G33" i="3"/>
  <c r="BL32" i="3"/>
  <c r="BK32" i="3"/>
  <c r="BJ32" i="3"/>
  <c r="BI32" i="3"/>
  <c r="BH32" i="3"/>
  <c r="BG32" i="3"/>
  <c r="BF32" i="3"/>
  <c r="BE32" i="3"/>
  <c r="BD32" i="3"/>
  <c r="BC32" i="3"/>
  <c r="BB32" i="3"/>
  <c r="BA32" i="3"/>
  <c r="AX32" i="3"/>
  <c r="AW32" i="3"/>
  <c r="AV32" i="3"/>
  <c r="AC32" i="3"/>
  <c r="H32" i="3"/>
  <c r="G32" i="3"/>
  <c r="BL31" i="3"/>
  <c r="BK31" i="3"/>
  <c r="BJ31" i="3"/>
  <c r="BI31" i="3"/>
  <c r="BH31" i="3"/>
  <c r="BG31" i="3"/>
  <c r="BF31" i="3"/>
  <c r="BE31" i="3"/>
  <c r="BD31" i="3"/>
  <c r="BC31" i="3"/>
  <c r="BB31" i="3"/>
  <c r="BA31" i="3"/>
  <c r="AX31" i="3"/>
  <c r="AW31" i="3"/>
  <c r="AV31" i="3"/>
  <c r="AC31" i="3"/>
  <c r="H31" i="3"/>
  <c r="G31" i="3"/>
  <c r="BL30" i="3"/>
  <c r="BK30" i="3"/>
  <c r="BJ30" i="3"/>
  <c r="BI30" i="3"/>
  <c r="BH30" i="3"/>
  <c r="BG30" i="3"/>
  <c r="BF30" i="3"/>
  <c r="BE30" i="3"/>
  <c r="BD30" i="3"/>
  <c r="BC30" i="3"/>
  <c r="BB30" i="3"/>
  <c r="BA30" i="3"/>
  <c r="AZ30" i="3"/>
  <c r="AX30" i="3"/>
  <c r="AW30" i="3"/>
  <c r="AV30" i="3"/>
  <c r="AC30" i="3"/>
  <c r="H30" i="3"/>
  <c r="G30" i="3"/>
  <c r="BL29" i="3"/>
  <c r="BK29" i="3"/>
  <c r="BJ29" i="3"/>
  <c r="BI29" i="3"/>
  <c r="BH29" i="3"/>
  <c r="BG29" i="3"/>
  <c r="BF29" i="3"/>
  <c r="BE29" i="3"/>
  <c r="BD29" i="3"/>
  <c r="BC29" i="3"/>
  <c r="BB29" i="3"/>
  <c r="BA29" i="3"/>
  <c r="AX29" i="3"/>
  <c r="AW29" i="3"/>
  <c r="AV29" i="3"/>
  <c r="AC29" i="3"/>
  <c r="H29" i="3"/>
  <c r="G29" i="3"/>
  <c r="BL28" i="3"/>
  <c r="BK28" i="3"/>
  <c r="BJ28" i="3"/>
  <c r="BI28" i="3"/>
  <c r="BH28" i="3"/>
  <c r="BG28" i="3"/>
  <c r="BF28" i="3"/>
  <c r="BE28" i="3"/>
  <c r="BD28" i="3"/>
  <c r="BC28" i="3"/>
  <c r="BB28" i="3"/>
  <c r="BA28" i="3"/>
  <c r="AX28" i="3"/>
  <c r="AW28" i="3"/>
  <c r="AV28" i="3"/>
  <c r="AC28" i="3"/>
  <c r="H28" i="3"/>
  <c r="G28" i="3"/>
  <c r="BL27" i="3"/>
  <c r="BK27" i="3"/>
  <c r="BJ27" i="3"/>
  <c r="BI27" i="3"/>
  <c r="BH27" i="3"/>
  <c r="BG27" i="3"/>
  <c r="BF27" i="3"/>
  <c r="BE27" i="3"/>
  <c r="BD27" i="3"/>
  <c r="BC27" i="3"/>
  <c r="BB27" i="3"/>
  <c r="BA27" i="3"/>
  <c r="AZ27" i="3"/>
  <c r="AX27" i="3"/>
  <c r="AW27" i="3"/>
  <c r="AV27" i="3"/>
  <c r="AC27" i="3"/>
  <c r="H27" i="3"/>
  <c r="G27" i="3"/>
  <c r="BL26" i="3"/>
  <c r="BK26" i="3"/>
  <c r="BJ26" i="3"/>
  <c r="BI26" i="3"/>
  <c r="BH26" i="3"/>
  <c r="BG26" i="3"/>
  <c r="BF26" i="3"/>
  <c r="BE26" i="3"/>
  <c r="BD26" i="3"/>
  <c r="BC26" i="3"/>
  <c r="BB26" i="3"/>
  <c r="BA26" i="3"/>
  <c r="AX26" i="3"/>
  <c r="AW26" i="3"/>
  <c r="AV26" i="3"/>
  <c r="AC26" i="3"/>
  <c r="H26" i="3"/>
  <c r="G26" i="3"/>
  <c r="BL25" i="3"/>
  <c r="BK25" i="3"/>
  <c r="BJ25" i="3"/>
  <c r="BI25" i="3"/>
  <c r="BH25" i="3"/>
  <c r="BG25" i="3"/>
  <c r="BF25" i="3"/>
  <c r="BE25" i="3"/>
  <c r="BD25" i="3"/>
  <c r="BC25" i="3"/>
  <c r="BB25" i="3"/>
  <c r="BA25" i="3"/>
  <c r="AZ25" i="3"/>
  <c r="AX25" i="3"/>
  <c r="AW25" i="3"/>
  <c r="AV25" i="3"/>
  <c r="AC25" i="3"/>
  <c r="H25" i="3"/>
  <c r="G25" i="3"/>
  <c r="BL24" i="3"/>
  <c r="BK24" i="3"/>
  <c r="BJ24" i="3"/>
  <c r="BI24" i="3"/>
  <c r="BH24" i="3"/>
  <c r="BG24" i="3"/>
  <c r="BF24" i="3"/>
  <c r="BE24" i="3"/>
  <c r="BD24" i="3"/>
  <c r="BC24" i="3"/>
  <c r="BB24" i="3"/>
  <c r="BA24" i="3"/>
  <c r="AX24" i="3"/>
  <c r="AW24" i="3"/>
  <c r="AV24" i="3"/>
  <c r="AC24" i="3"/>
  <c r="H24" i="3"/>
  <c r="G24" i="3"/>
  <c r="BL23" i="3"/>
  <c r="BK23" i="3"/>
  <c r="BJ23" i="3"/>
  <c r="BI23" i="3"/>
  <c r="BH23" i="3"/>
  <c r="BG23" i="3"/>
  <c r="BF23" i="3"/>
  <c r="BE23" i="3"/>
  <c r="BD23" i="3"/>
  <c r="BC23" i="3"/>
  <c r="BB23" i="3"/>
  <c r="BA23" i="3"/>
  <c r="AZ23" i="3"/>
  <c r="AX23" i="3"/>
  <c r="AW23" i="3"/>
  <c r="AV23" i="3"/>
  <c r="AC23" i="3"/>
  <c r="H23" i="3"/>
  <c r="G23" i="3"/>
  <c r="BL22" i="3"/>
  <c r="BK22" i="3"/>
  <c r="BJ22" i="3"/>
  <c r="BI22" i="3"/>
  <c r="BH22" i="3"/>
  <c r="BG22" i="3"/>
  <c r="BF22" i="3"/>
  <c r="BE22" i="3"/>
  <c r="BD22" i="3"/>
  <c r="BC22" i="3"/>
  <c r="BB22" i="3"/>
  <c r="BA22" i="3"/>
  <c r="AZ22" i="3"/>
  <c r="AX22" i="3"/>
  <c r="AW22" i="3"/>
  <c r="AV22" i="3"/>
  <c r="AC22" i="3"/>
  <c r="H22" i="3"/>
  <c r="G22" i="3"/>
  <c r="BL21" i="3"/>
  <c r="BK21" i="3"/>
  <c r="BJ21" i="3"/>
  <c r="BI21" i="3"/>
  <c r="BH21" i="3"/>
  <c r="BG21" i="3"/>
  <c r="BF21" i="3"/>
  <c r="BE21" i="3"/>
  <c r="BD21" i="3"/>
  <c r="BC21" i="3"/>
  <c r="BB21" i="3"/>
  <c r="BA21" i="3"/>
  <c r="AX21" i="3"/>
  <c r="AW21" i="3"/>
  <c r="AV21" i="3"/>
  <c r="AC21" i="3"/>
  <c r="H21" i="3"/>
  <c r="G21" i="3"/>
  <c r="BL20" i="3"/>
  <c r="BK20" i="3"/>
  <c r="BJ20" i="3"/>
  <c r="BI20" i="3"/>
  <c r="BH20" i="3"/>
  <c r="BG20" i="3"/>
  <c r="BF20" i="3"/>
  <c r="BE20" i="3"/>
  <c r="BD20" i="3"/>
  <c r="BC20" i="3"/>
  <c r="BB20" i="3"/>
  <c r="BA20" i="3"/>
  <c r="AX20" i="3"/>
  <c r="AW20" i="3"/>
  <c r="AV20" i="3"/>
  <c r="AC20" i="3"/>
  <c r="H20" i="3"/>
  <c r="G20" i="3"/>
  <c r="BL19" i="3"/>
  <c r="BK19" i="3"/>
  <c r="BJ19" i="3"/>
  <c r="BI19" i="3"/>
  <c r="BH19" i="3"/>
  <c r="BG19" i="3"/>
  <c r="BF19" i="3"/>
  <c r="BE19" i="3"/>
  <c r="BD19" i="3"/>
  <c r="BC19" i="3"/>
  <c r="BB19" i="3"/>
  <c r="BA19" i="3"/>
  <c r="AX19" i="3"/>
  <c r="AW19" i="3"/>
  <c r="AV19" i="3"/>
  <c r="AC19" i="3"/>
  <c r="H19" i="3"/>
  <c r="G19" i="3"/>
  <c r="BL18" i="3"/>
  <c r="BK18" i="3"/>
  <c r="BJ18" i="3"/>
  <c r="BI18" i="3"/>
  <c r="BH18" i="3"/>
  <c r="BG18" i="3"/>
  <c r="BF18" i="3"/>
  <c r="BE18" i="3"/>
  <c r="BD18" i="3"/>
  <c r="BC18" i="3"/>
  <c r="BB18" i="3"/>
  <c r="BA18" i="3"/>
  <c r="AZ18" i="3"/>
  <c r="AX18" i="3"/>
  <c r="AW18" i="3"/>
  <c r="AV18" i="3"/>
  <c r="AC18" i="3"/>
  <c r="H18" i="3"/>
  <c r="G18" i="3"/>
  <c r="BL207" i="3"/>
  <c r="BK207" i="3"/>
  <c r="BJ207" i="3"/>
  <c r="BI207" i="3"/>
  <c r="BH207" i="3"/>
  <c r="BG207" i="3"/>
  <c r="BF207" i="3"/>
  <c r="BE207" i="3"/>
  <c r="BD207" i="3"/>
  <c r="BC207" i="3"/>
  <c r="BB207" i="3"/>
  <c r="BA207" i="3"/>
  <c r="AZ207" i="3"/>
  <c r="AX207" i="3"/>
  <c r="AW207" i="3"/>
  <c r="AV207" i="3"/>
  <c r="AC207" i="3"/>
  <c r="H207" i="3"/>
  <c r="G207" i="3"/>
  <c r="BL206" i="3"/>
  <c r="BK206" i="3"/>
  <c r="BJ206" i="3"/>
  <c r="BI206" i="3"/>
  <c r="BH206" i="3"/>
  <c r="BG206" i="3"/>
  <c r="BF206" i="3"/>
  <c r="BE206" i="3"/>
  <c r="BD206" i="3"/>
  <c r="BC206" i="3"/>
  <c r="BB206" i="3"/>
  <c r="BA206" i="3"/>
  <c r="AX206" i="3"/>
  <c r="AW206" i="3"/>
  <c r="AV206" i="3"/>
  <c r="AC206" i="3"/>
  <c r="H206" i="3"/>
  <c r="G206" i="3"/>
  <c r="BL205" i="3"/>
  <c r="BK205" i="3"/>
  <c r="BJ205" i="3"/>
  <c r="BI205" i="3"/>
  <c r="BH205" i="3"/>
  <c r="BG205" i="3"/>
  <c r="BF205" i="3"/>
  <c r="BE205" i="3"/>
  <c r="BD205" i="3"/>
  <c r="BC205" i="3"/>
  <c r="BB205" i="3"/>
  <c r="BA205" i="3"/>
  <c r="AZ205" i="3"/>
  <c r="AX205" i="3"/>
  <c r="AW205" i="3"/>
  <c r="AV205" i="3"/>
  <c r="AC205" i="3"/>
  <c r="H205" i="3"/>
  <c r="G205" i="3"/>
  <c r="BK204" i="3"/>
  <c r="BJ204" i="3"/>
  <c r="BI204" i="3"/>
  <c r="BH204" i="3"/>
  <c r="BG204" i="3"/>
  <c r="BF204" i="3"/>
  <c r="BE204" i="3"/>
  <c r="BD204" i="3"/>
  <c r="BC204" i="3"/>
  <c r="BB204" i="3"/>
  <c r="BA204" i="3"/>
  <c r="AX204" i="3"/>
  <c r="AW204" i="3"/>
  <c r="AV204" i="3"/>
  <c r="AC204" i="3"/>
  <c r="H204" i="3"/>
  <c r="G204" i="3"/>
  <c r="BL203" i="3"/>
  <c r="BK203" i="3"/>
  <c r="BJ203" i="3"/>
  <c r="BI203" i="3"/>
  <c r="BH203" i="3"/>
  <c r="BG203" i="3"/>
  <c r="BF203" i="3"/>
  <c r="BE203" i="3"/>
  <c r="BD203" i="3"/>
  <c r="BC203" i="3"/>
  <c r="BB203" i="3"/>
  <c r="AX203" i="3"/>
  <c r="AW203" i="3"/>
  <c r="AV203" i="3"/>
  <c r="AC203" i="3"/>
  <c r="H203" i="3"/>
  <c r="G203" i="3"/>
  <c r="BL202" i="3"/>
  <c r="BK202" i="3"/>
  <c r="BJ202" i="3"/>
  <c r="BI202" i="3"/>
  <c r="BH202" i="3"/>
  <c r="BG202" i="3"/>
  <c r="BF202" i="3"/>
  <c r="BE202" i="3"/>
  <c r="BD202" i="3"/>
  <c r="BC202" i="3"/>
  <c r="BB202" i="3"/>
  <c r="BA202" i="3"/>
  <c r="AX202" i="3"/>
  <c r="AW202" i="3"/>
  <c r="AV202" i="3"/>
  <c r="AC202" i="3"/>
  <c r="H202" i="3"/>
  <c r="G202" i="3"/>
  <c r="BL201" i="3"/>
  <c r="BK201" i="3"/>
  <c r="BJ201" i="3"/>
  <c r="BI201" i="3"/>
  <c r="BH201" i="3"/>
  <c r="BG201" i="3"/>
  <c r="BF201" i="3"/>
  <c r="BE201" i="3"/>
  <c r="BD201" i="3"/>
  <c r="BC201" i="3"/>
  <c r="BB201" i="3"/>
  <c r="BA201" i="3"/>
  <c r="AZ201" i="3"/>
  <c r="AX201" i="3"/>
  <c r="AW201" i="3"/>
  <c r="AV201" i="3"/>
  <c r="AC201" i="3"/>
  <c r="H201" i="3"/>
  <c r="BK200" i="3"/>
  <c r="BJ200" i="3"/>
  <c r="BI200" i="3"/>
  <c r="BH200" i="3"/>
  <c r="BG200" i="3"/>
  <c r="BF200" i="3"/>
  <c r="BE200" i="3"/>
  <c r="BD200" i="3"/>
  <c r="BC200" i="3"/>
  <c r="BB200" i="3"/>
  <c r="BA200" i="3"/>
  <c r="AX200" i="3"/>
  <c r="AW200" i="3"/>
  <c r="AV200" i="3"/>
  <c r="AC200" i="3"/>
  <c r="H200" i="3"/>
  <c r="G200" i="3"/>
  <c r="BL199" i="3"/>
  <c r="BK199" i="3"/>
  <c r="BJ199" i="3"/>
  <c r="BI199" i="3"/>
  <c r="BH199" i="3"/>
  <c r="BG199" i="3"/>
  <c r="BF199" i="3"/>
  <c r="BE199" i="3"/>
  <c r="BD199" i="3"/>
  <c r="BC199" i="3"/>
  <c r="BB199" i="3"/>
  <c r="AX199" i="3"/>
  <c r="AW199" i="3"/>
  <c r="AV199" i="3"/>
  <c r="AC199" i="3"/>
  <c r="H199" i="3"/>
  <c r="G199" i="3"/>
  <c r="BL198" i="3"/>
  <c r="BK198" i="3"/>
  <c r="BJ198" i="3"/>
  <c r="BI198" i="3"/>
  <c r="BH198" i="3"/>
  <c r="BG198" i="3"/>
  <c r="BF198" i="3"/>
  <c r="BE198" i="3"/>
  <c r="BD198" i="3"/>
  <c r="BC198" i="3"/>
  <c r="BB198" i="3"/>
  <c r="BA198" i="3"/>
  <c r="AX198" i="3"/>
  <c r="AW198" i="3"/>
  <c r="AV198" i="3"/>
  <c r="AC198" i="3"/>
  <c r="H198" i="3"/>
  <c r="G198" i="3"/>
  <c r="BL197" i="3"/>
  <c r="BK197" i="3"/>
  <c r="BJ197" i="3"/>
  <c r="BI197" i="3"/>
  <c r="BH197" i="3"/>
  <c r="BG197" i="3"/>
  <c r="BF197" i="3"/>
  <c r="BE197" i="3"/>
  <c r="BD197" i="3"/>
  <c r="BC197" i="3"/>
  <c r="BB197" i="3"/>
  <c r="BA197" i="3"/>
  <c r="AX197" i="3"/>
  <c r="AW197" i="3"/>
  <c r="AV197" i="3"/>
  <c r="AC197" i="3"/>
  <c r="H197" i="3"/>
  <c r="BK196" i="3"/>
  <c r="BJ196" i="3"/>
  <c r="BI196" i="3"/>
  <c r="BH196" i="3"/>
  <c r="BG196" i="3"/>
  <c r="BF196" i="3"/>
  <c r="BE196" i="3"/>
  <c r="BD196" i="3"/>
  <c r="BC196" i="3"/>
  <c r="BB196" i="3"/>
  <c r="BA196" i="3"/>
  <c r="AX196" i="3"/>
  <c r="AW196" i="3"/>
  <c r="AV196" i="3"/>
  <c r="AC196" i="3"/>
  <c r="H196" i="3"/>
  <c r="G196" i="3"/>
  <c r="BL195" i="3"/>
  <c r="BK195" i="3"/>
  <c r="BJ195" i="3"/>
  <c r="BI195" i="3"/>
  <c r="BH195" i="3"/>
  <c r="BG195" i="3"/>
  <c r="BF195" i="3"/>
  <c r="BE195" i="3"/>
  <c r="BD195" i="3"/>
  <c r="BC195" i="3"/>
  <c r="BB195" i="3"/>
  <c r="AX195" i="3"/>
  <c r="AW195" i="3"/>
  <c r="AV195" i="3"/>
  <c r="AC195" i="3"/>
  <c r="H195" i="3"/>
  <c r="G195" i="3"/>
  <c r="BL194" i="3"/>
  <c r="BK194" i="3"/>
  <c r="BJ194" i="3"/>
  <c r="BI194" i="3"/>
  <c r="BH194" i="3"/>
  <c r="BG194" i="3"/>
  <c r="BF194" i="3"/>
  <c r="BE194" i="3"/>
  <c r="BD194" i="3"/>
  <c r="BC194" i="3"/>
  <c r="BB194" i="3"/>
  <c r="BA194" i="3"/>
  <c r="AX194" i="3"/>
  <c r="AW194" i="3"/>
  <c r="AV194" i="3"/>
  <c r="AC194" i="3"/>
  <c r="H194" i="3"/>
  <c r="G194" i="3"/>
  <c r="BL193" i="3"/>
  <c r="BK193" i="3"/>
  <c r="BJ193" i="3"/>
  <c r="BI193" i="3"/>
  <c r="BH193" i="3"/>
  <c r="BG193" i="3"/>
  <c r="BF193" i="3"/>
  <c r="BE193" i="3"/>
  <c r="BD193" i="3"/>
  <c r="BC193" i="3"/>
  <c r="BB193" i="3"/>
  <c r="BA193" i="3"/>
  <c r="AZ193" i="3"/>
  <c r="AX193" i="3"/>
  <c r="AW193" i="3"/>
  <c r="AV193" i="3"/>
  <c r="AC193" i="3"/>
  <c r="H193" i="3"/>
  <c r="BK192" i="3"/>
  <c r="BJ192" i="3"/>
  <c r="BI192" i="3"/>
  <c r="BH192" i="3"/>
  <c r="BG192" i="3"/>
  <c r="BF192" i="3"/>
  <c r="BE192" i="3"/>
  <c r="BD192" i="3"/>
  <c r="BC192" i="3"/>
  <c r="BB192" i="3"/>
  <c r="BA192" i="3"/>
  <c r="AX192" i="3"/>
  <c r="AW192" i="3"/>
  <c r="AV192" i="3"/>
  <c r="AC192" i="3"/>
  <c r="H192" i="3"/>
  <c r="G192" i="3"/>
  <c r="BL191" i="3"/>
  <c r="BK191" i="3"/>
  <c r="BJ191" i="3"/>
  <c r="BI191" i="3"/>
  <c r="BH191" i="3"/>
  <c r="BG191" i="3"/>
  <c r="BF191" i="3"/>
  <c r="BE191" i="3"/>
  <c r="BD191" i="3"/>
  <c r="BC191" i="3"/>
  <c r="BB191" i="3"/>
  <c r="AX191" i="3"/>
  <c r="AW191" i="3"/>
  <c r="AV191" i="3"/>
  <c r="AC191" i="3"/>
  <c r="H191" i="3"/>
  <c r="G191" i="3"/>
  <c r="BL190" i="3"/>
  <c r="BK190" i="3"/>
  <c r="BJ190" i="3"/>
  <c r="BI190" i="3"/>
  <c r="BH190" i="3"/>
  <c r="BG190" i="3"/>
  <c r="BF190" i="3"/>
  <c r="BE190" i="3"/>
  <c r="BD190" i="3"/>
  <c r="BC190" i="3"/>
  <c r="BB190" i="3"/>
  <c r="BA190" i="3"/>
  <c r="AX190" i="3"/>
  <c r="AW190" i="3"/>
  <c r="AV190" i="3"/>
  <c r="AC190" i="3"/>
  <c r="H190" i="3"/>
  <c r="G190" i="3"/>
  <c r="BL189" i="3"/>
  <c r="BK189" i="3"/>
  <c r="BJ189" i="3"/>
  <c r="BI189" i="3"/>
  <c r="BH189" i="3"/>
  <c r="BG189" i="3"/>
  <c r="BF189" i="3"/>
  <c r="BE189" i="3"/>
  <c r="BD189" i="3"/>
  <c r="BC189" i="3"/>
  <c r="BB189" i="3"/>
  <c r="BA189" i="3"/>
  <c r="AX189" i="3"/>
  <c r="AW189" i="3"/>
  <c r="AV189" i="3"/>
  <c r="AC189" i="3"/>
  <c r="H189" i="3"/>
  <c r="BK188" i="3"/>
  <c r="BJ188" i="3"/>
  <c r="BI188" i="3"/>
  <c r="BH188" i="3"/>
  <c r="BG188" i="3"/>
  <c r="BF188" i="3"/>
  <c r="BE188" i="3"/>
  <c r="BD188" i="3"/>
  <c r="BC188" i="3"/>
  <c r="BB188" i="3"/>
  <c r="BA188" i="3"/>
  <c r="AX188" i="3"/>
  <c r="AW188" i="3"/>
  <c r="AV188" i="3"/>
  <c r="AC188" i="3"/>
  <c r="H188" i="3"/>
  <c r="G188" i="3"/>
  <c r="BL187" i="3"/>
  <c r="BK187" i="3"/>
  <c r="BJ187" i="3"/>
  <c r="BI187" i="3"/>
  <c r="BH187" i="3"/>
  <c r="BG187" i="3"/>
  <c r="BF187" i="3"/>
  <c r="BE187" i="3"/>
  <c r="BD187" i="3"/>
  <c r="BC187" i="3"/>
  <c r="BB187" i="3"/>
  <c r="AX187" i="3"/>
  <c r="AW187" i="3"/>
  <c r="AV187" i="3"/>
  <c r="AC187" i="3"/>
  <c r="H187" i="3"/>
  <c r="G187" i="3"/>
  <c r="BL186" i="3"/>
  <c r="BK186" i="3"/>
  <c r="BJ186" i="3"/>
  <c r="BI186" i="3"/>
  <c r="BH186" i="3"/>
  <c r="BG186" i="3"/>
  <c r="BF186" i="3"/>
  <c r="BE186" i="3"/>
  <c r="BD186" i="3"/>
  <c r="BC186" i="3"/>
  <c r="BB186" i="3"/>
  <c r="BA186" i="3"/>
  <c r="AX186" i="3"/>
  <c r="AW186" i="3"/>
  <c r="AV186" i="3"/>
  <c r="AC186" i="3"/>
  <c r="H186" i="3"/>
  <c r="G186" i="3"/>
  <c r="BL185" i="3"/>
  <c r="BK185" i="3"/>
  <c r="BJ185" i="3"/>
  <c r="BI185" i="3"/>
  <c r="BH185" i="3"/>
  <c r="BG185" i="3"/>
  <c r="BF185" i="3"/>
  <c r="BE185" i="3"/>
  <c r="BD185" i="3"/>
  <c r="BC185" i="3"/>
  <c r="BB185" i="3"/>
  <c r="BA185" i="3"/>
  <c r="AZ185" i="3"/>
  <c r="AX185" i="3"/>
  <c r="AW185" i="3"/>
  <c r="AV185" i="3"/>
  <c r="AC185" i="3"/>
  <c r="H185" i="3"/>
  <c r="BK184" i="3"/>
  <c r="BJ184" i="3"/>
  <c r="BI184" i="3"/>
  <c r="BH184" i="3"/>
  <c r="BG184" i="3"/>
  <c r="BF184" i="3"/>
  <c r="BE184" i="3"/>
  <c r="BD184" i="3"/>
  <c r="BC184" i="3"/>
  <c r="BB184" i="3"/>
  <c r="BA184" i="3"/>
  <c r="AX184" i="3"/>
  <c r="AW184" i="3"/>
  <c r="AV184" i="3"/>
  <c r="AC184" i="3"/>
  <c r="H184" i="3"/>
  <c r="G184" i="3"/>
  <c r="BL183" i="3"/>
  <c r="BK183" i="3"/>
  <c r="BJ183" i="3"/>
  <c r="BI183" i="3"/>
  <c r="BH183" i="3"/>
  <c r="BG183" i="3"/>
  <c r="BF183" i="3"/>
  <c r="BE183" i="3"/>
  <c r="BD183" i="3"/>
  <c r="BC183" i="3"/>
  <c r="BB183" i="3"/>
  <c r="AX183" i="3"/>
  <c r="AW183" i="3"/>
  <c r="AV183" i="3"/>
  <c r="AC183" i="3"/>
  <c r="H183" i="3"/>
  <c r="G183" i="3"/>
  <c r="BL182" i="3"/>
  <c r="BK182" i="3"/>
  <c r="BJ182" i="3"/>
  <c r="BI182" i="3"/>
  <c r="BH182" i="3"/>
  <c r="BG182" i="3"/>
  <c r="BF182" i="3"/>
  <c r="BE182" i="3"/>
  <c r="BD182" i="3"/>
  <c r="BC182" i="3"/>
  <c r="BB182" i="3"/>
  <c r="BA182" i="3"/>
  <c r="AX182" i="3"/>
  <c r="AW182" i="3"/>
  <c r="AV182" i="3"/>
  <c r="AC182" i="3"/>
  <c r="H182" i="3"/>
  <c r="G182" i="3"/>
  <c r="BL181" i="3"/>
  <c r="BK181" i="3"/>
  <c r="BJ181" i="3"/>
  <c r="BI181" i="3"/>
  <c r="BH181" i="3"/>
  <c r="BG181" i="3"/>
  <c r="BF181" i="3"/>
  <c r="BE181" i="3"/>
  <c r="BD181" i="3"/>
  <c r="BC181" i="3"/>
  <c r="BB181" i="3"/>
  <c r="BA181" i="3"/>
  <c r="AX181" i="3"/>
  <c r="AW181" i="3"/>
  <c r="AV181" i="3"/>
  <c r="AC181" i="3"/>
  <c r="H181" i="3"/>
  <c r="BK180" i="3"/>
  <c r="BJ180" i="3"/>
  <c r="BI180" i="3"/>
  <c r="BH180" i="3"/>
  <c r="BG180" i="3"/>
  <c r="BF180" i="3"/>
  <c r="BE180" i="3"/>
  <c r="BD180" i="3"/>
  <c r="BC180" i="3"/>
  <c r="BB180" i="3"/>
  <c r="BA180" i="3"/>
  <c r="AX180" i="3"/>
  <c r="AW180" i="3"/>
  <c r="AV180" i="3"/>
  <c r="AC180" i="3"/>
  <c r="H180" i="3"/>
  <c r="G180" i="3"/>
  <c r="BL179" i="3"/>
  <c r="BK179" i="3"/>
  <c r="BJ179" i="3"/>
  <c r="BI179" i="3"/>
  <c r="BH179" i="3"/>
  <c r="BG179" i="3"/>
  <c r="BF179" i="3"/>
  <c r="BE179" i="3"/>
  <c r="BD179" i="3"/>
  <c r="BC179" i="3"/>
  <c r="BB179" i="3"/>
  <c r="AX179" i="3"/>
  <c r="AW179" i="3"/>
  <c r="AV179" i="3"/>
  <c r="AC179" i="3"/>
  <c r="H179" i="3"/>
  <c r="G179" i="3"/>
  <c r="BL178" i="3"/>
  <c r="BK178" i="3"/>
  <c r="BJ178" i="3"/>
  <c r="BI178" i="3"/>
  <c r="BH178" i="3"/>
  <c r="BG178" i="3"/>
  <c r="BF178" i="3"/>
  <c r="BE178" i="3"/>
  <c r="BD178" i="3"/>
  <c r="BC178" i="3"/>
  <c r="BB178" i="3"/>
  <c r="BA178" i="3"/>
  <c r="AX178" i="3"/>
  <c r="AW178" i="3"/>
  <c r="AV178" i="3"/>
  <c r="AC178" i="3"/>
  <c r="H178" i="3"/>
  <c r="G178" i="3"/>
  <c r="BL177" i="3"/>
  <c r="BK177" i="3"/>
  <c r="BJ177" i="3"/>
  <c r="BI177" i="3"/>
  <c r="BH177" i="3"/>
  <c r="BG177" i="3"/>
  <c r="BF177" i="3"/>
  <c r="BE177" i="3"/>
  <c r="BD177" i="3"/>
  <c r="BC177" i="3"/>
  <c r="BB177" i="3"/>
  <c r="BA177" i="3"/>
  <c r="AZ177" i="3"/>
  <c r="AX177" i="3"/>
  <c r="AW177" i="3"/>
  <c r="AV177" i="3"/>
  <c r="AC177" i="3"/>
  <c r="H177" i="3"/>
  <c r="BK176" i="3"/>
  <c r="BJ176" i="3"/>
  <c r="BI176" i="3"/>
  <c r="BH176" i="3"/>
  <c r="BG176" i="3"/>
  <c r="BF176" i="3"/>
  <c r="BE176" i="3"/>
  <c r="BD176" i="3"/>
  <c r="BC176" i="3"/>
  <c r="BB176" i="3"/>
  <c r="BA176" i="3"/>
  <c r="AX176" i="3"/>
  <c r="AW176" i="3"/>
  <c r="AV176" i="3"/>
  <c r="AC176" i="3"/>
  <c r="H176" i="3"/>
  <c r="G176" i="3"/>
  <c r="BL175" i="3"/>
  <c r="BK175" i="3"/>
  <c r="BJ175" i="3"/>
  <c r="BI175" i="3"/>
  <c r="BH175" i="3"/>
  <c r="BG175" i="3"/>
  <c r="BF175" i="3"/>
  <c r="BE175" i="3"/>
  <c r="BD175" i="3"/>
  <c r="BC175" i="3"/>
  <c r="BB175" i="3"/>
  <c r="AX175" i="3"/>
  <c r="AW175" i="3"/>
  <c r="AV175" i="3"/>
  <c r="AC175" i="3"/>
  <c r="H175" i="3"/>
  <c r="G175" i="3"/>
  <c r="BL174" i="3"/>
  <c r="BK174" i="3"/>
  <c r="BJ174" i="3"/>
  <c r="BI174" i="3"/>
  <c r="BH174" i="3"/>
  <c r="BG174" i="3"/>
  <c r="BF174" i="3"/>
  <c r="BE174" i="3"/>
  <c r="BD174" i="3"/>
  <c r="BC174" i="3"/>
  <c r="BB174" i="3"/>
  <c r="BA174" i="3"/>
  <c r="AX174" i="3"/>
  <c r="AW174" i="3"/>
  <c r="AV174" i="3"/>
  <c r="AC174" i="3"/>
  <c r="H174" i="3"/>
  <c r="G174" i="3"/>
  <c r="BL173" i="3"/>
  <c r="BK173" i="3"/>
  <c r="BJ173" i="3"/>
  <c r="BI173" i="3"/>
  <c r="BH173" i="3"/>
  <c r="BG173" i="3"/>
  <c r="BF173" i="3"/>
  <c r="BE173" i="3"/>
  <c r="BD173" i="3"/>
  <c r="BC173" i="3"/>
  <c r="BB173" i="3"/>
  <c r="BA173" i="3"/>
  <c r="AX173" i="3"/>
  <c r="AW173" i="3"/>
  <c r="AV173" i="3"/>
  <c r="AC173" i="3"/>
  <c r="H173" i="3"/>
  <c r="BK172" i="3"/>
  <c r="BJ172" i="3"/>
  <c r="BI172" i="3"/>
  <c r="BH172" i="3"/>
  <c r="BG172" i="3"/>
  <c r="BF172" i="3"/>
  <c r="BE172" i="3"/>
  <c r="BD172" i="3"/>
  <c r="BC172" i="3"/>
  <c r="BB172" i="3"/>
  <c r="BA172" i="3"/>
  <c r="AX172" i="3"/>
  <c r="AW172" i="3"/>
  <c r="AV172" i="3"/>
  <c r="AC172" i="3"/>
  <c r="H172" i="3"/>
  <c r="G172" i="3"/>
  <c r="BL171" i="3"/>
  <c r="BK171" i="3"/>
  <c r="BJ171" i="3"/>
  <c r="BI171" i="3"/>
  <c r="BH171" i="3"/>
  <c r="BG171" i="3"/>
  <c r="BF171" i="3"/>
  <c r="BE171" i="3"/>
  <c r="BD171" i="3"/>
  <c r="BC171" i="3"/>
  <c r="BB171" i="3"/>
  <c r="AX171" i="3"/>
  <c r="AW171" i="3"/>
  <c r="AV171" i="3"/>
  <c r="AC171" i="3"/>
  <c r="H171" i="3"/>
  <c r="G171" i="3"/>
  <c r="BL170" i="3"/>
  <c r="BK170" i="3"/>
  <c r="BJ170" i="3"/>
  <c r="BI170" i="3"/>
  <c r="BH170" i="3"/>
  <c r="BG170" i="3"/>
  <c r="BF170" i="3"/>
  <c r="BE170" i="3"/>
  <c r="BD170" i="3"/>
  <c r="BC170" i="3"/>
  <c r="BB170" i="3"/>
  <c r="BA170" i="3"/>
  <c r="AX170" i="3"/>
  <c r="AW170" i="3"/>
  <c r="AV170" i="3"/>
  <c r="AC170" i="3"/>
  <c r="H170" i="3"/>
  <c r="G170" i="3"/>
  <c r="BL169" i="3"/>
  <c r="BK169" i="3"/>
  <c r="BJ169" i="3"/>
  <c r="BI169" i="3"/>
  <c r="BH169" i="3"/>
  <c r="BG169" i="3"/>
  <c r="BF169" i="3"/>
  <c r="BE169" i="3"/>
  <c r="BD169" i="3"/>
  <c r="BC169" i="3"/>
  <c r="BB169" i="3"/>
  <c r="BA169" i="3"/>
  <c r="AZ169" i="3"/>
  <c r="AX169" i="3"/>
  <c r="AW169" i="3"/>
  <c r="AV169" i="3"/>
  <c r="AC169" i="3"/>
  <c r="H169" i="3"/>
  <c r="BK168" i="3"/>
  <c r="BJ168" i="3"/>
  <c r="BI168" i="3"/>
  <c r="BH168" i="3"/>
  <c r="BG168" i="3"/>
  <c r="BF168" i="3"/>
  <c r="BE168" i="3"/>
  <c r="BD168" i="3"/>
  <c r="BC168" i="3"/>
  <c r="BB168" i="3"/>
  <c r="BA168" i="3"/>
  <c r="AX168" i="3"/>
  <c r="AW168" i="3"/>
  <c r="AV168" i="3"/>
  <c r="AC168" i="3"/>
  <c r="H168" i="3"/>
  <c r="G168" i="3"/>
  <c r="BL167" i="3"/>
  <c r="BK167" i="3"/>
  <c r="BJ167" i="3"/>
  <c r="BI167" i="3"/>
  <c r="BH167" i="3"/>
  <c r="BG167" i="3"/>
  <c r="BF167" i="3"/>
  <c r="BE167" i="3"/>
  <c r="BD167" i="3"/>
  <c r="BC167" i="3"/>
  <c r="BB167" i="3"/>
  <c r="AX167" i="3"/>
  <c r="AW167" i="3"/>
  <c r="AV167" i="3"/>
  <c r="AC167" i="3"/>
  <c r="H167" i="3"/>
  <c r="G167" i="3"/>
  <c r="BL166" i="3"/>
  <c r="BK166" i="3"/>
  <c r="BJ166" i="3"/>
  <c r="BI166" i="3"/>
  <c r="BH166" i="3"/>
  <c r="BG166" i="3"/>
  <c r="BF166" i="3"/>
  <c r="BE166" i="3"/>
  <c r="BD166" i="3"/>
  <c r="BC166" i="3"/>
  <c r="BB166" i="3"/>
  <c r="BA166" i="3"/>
  <c r="AX166" i="3"/>
  <c r="AW166" i="3"/>
  <c r="AV166" i="3"/>
  <c r="AC166" i="3"/>
  <c r="H166" i="3"/>
  <c r="G166" i="3"/>
  <c r="BL165" i="3"/>
  <c r="BK165" i="3"/>
  <c r="BJ165" i="3"/>
  <c r="BI165" i="3"/>
  <c r="BH165" i="3"/>
  <c r="BG165" i="3"/>
  <c r="BF165" i="3"/>
  <c r="BE165" i="3"/>
  <c r="BD165" i="3"/>
  <c r="BC165" i="3"/>
  <c r="BB165" i="3"/>
  <c r="BA165" i="3"/>
  <c r="AX165" i="3"/>
  <c r="AW165" i="3"/>
  <c r="AV165" i="3"/>
  <c r="AC165" i="3"/>
  <c r="H165" i="3"/>
  <c r="BK164" i="3"/>
  <c r="BJ164" i="3"/>
  <c r="BI164" i="3"/>
  <c r="BH164" i="3"/>
  <c r="BG164" i="3"/>
  <c r="BF164" i="3"/>
  <c r="BE164" i="3"/>
  <c r="BD164" i="3"/>
  <c r="BC164" i="3"/>
  <c r="BB164" i="3"/>
  <c r="BA164" i="3"/>
  <c r="AX164" i="3"/>
  <c r="AW164" i="3"/>
  <c r="AV164" i="3"/>
  <c r="AC164" i="3"/>
  <c r="H164" i="3"/>
  <c r="G164" i="3"/>
  <c r="BL163" i="3"/>
  <c r="BK163" i="3"/>
  <c r="BJ163" i="3"/>
  <c r="BI163" i="3"/>
  <c r="BH163" i="3"/>
  <c r="BG163" i="3"/>
  <c r="BF163" i="3"/>
  <c r="BE163" i="3"/>
  <c r="BD163" i="3"/>
  <c r="BC163" i="3"/>
  <c r="BB163" i="3"/>
  <c r="AX163" i="3"/>
  <c r="AW163" i="3"/>
  <c r="AV163" i="3"/>
  <c r="AC163" i="3"/>
  <c r="H163" i="3"/>
  <c r="G163" i="3"/>
  <c r="BL162" i="3"/>
  <c r="BK162" i="3"/>
  <c r="BJ162" i="3"/>
  <c r="BI162" i="3"/>
  <c r="BH162" i="3"/>
  <c r="BG162" i="3"/>
  <c r="BF162" i="3"/>
  <c r="BE162" i="3"/>
  <c r="BD162" i="3"/>
  <c r="BC162" i="3"/>
  <c r="BB162" i="3"/>
  <c r="BA162" i="3"/>
  <c r="AX162" i="3"/>
  <c r="AW162" i="3"/>
  <c r="AV162" i="3"/>
  <c r="AC162" i="3"/>
  <c r="H162" i="3"/>
  <c r="G162" i="3"/>
  <c r="BL161" i="3"/>
  <c r="BK161" i="3"/>
  <c r="BJ161" i="3"/>
  <c r="BI161" i="3"/>
  <c r="BH161" i="3"/>
  <c r="BG161" i="3"/>
  <c r="BF161" i="3"/>
  <c r="BE161" i="3"/>
  <c r="BD161" i="3"/>
  <c r="BC161" i="3"/>
  <c r="BB161" i="3"/>
  <c r="BA161" i="3"/>
  <c r="AZ161" i="3"/>
  <c r="AX161" i="3"/>
  <c r="AW161" i="3"/>
  <c r="AV161" i="3"/>
  <c r="AC161" i="3"/>
  <c r="H161" i="3"/>
  <c r="BK160" i="3"/>
  <c r="BJ160" i="3"/>
  <c r="BI160" i="3"/>
  <c r="BH160" i="3"/>
  <c r="BG160" i="3"/>
  <c r="BF160" i="3"/>
  <c r="BE160" i="3"/>
  <c r="BD160" i="3"/>
  <c r="BC160" i="3"/>
  <c r="BB160" i="3"/>
  <c r="BA160" i="3"/>
  <c r="AX160" i="3"/>
  <c r="AW160" i="3"/>
  <c r="AV160" i="3"/>
  <c r="AC160" i="3"/>
  <c r="H160" i="3"/>
  <c r="G160" i="3"/>
  <c r="BL159" i="3"/>
  <c r="BK159" i="3"/>
  <c r="BJ159" i="3"/>
  <c r="BI159" i="3"/>
  <c r="BH159" i="3"/>
  <c r="BG159" i="3"/>
  <c r="BF159" i="3"/>
  <c r="BE159" i="3"/>
  <c r="BD159" i="3"/>
  <c r="BC159" i="3"/>
  <c r="BB159" i="3"/>
  <c r="AX159" i="3"/>
  <c r="AW159" i="3"/>
  <c r="AV159" i="3"/>
  <c r="AC159" i="3"/>
  <c r="H159" i="3"/>
  <c r="G159" i="3"/>
  <c r="BL158" i="3"/>
  <c r="BK158" i="3"/>
  <c r="BJ158" i="3"/>
  <c r="BI158" i="3"/>
  <c r="BH158" i="3"/>
  <c r="BG158" i="3"/>
  <c r="BF158" i="3"/>
  <c r="BE158" i="3"/>
  <c r="BD158" i="3"/>
  <c r="BC158" i="3"/>
  <c r="BB158" i="3"/>
  <c r="BA158" i="3"/>
  <c r="AX158" i="3"/>
  <c r="AW158" i="3"/>
  <c r="AV158" i="3"/>
  <c r="AC158" i="3"/>
  <c r="H158" i="3"/>
  <c r="G158" i="3"/>
  <c r="BL157" i="3"/>
  <c r="BK157" i="3"/>
  <c r="BJ157" i="3"/>
  <c r="BI157" i="3"/>
  <c r="BH157" i="3"/>
  <c r="BG157" i="3"/>
  <c r="BF157" i="3"/>
  <c r="BE157" i="3"/>
  <c r="BD157" i="3"/>
  <c r="BC157" i="3"/>
  <c r="BB157" i="3"/>
  <c r="BA157" i="3"/>
  <c r="AX157" i="3"/>
  <c r="AW157" i="3"/>
  <c r="AV157" i="3"/>
  <c r="AC157" i="3"/>
  <c r="H157" i="3"/>
  <c r="BK156" i="3"/>
  <c r="BJ156" i="3"/>
  <c r="BI156" i="3"/>
  <c r="BH156" i="3"/>
  <c r="BG156" i="3"/>
  <c r="BF156" i="3"/>
  <c r="BE156" i="3"/>
  <c r="BD156" i="3"/>
  <c r="BC156" i="3"/>
  <c r="BB156" i="3"/>
  <c r="BA156" i="3"/>
  <c r="AX156" i="3"/>
  <c r="AW156" i="3"/>
  <c r="AV156" i="3"/>
  <c r="AC156" i="3"/>
  <c r="H156" i="3"/>
  <c r="G156" i="3"/>
  <c r="BL155" i="3"/>
  <c r="BK155" i="3"/>
  <c r="BJ155" i="3"/>
  <c r="BI155" i="3"/>
  <c r="BH155" i="3"/>
  <c r="BG155" i="3"/>
  <c r="BF155" i="3"/>
  <c r="BE155" i="3"/>
  <c r="BD155" i="3"/>
  <c r="BC155" i="3"/>
  <c r="BB155" i="3"/>
  <c r="AX155" i="3"/>
  <c r="AW155" i="3"/>
  <c r="AV155" i="3"/>
  <c r="AC155" i="3"/>
  <c r="H155" i="3"/>
  <c r="G155" i="3"/>
  <c r="BL154" i="3"/>
  <c r="BK154" i="3"/>
  <c r="BJ154" i="3"/>
  <c r="BI154" i="3"/>
  <c r="BH154" i="3"/>
  <c r="BG154" i="3"/>
  <c r="BF154" i="3"/>
  <c r="BE154" i="3"/>
  <c r="BD154" i="3"/>
  <c r="BC154" i="3"/>
  <c r="BB154" i="3"/>
  <c r="BA154" i="3"/>
  <c r="AX154" i="3"/>
  <c r="AW154" i="3"/>
  <c r="AV154" i="3"/>
  <c r="AC154" i="3"/>
  <c r="H154" i="3"/>
  <c r="G154" i="3"/>
  <c r="BL153" i="3"/>
  <c r="BK153" i="3"/>
  <c r="BJ153" i="3"/>
  <c r="BI153" i="3"/>
  <c r="BH153" i="3"/>
  <c r="BG153" i="3"/>
  <c r="BF153" i="3"/>
  <c r="BE153" i="3"/>
  <c r="BD153" i="3"/>
  <c r="BC153" i="3"/>
  <c r="BB153" i="3"/>
  <c r="BA153" i="3"/>
  <c r="AZ153" i="3"/>
  <c r="AX153" i="3"/>
  <c r="AW153" i="3"/>
  <c r="AV153" i="3"/>
  <c r="AC153" i="3"/>
  <c r="H153" i="3"/>
  <c r="BK152" i="3"/>
  <c r="BJ152" i="3"/>
  <c r="BI152" i="3"/>
  <c r="BH152" i="3"/>
  <c r="BG152" i="3"/>
  <c r="BF152" i="3"/>
  <c r="BE152" i="3"/>
  <c r="BD152" i="3"/>
  <c r="BC152" i="3"/>
  <c r="BB152" i="3"/>
  <c r="BA152" i="3"/>
  <c r="AX152" i="3"/>
  <c r="AW152" i="3"/>
  <c r="AV152" i="3"/>
  <c r="AC152" i="3"/>
  <c r="H152" i="3"/>
  <c r="G152" i="3"/>
  <c r="BL151" i="3"/>
  <c r="BK151" i="3"/>
  <c r="BJ151" i="3"/>
  <c r="BI151" i="3"/>
  <c r="BH151" i="3"/>
  <c r="BG151" i="3"/>
  <c r="BF151" i="3"/>
  <c r="BE151" i="3"/>
  <c r="BD151" i="3"/>
  <c r="BC151" i="3"/>
  <c r="BB151" i="3"/>
  <c r="AX151" i="3"/>
  <c r="AW151" i="3"/>
  <c r="AV151" i="3"/>
  <c r="AC151" i="3"/>
  <c r="H151" i="3"/>
  <c r="G151" i="3"/>
  <c r="BL150" i="3"/>
  <c r="BK150" i="3"/>
  <c r="BJ150" i="3"/>
  <c r="BI150" i="3"/>
  <c r="BH150" i="3"/>
  <c r="BG150" i="3"/>
  <c r="BF150" i="3"/>
  <c r="BE150" i="3"/>
  <c r="BD150" i="3"/>
  <c r="BC150" i="3"/>
  <c r="BB150" i="3"/>
  <c r="BA150" i="3"/>
  <c r="AX150" i="3"/>
  <c r="AW150" i="3"/>
  <c r="AV150" i="3"/>
  <c r="AC150" i="3"/>
  <c r="H150" i="3"/>
  <c r="G150" i="3"/>
  <c r="BL149" i="3"/>
  <c r="BK149" i="3"/>
  <c r="BJ149" i="3"/>
  <c r="BI149" i="3"/>
  <c r="BH149" i="3"/>
  <c r="BG149" i="3"/>
  <c r="BF149" i="3"/>
  <c r="BE149" i="3"/>
  <c r="BD149" i="3"/>
  <c r="BC149" i="3"/>
  <c r="BB149" i="3"/>
  <c r="BA149" i="3"/>
  <c r="AX149" i="3"/>
  <c r="AW149" i="3"/>
  <c r="AV149" i="3"/>
  <c r="AC149" i="3"/>
  <c r="H149" i="3"/>
  <c r="BK148" i="3"/>
  <c r="BJ148" i="3"/>
  <c r="BI148" i="3"/>
  <c r="BH148" i="3"/>
  <c r="BG148" i="3"/>
  <c r="BF148" i="3"/>
  <c r="BE148" i="3"/>
  <c r="BD148" i="3"/>
  <c r="BC148" i="3"/>
  <c r="BB148" i="3"/>
  <c r="BA148" i="3"/>
  <c r="AX148" i="3"/>
  <c r="AW148" i="3"/>
  <c r="AV148" i="3"/>
  <c r="AC148" i="3"/>
  <c r="H148" i="3"/>
  <c r="G148" i="3"/>
  <c r="BL147" i="3"/>
  <c r="BK147" i="3"/>
  <c r="BJ147" i="3"/>
  <c r="BI147" i="3"/>
  <c r="BH147" i="3"/>
  <c r="BG147" i="3"/>
  <c r="BF147" i="3"/>
  <c r="BE147" i="3"/>
  <c r="BD147" i="3"/>
  <c r="BC147" i="3"/>
  <c r="BB147" i="3"/>
  <c r="AX147" i="3"/>
  <c r="AW147" i="3"/>
  <c r="AV147" i="3"/>
  <c r="AC147" i="3"/>
  <c r="H147" i="3"/>
  <c r="G147" i="3"/>
  <c r="BL146" i="3"/>
  <c r="BK146" i="3"/>
  <c r="BJ146" i="3"/>
  <c r="BI146" i="3"/>
  <c r="BH146" i="3"/>
  <c r="BG146" i="3"/>
  <c r="BF146" i="3"/>
  <c r="BE146" i="3"/>
  <c r="BD146" i="3"/>
  <c r="BC146" i="3"/>
  <c r="BB146" i="3"/>
  <c r="BA146" i="3"/>
  <c r="AX146" i="3"/>
  <c r="AW146" i="3"/>
  <c r="AV146" i="3"/>
  <c r="AC146" i="3"/>
  <c r="H146" i="3"/>
  <c r="G146" i="3"/>
  <c r="BL145" i="3"/>
  <c r="BK145" i="3"/>
  <c r="BJ145" i="3"/>
  <c r="BI145" i="3"/>
  <c r="BH145" i="3"/>
  <c r="BG145" i="3"/>
  <c r="BF145" i="3"/>
  <c r="BE145" i="3"/>
  <c r="BD145" i="3"/>
  <c r="BC145" i="3"/>
  <c r="BB145" i="3"/>
  <c r="BA145" i="3"/>
  <c r="AZ145" i="3"/>
  <c r="AX145" i="3"/>
  <c r="AW145" i="3"/>
  <c r="AV145" i="3"/>
  <c r="AC145" i="3"/>
  <c r="H145" i="3"/>
  <c r="BK144" i="3"/>
  <c r="BJ144" i="3"/>
  <c r="BI144" i="3"/>
  <c r="BH144" i="3"/>
  <c r="BG144" i="3"/>
  <c r="BF144" i="3"/>
  <c r="BE144" i="3"/>
  <c r="BD144" i="3"/>
  <c r="BC144" i="3"/>
  <c r="BB144" i="3"/>
  <c r="BA144" i="3"/>
  <c r="AX144" i="3"/>
  <c r="AW144" i="3"/>
  <c r="AV144" i="3"/>
  <c r="AC144" i="3"/>
  <c r="H144" i="3"/>
  <c r="G144" i="3"/>
  <c r="BL143" i="3"/>
  <c r="BK143" i="3"/>
  <c r="BJ143" i="3"/>
  <c r="BI143" i="3"/>
  <c r="BH143" i="3"/>
  <c r="BG143" i="3"/>
  <c r="BF143" i="3"/>
  <c r="BE143" i="3"/>
  <c r="BD143" i="3"/>
  <c r="BC143" i="3"/>
  <c r="BB143" i="3"/>
  <c r="AX143" i="3"/>
  <c r="AW143" i="3"/>
  <c r="AV143" i="3"/>
  <c r="AC143" i="3"/>
  <c r="H143" i="3"/>
  <c r="G143" i="3"/>
  <c r="BL142" i="3"/>
  <c r="BK142" i="3"/>
  <c r="BJ142" i="3"/>
  <c r="BI142" i="3"/>
  <c r="BH142" i="3"/>
  <c r="BG142" i="3"/>
  <c r="BF142" i="3"/>
  <c r="BE142" i="3"/>
  <c r="BD142" i="3"/>
  <c r="BC142" i="3"/>
  <c r="BB142" i="3"/>
  <c r="BA142" i="3"/>
  <c r="AX142" i="3"/>
  <c r="AW142" i="3"/>
  <c r="AV142" i="3"/>
  <c r="AC142" i="3"/>
  <c r="H142" i="3"/>
  <c r="G142" i="3"/>
  <c r="BL141" i="3"/>
  <c r="BK141" i="3"/>
  <c r="BJ141" i="3"/>
  <c r="BI141" i="3"/>
  <c r="BH141" i="3"/>
  <c r="BG141" i="3"/>
  <c r="BF141" i="3"/>
  <c r="BE141" i="3"/>
  <c r="BD141" i="3"/>
  <c r="BC141" i="3"/>
  <c r="BB141" i="3"/>
  <c r="BA141" i="3"/>
  <c r="AZ141" i="3"/>
  <c r="AX141" i="3"/>
  <c r="AW141" i="3"/>
  <c r="AV141" i="3"/>
  <c r="AC141" i="3"/>
  <c r="H141" i="3"/>
  <c r="BK140" i="3"/>
  <c r="BJ140" i="3"/>
  <c r="BI140" i="3"/>
  <c r="BH140" i="3"/>
  <c r="BG140" i="3"/>
  <c r="BF140" i="3"/>
  <c r="BE140" i="3"/>
  <c r="BD140" i="3"/>
  <c r="BC140" i="3"/>
  <c r="BB140" i="3"/>
  <c r="BA140" i="3"/>
  <c r="AX140" i="3"/>
  <c r="AW140" i="3"/>
  <c r="AV140" i="3"/>
  <c r="AC140" i="3"/>
  <c r="H140" i="3"/>
  <c r="G140" i="3"/>
  <c r="BL139" i="3"/>
  <c r="BK139" i="3"/>
  <c r="BJ139" i="3"/>
  <c r="BI139" i="3"/>
  <c r="BH139" i="3"/>
  <c r="BG139" i="3"/>
  <c r="BF139" i="3"/>
  <c r="BE139" i="3"/>
  <c r="BD139" i="3"/>
  <c r="BC139" i="3"/>
  <c r="BB139" i="3"/>
  <c r="AX139" i="3"/>
  <c r="AW139" i="3"/>
  <c r="AV139" i="3"/>
  <c r="AC139" i="3"/>
  <c r="H139" i="3"/>
  <c r="G139" i="3"/>
  <c r="BL138" i="3"/>
  <c r="BK138" i="3"/>
  <c r="BJ138" i="3"/>
  <c r="BI138" i="3"/>
  <c r="BH138" i="3"/>
  <c r="BG138" i="3"/>
  <c r="BF138" i="3"/>
  <c r="BE138" i="3"/>
  <c r="BD138" i="3"/>
  <c r="BC138" i="3"/>
  <c r="BB138" i="3"/>
  <c r="BA138" i="3"/>
  <c r="AX138" i="3"/>
  <c r="AW138" i="3"/>
  <c r="AV138" i="3"/>
  <c r="AC138" i="3"/>
  <c r="H138" i="3"/>
  <c r="G138" i="3"/>
  <c r="BL137" i="3"/>
  <c r="BK137" i="3"/>
  <c r="BJ137" i="3"/>
  <c r="BI137" i="3"/>
  <c r="BH137" i="3"/>
  <c r="BG137" i="3"/>
  <c r="BF137" i="3"/>
  <c r="BE137" i="3"/>
  <c r="BD137" i="3"/>
  <c r="BC137" i="3"/>
  <c r="BB137" i="3"/>
  <c r="BA137" i="3"/>
  <c r="AZ137" i="3"/>
  <c r="AX137" i="3"/>
  <c r="AW137" i="3"/>
  <c r="AV137" i="3"/>
  <c r="AC137" i="3"/>
  <c r="H137" i="3"/>
  <c r="BK136" i="3"/>
  <c r="BJ136" i="3"/>
  <c r="BI136" i="3"/>
  <c r="BH136" i="3"/>
  <c r="BG136" i="3"/>
  <c r="BF136" i="3"/>
  <c r="BE136" i="3"/>
  <c r="BD136" i="3"/>
  <c r="BC136" i="3"/>
  <c r="BB136" i="3"/>
  <c r="BA136" i="3"/>
  <c r="AX136" i="3"/>
  <c r="AW136" i="3"/>
  <c r="AV136" i="3"/>
  <c r="AC136" i="3"/>
  <c r="H136" i="3"/>
  <c r="G136" i="3"/>
  <c r="BL135" i="3"/>
  <c r="BK135" i="3"/>
  <c r="BJ135" i="3"/>
  <c r="BI135" i="3"/>
  <c r="BH135" i="3"/>
  <c r="BG135" i="3"/>
  <c r="BF135" i="3"/>
  <c r="BE135" i="3"/>
  <c r="BD135" i="3"/>
  <c r="BC135" i="3"/>
  <c r="BB135" i="3"/>
  <c r="AX135" i="3"/>
  <c r="AW135" i="3"/>
  <c r="AV135" i="3"/>
  <c r="AC135" i="3"/>
  <c r="H135" i="3"/>
  <c r="G135" i="3"/>
  <c r="BL134" i="3"/>
  <c r="BK134" i="3"/>
  <c r="BJ134" i="3"/>
  <c r="BI134" i="3"/>
  <c r="BH134" i="3"/>
  <c r="BG134" i="3"/>
  <c r="BF134" i="3"/>
  <c r="BE134" i="3"/>
  <c r="BD134" i="3"/>
  <c r="BC134" i="3"/>
  <c r="BB134" i="3"/>
  <c r="BA134" i="3"/>
  <c r="AZ134" i="3"/>
  <c r="AX134" i="3"/>
  <c r="AW134" i="3"/>
  <c r="AV134" i="3"/>
  <c r="AC134" i="3"/>
  <c r="H134" i="3"/>
  <c r="G134" i="3"/>
  <c r="BL133" i="3"/>
  <c r="BK133" i="3"/>
  <c r="BJ133" i="3"/>
  <c r="BI133" i="3"/>
  <c r="BH133" i="3"/>
  <c r="BG133" i="3"/>
  <c r="BF133" i="3"/>
  <c r="BE133" i="3"/>
  <c r="BD133" i="3"/>
  <c r="BC133" i="3"/>
  <c r="BB133" i="3"/>
  <c r="BA133" i="3"/>
  <c r="AX133" i="3"/>
  <c r="AW133" i="3"/>
  <c r="AV133" i="3"/>
  <c r="AC133" i="3"/>
  <c r="H133" i="3"/>
  <c r="BK132" i="3"/>
  <c r="BJ132" i="3"/>
  <c r="BI132" i="3"/>
  <c r="BH132" i="3"/>
  <c r="BG132" i="3"/>
  <c r="BF132" i="3"/>
  <c r="BE132" i="3"/>
  <c r="BD132" i="3"/>
  <c r="BC132" i="3"/>
  <c r="BB132" i="3"/>
  <c r="BA132" i="3"/>
  <c r="AX132" i="3"/>
  <c r="AW132" i="3"/>
  <c r="AV132" i="3"/>
  <c r="AC132" i="3"/>
  <c r="H132" i="3"/>
  <c r="G132" i="3"/>
  <c r="BL131" i="3"/>
  <c r="BK131" i="3"/>
  <c r="BJ131" i="3"/>
  <c r="BI131" i="3"/>
  <c r="BH131" i="3"/>
  <c r="BG131" i="3"/>
  <c r="BF131" i="3"/>
  <c r="BE131" i="3"/>
  <c r="BD131" i="3"/>
  <c r="BC131" i="3"/>
  <c r="BB131" i="3"/>
  <c r="AX131" i="3"/>
  <c r="AW131" i="3"/>
  <c r="AV131" i="3"/>
  <c r="AC131" i="3"/>
  <c r="H131" i="3"/>
  <c r="G131" i="3"/>
  <c r="BL130" i="3"/>
  <c r="BK130" i="3"/>
  <c r="BJ130" i="3"/>
  <c r="BI130" i="3"/>
  <c r="BH130" i="3"/>
  <c r="BG130" i="3"/>
  <c r="BF130" i="3"/>
  <c r="BE130" i="3"/>
  <c r="BD130" i="3"/>
  <c r="BC130" i="3"/>
  <c r="BB130" i="3"/>
  <c r="BA130" i="3"/>
  <c r="AX130" i="3"/>
  <c r="AW130" i="3"/>
  <c r="AV130" i="3"/>
  <c r="AC130" i="3"/>
  <c r="H130" i="3"/>
  <c r="G130" i="3"/>
  <c r="BL129" i="3"/>
  <c r="BK129" i="3"/>
  <c r="BJ129" i="3"/>
  <c r="BI129" i="3"/>
  <c r="BH129" i="3"/>
  <c r="BG129" i="3"/>
  <c r="BF129" i="3"/>
  <c r="BE129" i="3"/>
  <c r="BD129" i="3"/>
  <c r="BC129" i="3"/>
  <c r="BB129" i="3"/>
  <c r="BA129" i="3"/>
  <c r="AZ129" i="3"/>
  <c r="AX129" i="3"/>
  <c r="AW129" i="3"/>
  <c r="AV129" i="3"/>
  <c r="AC129" i="3"/>
  <c r="H129" i="3"/>
  <c r="BK128" i="3"/>
  <c r="BJ128" i="3"/>
  <c r="BI128" i="3"/>
  <c r="BH128" i="3"/>
  <c r="BG128" i="3"/>
  <c r="BF128" i="3"/>
  <c r="BE128" i="3"/>
  <c r="BD128" i="3"/>
  <c r="BC128" i="3"/>
  <c r="BB128" i="3"/>
  <c r="BA128" i="3"/>
  <c r="AX128" i="3"/>
  <c r="AW128" i="3"/>
  <c r="AV128" i="3"/>
  <c r="AC128" i="3"/>
  <c r="H128" i="3"/>
  <c r="G128" i="3"/>
  <c r="BL127" i="3"/>
  <c r="BK127" i="3"/>
  <c r="BJ127" i="3"/>
  <c r="BI127" i="3"/>
  <c r="BH127" i="3"/>
  <c r="BG127" i="3"/>
  <c r="BF127" i="3"/>
  <c r="BE127" i="3"/>
  <c r="BD127" i="3"/>
  <c r="BC127" i="3"/>
  <c r="BB127" i="3"/>
  <c r="AX127" i="3"/>
  <c r="AW127" i="3"/>
  <c r="AV127" i="3"/>
  <c r="AC127" i="3"/>
  <c r="H127" i="3"/>
  <c r="G127" i="3"/>
  <c r="BL126" i="3"/>
  <c r="BK126" i="3"/>
  <c r="BJ126" i="3"/>
  <c r="BI126" i="3"/>
  <c r="BH126" i="3"/>
  <c r="BG126" i="3"/>
  <c r="BF126" i="3"/>
  <c r="BE126" i="3"/>
  <c r="BD126" i="3"/>
  <c r="BC126" i="3"/>
  <c r="BB126" i="3"/>
  <c r="BA126" i="3"/>
  <c r="AZ126" i="3"/>
  <c r="AX126" i="3"/>
  <c r="AW126" i="3"/>
  <c r="AV126" i="3"/>
  <c r="AC126" i="3"/>
  <c r="H126" i="3"/>
  <c r="G126" i="3"/>
  <c r="BL125" i="3"/>
  <c r="BK125" i="3"/>
  <c r="BJ125" i="3"/>
  <c r="BI125" i="3"/>
  <c r="BH125" i="3"/>
  <c r="BG125" i="3"/>
  <c r="BF125" i="3"/>
  <c r="BE125" i="3"/>
  <c r="BD125" i="3"/>
  <c r="BC125" i="3"/>
  <c r="BB125" i="3"/>
  <c r="BA125" i="3"/>
  <c r="AZ125" i="3"/>
  <c r="AX125" i="3"/>
  <c r="AW125" i="3"/>
  <c r="AV125" i="3"/>
  <c r="AC125" i="3"/>
  <c r="H125" i="3"/>
  <c r="BK124" i="3"/>
  <c r="BJ124" i="3"/>
  <c r="BI124" i="3"/>
  <c r="BH124" i="3"/>
  <c r="BG124" i="3"/>
  <c r="BF124" i="3"/>
  <c r="BE124" i="3"/>
  <c r="BD124" i="3"/>
  <c r="BC124" i="3"/>
  <c r="BB124" i="3"/>
  <c r="BA124" i="3"/>
  <c r="AX124" i="3"/>
  <c r="AW124" i="3"/>
  <c r="AV124" i="3"/>
  <c r="AC124" i="3"/>
  <c r="H124" i="3"/>
  <c r="G124" i="3"/>
  <c r="BL123" i="3"/>
  <c r="BK123" i="3"/>
  <c r="BJ123" i="3"/>
  <c r="BI123" i="3"/>
  <c r="BH123" i="3"/>
  <c r="BG123" i="3"/>
  <c r="BF123" i="3"/>
  <c r="BE123" i="3"/>
  <c r="BD123" i="3"/>
  <c r="BC123" i="3"/>
  <c r="BB123" i="3"/>
  <c r="AX123" i="3"/>
  <c r="AW123" i="3"/>
  <c r="AV123" i="3"/>
  <c r="AC123" i="3"/>
  <c r="H123" i="3"/>
  <c r="G123" i="3"/>
  <c r="BL122" i="3"/>
  <c r="BK122" i="3"/>
  <c r="BJ122" i="3"/>
  <c r="BI122" i="3"/>
  <c r="BH122" i="3"/>
  <c r="BG122" i="3"/>
  <c r="BF122" i="3"/>
  <c r="BE122" i="3"/>
  <c r="BD122" i="3"/>
  <c r="BC122" i="3"/>
  <c r="BB122" i="3"/>
  <c r="BA122" i="3"/>
  <c r="AZ122" i="3"/>
  <c r="AX122" i="3"/>
  <c r="AW122" i="3"/>
  <c r="AV122" i="3"/>
  <c r="AC122" i="3"/>
  <c r="H122" i="3"/>
  <c r="G122" i="3"/>
  <c r="BL121" i="3"/>
  <c r="BK121" i="3"/>
  <c r="BJ121" i="3"/>
  <c r="BI121" i="3"/>
  <c r="BH121" i="3"/>
  <c r="BG121" i="3"/>
  <c r="BF121" i="3"/>
  <c r="BE121" i="3"/>
  <c r="BD121" i="3"/>
  <c r="BC121" i="3"/>
  <c r="BB121" i="3"/>
  <c r="BA121" i="3"/>
  <c r="AZ121" i="3"/>
  <c r="AX121" i="3"/>
  <c r="AW121" i="3"/>
  <c r="AV121" i="3"/>
  <c r="AC121" i="3"/>
  <c r="H121" i="3"/>
  <c r="BK120" i="3"/>
  <c r="BJ120" i="3"/>
  <c r="BI120" i="3"/>
  <c r="BH120" i="3"/>
  <c r="BG120" i="3"/>
  <c r="BF120" i="3"/>
  <c r="BE120" i="3"/>
  <c r="BD120" i="3"/>
  <c r="BC120" i="3"/>
  <c r="BB120" i="3"/>
  <c r="BA120" i="3"/>
  <c r="AX120" i="3"/>
  <c r="AW120" i="3"/>
  <c r="AV120" i="3"/>
  <c r="AC120" i="3"/>
  <c r="H120" i="3"/>
  <c r="G120" i="3"/>
  <c r="BL119" i="3"/>
  <c r="BK119" i="3"/>
  <c r="BJ119" i="3"/>
  <c r="BI119" i="3"/>
  <c r="BH119" i="3"/>
  <c r="BG119" i="3"/>
  <c r="BF119" i="3"/>
  <c r="BE119" i="3"/>
  <c r="BD119" i="3"/>
  <c r="BC119" i="3"/>
  <c r="BB119" i="3"/>
  <c r="AX119" i="3"/>
  <c r="AW119" i="3"/>
  <c r="AV119" i="3"/>
  <c r="AC119" i="3"/>
  <c r="H119" i="3"/>
  <c r="G119" i="3"/>
  <c r="BL118" i="3"/>
  <c r="BK118" i="3"/>
  <c r="BJ118" i="3"/>
  <c r="BI118" i="3"/>
  <c r="BH118" i="3"/>
  <c r="BG118" i="3"/>
  <c r="BF118" i="3"/>
  <c r="BE118" i="3"/>
  <c r="BD118" i="3"/>
  <c r="BC118" i="3"/>
  <c r="BB118" i="3"/>
  <c r="BA118" i="3"/>
  <c r="AZ118" i="3"/>
  <c r="AX118" i="3"/>
  <c r="AW118" i="3"/>
  <c r="AV118" i="3"/>
  <c r="AC118" i="3"/>
  <c r="H118" i="3"/>
  <c r="G118" i="3"/>
  <c r="BL117" i="3"/>
  <c r="BK117" i="3"/>
  <c r="BJ117" i="3"/>
  <c r="BI117" i="3"/>
  <c r="BH117" i="3"/>
  <c r="BG117" i="3"/>
  <c r="BF117" i="3"/>
  <c r="BE117" i="3"/>
  <c r="BD117" i="3"/>
  <c r="BC117" i="3"/>
  <c r="BB117" i="3"/>
  <c r="BA117" i="3"/>
  <c r="AX117" i="3"/>
  <c r="AW117" i="3"/>
  <c r="AV117" i="3"/>
  <c r="AC117" i="3"/>
  <c r="H117" i="3"/>
  <c r="BK116" i="3"/>
  <c r="BJ116" i="3"/>
  <c r="BI116" i="3"/>
  <c r="BH116" i="3"/>
  <c r="BG116" i="3"/>
  <c r="BF116" i="3"/>
  <c r="BE116" i="3"/>
  <c r="BD116" i="3"/>
  <c r="BC116" i="3"/>
  <c r="BB116" i="3"/>
  <c r="BA116" i="3"/>
  <c r="AX116" i="3"/>
  <c r="AW116" i="3"/>
  <c r="AV116" i="3"/>
  <c r="AC116" i="3"/>
  <c r="H116" i="3"/>
  <c r="G116" i="3"/>
  <c r="BL115" i="3"/>
  <c r="BK115" i="3"/>
  <c r="BJ115" i="3"/>
  <c r="BI115" i="3"/>
  <c r="BH115" i="3"/>
  <c r="BG115" i="3"/>
  <c r="BF115" i="3"/>
  <c r="BE115" i="3"/>
  <c r="BD115" i="3"/>
  <c r="BC115" i="3"/>
  <c r="BB115" i="3"/>
  <c r="AX115" i="3"/>
  <c r="AW115" i="3"/>
  <c r="AV115" i="3"/>
  <c r="AC115" i="3"/>
  <c r="H115" i="3"/>
  <c r="G115" i="3"/>
  <c r="BL114" i="3"/>
  <c r="BK114" i="3"/>
  <c r="BJ114" i="3"/>
  <c r="BI114" i="3"/>
  <c r="BH114" i="3"/>
  <c r="BG114" i="3"/>
  <c r="BF114" i="3"/>
  <c r="BE114" i="3"/>
  <c r="BD114" i="3"/>
  <c r="BC114" i="3"/>
  <c r="BB114" i="3"/>
  <c r="BA114" i="3"/>
  <c r="AX114" i="3"/>
  <c r="AW114" i="3"/>
  <c r="AV114" i="3"/>
  <c r="AC114" i="3"/>
  <c r="H114" i="3"/>
  <c r="G114" i="3"/>
  <c r="BL113" i="3"/>
  <c r="BK113" i="3"/>
  <c r="BJ113" i="3"/>
  <c r="BI113" i="3"/>
  <c r="BH113" i="3"/>
  <c r="BG113" i="3"/>
  <c r="BF113" i="3"/>
  <c r="BE113" i="3"/>
  <c r="BD113" i="3"/>
  <c r="BC113" i="3"/>
  <c r="BB113" i="3"/>
  <c r="BA113" i="3"/>
  <c r="AZ113" i="3"/>
  <c r="AX113" i="3"/>
  <c r="AW113" i="3"/>
  <c r="AV113" i="3"/>
  <c r="AC113" i="3"/>
  <c r="H113" i="3"/>
  <c r="BL302" i="3"/>
  <c r="BK302" i="3"/>
  <c r="BJ302" i="3"/>
  <c r="BI302" i="3"/>
  <c r="BH302" i="3"/>
  <c r="BG302" i="3"/>
  <c r="BF302" i="3"/>
  <c r="BE302" i="3"/>
  <c r="BD302" i="3"/>
  <c r="BC302" i="3"/>
  <c r="BB302" i="3"/>
  <c r="BA302" i="3"/>
  <c r="AZ302" i="3"/>
  <c r="AX302" i="3"/>
  <c r="AW302" i="3"/>
  <c r="AV302" i="3"/>
  <c r="AC302" i="3"/>
  <c r="H302" i="3"/>
  <c r="G302" i="3"/>
  <c r="BL301" i="3"/>
  <c r="BK301" i="3"/>
  <c r="BJ301" i="3"/>
  <c r="BI301" i="3"/>
  <c r="BH301" i="3"/>
  <c r="BG301" i="3"/>
  <c r="BF301" i="3"/>
  <c r="BE301" i="3"/>
  <c r="BD301" i="3"/>
  <c r="BC301" i="3"/>
  <c r="BB301" i="3"/>
  <c r="BA301" i="3"/>
  <c r="AZ301" i="3"/>
  <c r="AX301" i="3"/>
  <c r="AW301" i="3"/>
  <c r="AV301" i="3"/>
  <c r="AC301" i="3"/>
  <c r="H301" i="3"/>
  <c r="G301" i="3"/>
  <c r="BL300" i="3"/>
  <c r="BK300" i="3"/>
  <c r="BJ300" i="3"/>
  <c r="BI300" i="3"/>
  <c r="BH300" i="3"/>
  <c r="BG300" i="3"/>
  <c r="BF300" i="3"/>
  <c r="BE300" i="3"/>
  <c r="BD300" i="3"/>
  <c r="BC300" i="3"/>
  <c r="BB300" i="3"/>
  <c r="BA300" i="3"/>
  <c r="AZ300" i="3"/>
  <c r="AX300" i="3"/>
  <c r="AW300" i="3"/>
  <c r="AV300" i="3"/>
  <c r="AC300" i="3"/>
  <c r="H300" i="3"/>
  <c r="G300" i="3"/>
  <c r="BL299" i="3"/>
  <c r="BK299" i="3"/>
  <c r="BJ299" i="3"/>
  <c r="BI299" i="3"/>
  <c r="BH299" i="3"/>
  <c r="BG299" i="3"/>
  <c r="BF299" i="3"/>
  <c r="BE299" i="3"/>
  <c r="BD299" i="3"/>
  <c r="BC299" i="3"/>
  <c r="BB299" i="3"/>
  <c r="BA299" i="3"/>
  <c r="AX299" i="3"/>
  <c r="AW299" i="3"/>
  <c r="AV299" i="3"/>
  <c r="AC299" i="3"/>
  <c r="H299" i="3"/>
  <c r="G299" i="3"/>
  <c r="BL298" i="3"/>
  <c r="BK298" i="3"/>
  <c r="BJ298" i="3"/>
  <c r="BI298" i="3"/>
  <c r="BH298" i="3"/>
  <c r="BG298" i="3"/>
  <c r="BF298" i="3"/>
  <c r="BE298" i="3"/>
  <c r="BD298" i="3"/>
  <c r="BC298" i="3"/>
  <c r="BB298" i="3"/>
  <c r="BA298" i="3"/>
  <c r="AZ298" i="3"/>
  <c r="AX298" i="3"/>
  <c r="AW298" i="3"/>
  <c r="AV298" i="3"/>
  <c r="AC298" i="3"/>
  <c r="H298" i="3"/>
  <c r="G298" i="3"/>
  <c r="BL297" i="3"/>
  <c r="BK297" i="3"/>
  <c r="BJ297" i="3"/>
  <c r="BI297" i="3"/>
  <c r="BH297" i="3"/>
  <c r="BG297" i="3"/>
  <c r="BF297" i="3"/>
  <c r="BE297" i="3"/>
  <c r="BD297" i="3"/>
  <c r="BC297" i="3"/>
  <c r="BB297" i="3"/>
  <c r="BA297" i="3"/>
  <c r="AX297" i="3"/>
  <c r="AW297" i="3"/>
  <c r="AV297" i="3"/>
  <c r="AC297" i="3"/>
  <c r="H297" i="3"/>
  <c r="G297" i="3"/>
  <c r="BL296" i="3"/>
  <c r="BK296" i="3"/>
  <c r="BJ296" i="3"/>
  <c r="BI296" i="3"/>
  <c r="BH296" i="3"/>
  <c r="BG296" i="3"/>
  <c r="BF296" i="3"/>
  <c r="BE296" i="3"/>
  <c r="BD296" i="3"/>
  <c r="BC296" i="3"/>
  <c r="BB296" i="3"/>
  <c r="BA296" i="3"/>
  <c r="AX296" i="3"/>
  <c r="AW296" i="3"/>
  <c r="AV296" i="3"/>
  <c r="AC296" i="3"/>
  <c r="H296" i="3"/>
  <c r="G296" i="3"/>
  <c r="BL295" i="3"/>
  <c r="BK295" i="3"/>
  <c r="BJ295" i="3"/>
  <c r="BI295" i="3"/>
  <c r="BH295" i="3"/>
  <c r="BG295" i="3"/>
  <c r="BF295" i="3"/>
  <c r="BE295" i="3"/>
  <c r="BD295" i="3"/>
  <c r="BC295" i="3"/>
  <c r="BB295" i="3"/>
  <c r="BA295" i="3"/>
  <c r="AX295" i="3"/>
  <c r="AW295" i="3"/>
  <c r="AV295" i="3"/>
  <c r="AC295" i="3"/>
  <c r="H295" i="3"/>
  <c r="G295" i="3"/>
  <c r="BL294" i="3"/>
  <c r="BK294" i="3"/>
  <c r="BJ294" i="3"/>
  <c r="BI294" i="3"/>
  <c r="BH294" i="3"/>
  <c r="BG294" i="3"/>
  <c r="BF294" i="3"/>
  <c r="BE294" i="3"/>
  <c r="BD294" i="3"/>
  <c r="BC294" i="3"/>
  <c r="BB294" i="3"/>
  <c r="BA294" i="3"/>
  <c r="AZ294" i="3"/>
  <c r="AX294" i="3"/>
  <c r="AW294" i="3"/>
  <c r="AV294" i="3"/>
  <c r="AC294" i="3"/>
  <c r="H294" i="3"/>
  <c r="G294" i="3"/>
  <c r="BL293" i="3"/>
  <c r="BK293" i="3"/>
  <c r="BJ293" i="3"/>
  <c r="BI293" i="3"/>
  <c r="BH293" i="3"/>
  <c r="BG293" i="3"/>
  <c r="BF293" i="3"/>
  <c r="BE293" i="3"/>
  <c r="BD293" i="3"/>
  <c r="BC293" i="3"/>
  <c r="BB293" i="3"/>
  <c r="BA293" i="3"/>
  <c r="AZ293" i="3"/>
  <c r="AX293" i="3"/>
  <c r="AW293" i="3"/>
  <c r="AV293" i="3"/>
  <c r="AC293" i="3"/>
  <c r="H293" i="3"/>
  <c r="G293" i="3"/>
  <c r="BL292" i="3"/>
  <c r="BK292" i="3"/>
  <c r="BJ292" i="3"/>
  <c r="BI292" i="3"/>
  <c r="BH292" i="3"/>
  <c r="BG292" i="3"/>
  <c r="BF292" i="3"/>
  <c r="BE292" i="3"/>
  <c r="BD292" i="3"/>
  <c r="BC292" i="3"/>
  <c r="BB292" i="3"/>
  <c r="BA292" i="3"/>
  <c r="AZ292" i="3"/>
  <c r="AX292" i="3"/>
  <c r="AW292" i="3"/>
  <c r="AV292" i="3"/>
  <c r="AC292" i="3"/>
  <c r="H292" i="3"/>
  <c r="G292" i="3"/>
  <c r="BL291" i="3"/>
  <c r="BK291" i="3"/>
  <c r="BJ291" i="3"/>
  <c r="BI291" i="3"/>
  <c r="BH291" i="3"/>
  <c r="BG291" i="3"/>
  <c r="BF291" i="3"/>
  <c r="BE291" i="3"/>
  <c r="BD291" i="3"/>
  <c r="BC291" i="3"/>
  <c r="BB291" i="3"/>
  <c r="BA291" i="3"/>
  <c r="AX291" i="3"/>
  <c r="AW291" i="3"/>
  <c r="AV291" i="3"/>
  <c r="AC291" i="3"/>
  <c r="H291" i="3"/>
  <c r="G291" i="3"/>
  <c r="BL290" i="3"/>
  <c r="BK290" i="3"/>
  <c r="BJ290" i="3"/>
  <c r="BI290" i="3"/>
  <c r="BH290" i="3"/>
  <c r="BG290" i="3"/>
  <c r="BF290" i="3"/>
  <c r="BE290" i="3"/>
  <c r="BD290" i="3"/>
  <c r="BC290" i="3"/>
  <c r="BB290" i="3"/>
  <c r="BA290" i="3"/>
  <c r="AZ290" i="3"/>
  <c r="AX290" i="3"/>
  <c r="AW290" i="3"/>
  <c r="AV290" i="3"/>
  <c r="AC290" i="3"/>
  <c r="H290" i="3"/>
  <c r="G290" i="3"/>
  <c r="BL289" i="3"/>
  <c r="BK289" i="3"/>
  <c r="BJ289" i="3"/>
  <c r="BI289" i="3"/>
  <c r="BH289" i="3"/>
  <c r="BG289" i="3"/>
  <c r="BF289" i="3"/>
  <c r="BE289" i="3"/>
  <c r="BD289" i="3"/>
  <c r="BC289" i="3"/>
  <c r="BB289" i="3"/>
  <c r="BA289" i="3"/>
  <c r="AZ289" i="3"/>
  <c r="AX289" i="3"/>
  <c r="AW289" i="3"/>
  <c r="AV289" i="3"/>
  <c r="AC289" i="3"/>
  <c r="H289" i="3"/>
  <c r="G289" i="3"/>
  <c r="BL288" i="3"/>
  <c r="BK288" i="3"/>
  <c r="BJ288" i="3"/>
  <c r="BI288" i="3"/>
  <c r="BH288" i="3"/>
  <c r="BG288" i="3"/>
  <c r="BF288" i="3"/>
  <c r="BE288" i="3"/>
  <c r="BD288" i="3"/>
  <c r="BC288" i="3"/>
  <c r="BB288" i="3"/>
  <c r="BA288" i="3"/>
  <c r="AX288" i="3"/>
  <c r="AW288" i="3"/>
  <c r="AV288" i="3"/>
  <c r="AC288" i="3"/>
  <c r="H288" i="3"/>
  <c r="G288" i="3"/>
  <c r="BL287" i="3"/>
  <c r="BK287" i="3"/>
  <c r="BJ287" i="3"/>
  <c r="BI287" i="3"/>
  <c r="BH287" i="3"/>
  <c r="BG287" i="3"/>
  <c r="BF287" i="3"/>
  <c r="BE287" i="3"/>
  <c r="BD287" i="3"/>
  <c r="BC287" i="3"/>
  <c r="BB287" i="3"/>
  <c r="BA287" i="3"/>
  <c r="AX287" i="3"/>
  <c r="AW287" i="3"/>
  <c r="AV287" i="3"/>
  <c r="AC287" i="3"/>
  <c r="H287" i="3"/>
  <c r="G287" i="3"/>
  <c r="BL286" i="3"/>
  <c r="BK286" i="3"/>
  <c r="BJ286" i="3"/>
  <c r="BI286" i="3"/>
  <c r="BH286" i="3"/>
  <c r="BG286" i="3"/>
  <c r="BF286" i="3"/>
  <c r="BE286" i="3"/>
  <c r="BD286" i="3"/>
  <c r="BC286" i="3"/>
  <c r="BB286" i="3"/>
  <c r="BA286" i="3"/>
  <c r="AX286" i="3"/>
  <c r="AW286" i="3"/>
  <c r="AV286" i="3"/>
  <c r="AC286" i="3"/>
  <c r="H286" i="3"/>
  <c r="G286" i="3"/>
  <c r="BL285" i="3"/>
  <c r="BK285" i="3"/>
  <c r="BJ285" i="3"/>
  <c r="BI285" i="3"/>
  <c r="BH285" i="3"/>
  <c r="BG285" i="3"/>
  <c r="BF285" i="3"/>
  <c r="BE285" i="3"/>
  <c r="BD285" i="3"/>
  <c r="BC285" i="3"/>
  <c r="BB285" i="3"/>
  <c r="BA285" i="3"/>
  <c r="AZ285" i="3"/>
  <c r="AX285" i="3"/>
  <c r="AW285" i="3"/>
  <c r="AV285" i="3"/>
  <c r="AC285" i="3"/>
  <c r="H285" i="3"/>
  <c r="G285" i="3"/>
  <c r="BL284" i="3"/>
  <c r="BK284" i="3"/>
  <c r="BJ284" i="3"/>
  <c r="BI284" i="3"/>
  <c r="BH284" i="3"/>
  <c r="BG284" i="3"/>
  <c r="BF284" i="3"/>
  <c r="BE284" i="3"/>
  <c r="BD284" i="3"/>
  <c r="BC284" i="3"/>
  <c r="BB284" i="3"/>
  <c r="BA284" i="3"/>
  <c r="AZ284" i="3"/>
  <c r="AX284" i="3"/>
  <c r="AW284" i="3"/>
  <c r="AV284" i="3"/>
  <c r="AC284" i="3"/>
  <c r="H284" i="3"/>
  <c r="G284" i="3"/>
  <c r="BL283" i="3"/>
  <c r="BK283" i="3"/>
  <c r="BJ283" i="3"/>
  <c r="BI283" i="3"/>
  <c r="BH283" i="3"/>
  <c r="BG283" i="3"/>
  <c r="BF283" i="3"/>
  <c r="BE283" i="3"/>
  <c r="BD283" i="3"/>
  <c r="BC283" i="3"/>
  <c r="BB283" i="3"/>
  <c r="BA283" i="3"/>
  <c r="AX283" i="3"/>
  <c r="AW283" i="3"/>
  <c r="AV283" i="3"/>
  <c r="AC283" i="3"/>
  <c r="H283" i="3"/>
  <c r="G283" i="3"/>
  <c r="BL282" i="3"/>
  <c r="BK282" i="3"/>
  <c r="BJ282" i="3"/>
  <c r="BI282" i="3"/>
  <c r="BH282" i="3"/>
  <c r="BG282" i="3"/>
  <c r="BF282" i="3"/>
  <c r="BE282" i="3"/>
  <c r="BD282" i="3"/>
  <c r="BC282" i="3"/>
  <c r="BB282" i="3"/>
  <c r="BA282" i="3"/>
  <c r="AZ282" i="3"/>
  <c r="AX282" i="3"/>
  <c r="AW282" i="3"/>
  <c r="AV282" i="3"/>
  <c r="AC282" i="3"/>
  <c r="H282" i="3"/>
  <c r="G282" i="3"/>
  <c r="BL281" i="3"/>
  <c r="BK281" i="3"/>
  <c r="BJ281" i="3"/>
  <c r="BI281" i="3"/>
  <c r="BH281" i="3"/>
  <c r="BG281" i="3"/>
  <c r="BF281" i="3"/>
  <c r="BE281" i="3"/>
  <c r="BD281" i="3"/>
  <c r="BC281" i="3"/>
  <c r="BB281" i="3"/>
  <c r="BA281" i="3"/>
  <c r="AX281" i="3"/>
  <c r="AW281" i="3"/>
  <c r="AV281" i="3"/>
  <c r="AC281" i="3"/>
  <c r="H281" i="3"/>
  <c r="G281" i="3"/>
  <c r="BL280" i="3"/>
  <c r="BK280" i="3"/>
  <c r="BJ280" i="3"/>
  <c r="BI280" i="3"/>
  <c r="BH280" i="3"/>
  <c r="BG280" i="3"/>
  <c r="BF280" i="3"/>
  <c r="BE280" i="3"/>
  <c r="BD280" i="3"/>
  <c r="BC280" i="3"/>
  <c r="BB280" i="3"/>
  <c r="BA280" i="3"/>
  <c r="AX280" i="3"/>
  <c r="AW280" i="3"/>
  <c r="AV280" i="3"/>
  <c r="AC280" i="3"/>
  <c r="H280" i="3"/>
  <c r="G280" i="3"/>
  <c r="BL279" i="3"/>
  <c r="BK279" i="3"/>
  <c r="BJ279" i="3"/>
  <c r="BI279" i="3"/>
  <c r="BH279" i="3"/>
  <c r="BG279" i="3"/>
  <c r="BF279" i="3"/>
  <c r="BE279" i="3"/>
  <c r="BD279" i="3"/>
  <c r="BC279" i="3"/>
  <c r="BB279" i="3"/>
  <c r="BA279" i="3"/>
  <c r="AX279" i="3"/>
  <c r="AW279" i="3"/>
  <c r="AV279" i="3"/>
  <c r="AC279" i="3"/>
  <c r="H279" i="3"/>
  <c r="G279" i="3"/>
  <c r="BL278" i="3"/>
  <c r="BK278" i="3"/>
  <c r="BJ278" i="3"/>
  <c r="BI278" i="3"/>
  <c r="BH278" i="3"/>
  <c r="BG278" i="3"/>
  <c r="BF278" i="3"/>
  <c r="BE278" i="3"/>
  <c r="BD278" i="3"/>
  <c r="BC278" i="3"/>
  <c r="BB278" i="3"/>
  <c r="BA278" i="3"/>
  <c r="AZ278" i="3"/>
  <c r="AX278" i="3"/>
  <c r="AW278" i="3"/>
  <c r="AV278" i="3"/>
  <c r="AC278" i="3"/>
  <c r="H278" i="3"/>
  <c r="G278" i="3"/>
  <c r="BL277" i="3"/>
  <c r="BK277" i="3"/>
  <c r="BJ277" i="3"/>
  <c r="BI277" i="3"/>
  <c r="BH277" i="3"/>
  <c r="BG277" i="3"/>
  <c r="BF277" i="3"/>
  <c r="BE277" i="3"/>
  <c r="BD277" i="3"/>
  <c r="BC277" i="3"/>
  <c r="BB277" i="3"/>
  <c r="BA277" i="3"/>
  <c r="AZ277" i="3"/>
  <c r="AX277" i="3"/>
  <c r="AW277" i="3"/>
  <c r="AV277" i="3"/>
  <c r="AC277" i="3"/>
  <c r="H277" i="3"/>
  <c r="G277" i="3"/>
  <c r="BL276" i="3"/>
  <c r="BK276" i="3"/>
  <c r="BJ276" i="3"/>
  <c r="BI276" i="3"/>
  <c r="BH276" i="3"/>
  <c r="BG276" i="3"/>
  <c r="BF276" i="3"/>
  <c r="BE276" i="3"/>
  <c r="BD276" i="3"/>
  <c r="BC276" i="3"/>
  <c r="BB276" i="3"/>
  <c r="BA276" i="3"/>
  <c r="AZ276" i="3"/>
  <c r="AX276" i="3"/>
  <c r="AW276" i="3"/>
  <c r="AV276" i="3"/>
  <c r="AC276" i="3"/>
  <c r="H276" i="3"/>
  <c r="G276" i="3"/>
  <c r="BL275" i="3"/>
  <c r="BK275" i="3"/>
  <c r="BJ275" i="3"/>
  <c r="BI275" i="3"/>
  <c r="BH275" i="3"/>
  <c r="BG275" i="3"/>
  <c r="BF275" i="3"/>
  <c r="BE275" i="3"/>
  <c r="BD275" i="3"/>
  <c r="BC275" i="3"/>
  <c r="BB275" i="3"/>
  <c r="BA275" i="3"/>
  <c r="AX275" i="3"/>
  <c r="AW275" i="3"/>
  <c r="AV275" i="3"/>
  <c r="AC275" i="3"/>
  <c r="H275" i="3"/>
  <c r="G275" i="3"/>
  <c r="BL274" i="3"/>
  <c r="BK274" i="3"/>
  <c r="BJ274" i="3"/>
  <c r="BI274" i="3"/>
  <c r="BH274" i="3"/>
  <c r="BG274" i="3"/>
  <c r="BF274" i="3"/>
  <c r="BE274" i="3"/>
  <c r="BD274" i="3"/>
  <c r="BC274" i="3"/>
  <c r="BB274" i="3"/>
  <c r="BA274" i="3"/>
  <c r="AZ274" i="3"/>
  <c r="AX274" i="3"/>
  <c r="AW274" i="3"/>
  <c r="AV274" i="3"/>
  <c r="AC274" i="3"/>
  <c r="H274" i="3"/>
  <c r="G274" i="3"/>
  <c r="BL273" i="3"/>
  <c r="BK273" i="3"/>
  <c r="BJ273" i="3"/>
  <c r="BI273" i="3"/>
  <c r="BH273" i="3"/>
  <c r="BG273" i="3"/>
  <c r="BF273" i="3"/>
  <c r="BE273" i="3"/>
  <c r="BD273" i="3"/>
  <c r="BC273" i="3"/>
  <c r="BB273" i="3"/>
  <c r="BA273" i="3"/>
  <c r="AX273" i="3"/>
  <c r="AW273" i="3"/>
  <c r="AV273" i="3"/>
  <c r="AC273" i="3"/>
  <c r="H273" i="3"/>
  <c r="G273" i="3"/>
  <c r="BL272" i="3"/>
  <c r="BK272" i="3"/>
  <c r="BJ272" i="3"/>
  <c r="BI272" i="3"/>
  <c r="BH272" i="3"/>
  <c r="BG272" i="3"/>
  <c r="BF272" i="3"/>
  <c r="BE272" i="3"/>
  <c r="BD272" i="3"/>
  <c r="BC272" i="3"/>
  <c r="BB272" i="3"/>
  <c r="BA272" i="3"/>
  <c r="AZ272" i="3"/>
  <c r="AX272" i="3"/>
  <c r="AW272" i="3"/>
  <c r="AV272" i="3"/>
  <c r="AC272" i="3"/>
  <c r="H272" i="3"/>
  <c r="G272" i="3"/>
  <c r="BL271" i="3"/>
  <c r="BK271" i="3"/>
  <c r="BJ271" i="3"/>
  <c r="BI271" i="3"/>
  <c r="BH271" i="3"/>
  <c r="BG271" i="3"/>
  <c r="BF271" i="3"/>
  <c r="BE271" i="3"/>
  <c r="BD271" i="3"/>
  <c r="BC271" i="3"/>
  <c r="BB271" i="3"/>
  <c r="BA271" i="3"/>
  <c r="AX271" i="3"/>
  <c r="AW271" i="3"/>
  <c r="AV271" i="3"/>
  <c r="AC271" i="3"/>
  <c r="H271" i="3"/>
  <c r="G271" i="3"/>
  <c r="BL270" i="3"/>
  <c r="BK270" i="3"/>
  <c r="BJ270" i="3"/>
  <c r="BI270" i="3"/>
  <c r="BH270" i="3"/>
  <c r="BG270" i="3"/>
  <c r="BF270" i="3"/>
  <c r="BE270" i="3"/>
  <c r="BD270" i="3"/>
  <c r="BC270" i="3"/>
  <c r="BB270" i="3"/>
  <c r="BA270" i="3"/>
  <c r="AZ270" i="3"/>
  <c r="AX270" i="3"/>
  <c r="AW270" i="3"/>
  <c r="AV270" i="3"/>
  <c r="AC270" i="3"/>
  <c r="H270" i="3"/>
  <c r="G270" i="3"/>
  <c r="BL269" i="3"/>
  <c r="BK269" i="3"/>
  <c r="BJ269" i="3"/>
  <c r="BI269" i="3"/>
  <c r="BH269" i="3"/>
  <c r="BG269" i="3"/>
  <c r="BF269" i="3"/>
  <c r="BE269" i="3"/>
  <c r="BD269" i="3"/>
  <c r="BC269" i="3"/>
  <c r="BB269" i="3"/>
  <c r="BA269" i="3"/>
  <c r="AX269" i="3"/>
  <c r="AW269" i="3"/>
  <c r="AV269" i="3"/>
  <c r="AC269" i="3"/>
  <c r="H269" i="3"/>
  <c r="G269" i="3"/>
  <c r="BL268" i="3"/>
  <c r="BK268" i="3"/>
  <c r="BJ268" i="3"/>
  <c r="BI268" i="3"/>
  <c r="BH268" i="3"/>
  <c r="BG268" i="3"/>
  <c r="BF268" i="3"/>
  <c r="BE268" i="3"/>
  <c r="BD268" i="3"/>
  <c r="BC268" i="3"/>
  <c r="BB268" i="3"/>
  <c r="BA268" i="3"/>
  <c r="AX268" i="3"/>
  <c r="AW268" i="3"/>
  <c r="AV268" i="3"/>
  <c r="AC268" i="3"/>
  <c r="H268" i="3"/>
  <c r="G268" i="3"/>
  <c r="BL267" i="3"/>
  <c r="BK267" i="3"/>
  <c r="BJ267" i="3"/>
  <c r="BI267" i="3"/>
  <c r="BH267" i="3"/>
  <c r="BG267" i="3"/>
  <c r="BF267" i="3"/>
  <c r="BE267" i="3"/>
  <c r="BD267" i="3"/>
  <c r="BC267" i="3"/>
  <c r="BB267" i="3"/>
  <c r="BA267" i="3"/>
  <c r="AZ267" i="3"/>
  <c r="AX267" i="3"/>
  <c r="AW267" i="3"/>
  <c r="AV267" i="3"/>
  <c r="AC267" i="3"/>
  <c r="H267" i="3"/>
  <c r="G267" i="3"/>
  <c r="BL266" i="3"/>
  <c r="BK266" i="3"/>
  <c r="BJ266" i="3"/>
  <c r="BI266" i="3"/>
  <c r="BH266" i="3"/>
  <c r="BG266" i="3"/>
  <c r="BF266" i="3"/>
  <c r="BE266" i="3"/>
  <c r="BD266" i="3"/>
  <c r="BC266" i="3"/>
  <c r="BB266" i="3"/>
  <c r="BA266" i="3"/>
  <c r="AX266" i="3"/>
  <c r="AW266" i="3"/>
  <c r="AV266" i="3"/>
  <c r="AC266" i="3"/>
  <c r="H266" i="3"/>
  <c r="G266" i="3"/>
  <c r="BL265" i="3"/>
  <c r="BK265" i="3"/>
  <c r="BJ265" i="3"/>
  <c r="BI265" i="3"/>
  <c r="BH265" i="3"/>
  <c r="BG265" i="3"/>
  <c r="BF265" i="3"/>
  <c r="BE265" i="3"/>
  <c r="BD265" i="3"/>
  <c r="BC265" i="3"/>
  <c r="BB265" i="3"/>
  <c r="BA265" i="3"/>
  <c r="AX265" i="3"/>
  <c r="AW265" i="3"/>
  <c r="AV265" i="3"/>
  <c r="AC265" i="3"/>
  <c r="H265" i="3"/>
  <c r="G265" i="3"/>
  <c r="BL264" i="3"/>
  <c r="BK264" i="3"/>
  <c r="BJ264" i="3"/>
  <c r="BI264" i="3"/>
  <c r="BH264" i="3"/>
  <c r="BG264" i="3"/>
  <c r="BF264" i="3"/>
  <c r="BE264" i="3"/>
  <c r="BD264" i="3"/>
  <c r="BC264" i="3"/>
  <c r="BB264" i="3"/>
  <c r="BA264" i="3"/>
  <c r="AZ264" i="3"/>
  <c r="AX264" i="3"/>
  <c r="AW264" i="3"/>
  <c r="AV264" i="3"/>
  <c r="AC264" i="3"/>
  <c r="H264" i="3"/>
  <c r="G264" i="3"/>
  <c r="BL263" i="3"/>
  <c r="BK263" i="3"/>
  <c r="BJ263" i="3"/>
  <c r="BI263" i="3"/>
  <c r="BH263" i="3"/>
  <c r="BG263" i="3"/>
  <c r="BF263" i="3"/>
  <c r="BE263" i="3"/>
  <c r="BD263" i="3"/>
  <c r="BC263" i="3"/>
  <c r="BB263" i="3"/>
  <c r="BA263" i="3"/>
  <c r="AX263" i="3"/>
  <c r="AW263" i="3"/>
  <c r="AV263" i="3"/>
  <c r="AC263" i="3"/>
  <c r="H263" i="3"/>
  <c r="G263" i="3"/>
  <c r="BL262" i="3"/>
  <c r="BK262" i="3"/>
  <c r="BJ262" i="3"/>
  <c r="BI262" i="3"/>
  <c r="BH262" i="3"/>
  <c r="BG262" i="3"/>
  <c r="BF262" i="3"/>
  <c r="BE262" i="3"/>
  <c r="BD262" i="3"/>
  <c r="BC262" i="3"/>
  <c r="BB262" i="3"/>
  <c r="BA262" i="3"/>
  <c r="AZ262" i="3"/>
  <c r="AX262" i="3"/>
  <c r="AW262" i="3"/>
  <c r="AV262" i="3"/>
  <c r="AC262" i="3"/>
  <c r="H262" i="3"/>
  <c r="G262" i="3"/>
  <c r="BL261" i="3"/>
  <c r="BK261" i="3"/>
  <c r="BJ261" i="3"/>
  <c r="BI261" i="3"/>
  <c r="BH261" i="3"/>
  <c r="BG261" i="3"/>
  <c r="BF261" i="3"/>
  <c r="BE261" i="3"/>
  <c r="BD261" i="3"/>
  <c r="BC261" i="3"/>
  <c r="BB261" i="3"/>
  <c r="BA261" i="3"/>
  <c r="AX261" i="3"/>
  <c r="AW261" i="3"/>
  <c r="AV261" i="3"/>
  <c r="AC261" i="3"/>
  <c r="H261" i="3"/>
  <c r="G261" i="3"/>
  <c r="BL260" i="3"/>
  <c r="BK260" i="3"/>
  <c r="BJ260" i="3"/>
  <c r="BI260" i="3"/>
  <c r="BH260" i="3"/>
  <c r="BG260" i="3"/>
  <c r="BF260" i="3"/>
  <c r="BE260" i="3"/>
  <c r="BD260" i="3"/>
  <c r="BC260" i="3"/>
  <c r="BB260" i="3"/>
  <c r="BA260" i="3"/>
  <c r="AZ260" i="3"/>
  <c r="AX260" i="3"/>
  <c r="AW260" i="3"/>
  <c r="AV260" i="3"/>
  <c r="AC260" i="3"/>
  <c r="H260" i="3"/>
  <c r="G260" i="3"/>
  <c r="BL259" i="3"/>
  <c r="BK259" i="3"/>
  <c r="BJ259" i="3"/>
  <c r="BI259" i="3"/>
  <c r="BH259" i="3"/>
  <c r="BG259" i="3"/>
  <c r="BF259" i="3"/>
  <c r="BE259" i="3"/>
  <c r="BD259" i="3"/>
  <c r="BC259" i="3"/>
  <c r="BB259" i="3"/>
  <c r="BA259" i="3"/>
  <c r="AX259" i="3"/>
  <c r="AW259" i="3"/>
  <c r="AV259" i="3"/>
  <c r="AC259" i="3"/>
  <c r="H259" i="3"/>
  <c r="G259" i="3"/>
  <c r="BL258" i="3"/>
  <c r="BK258" i="3"/>
  <c r="BJ258" i="3"/>
  <c r="BI258" i="3"/>
  <c r="BH258" i="3"/>
  <c r="BG258" i="3"/>
  <c r="BF258" i="3"/>
  <c r="BE258" i="3"/>
  <c r="BD258" i="3"/>
  <c r="BC258" i="3"/>
  <c r="BB258" i="3"/>
  <c r="BA258" i="3"/>
  <c r="AZ258" i="3"/>
  <c r="AX258" i="3"/>
  <c r="AW258" i="3"/>
  <c r="AV258" i="3"/>
  <c r="AC258" i="3"/>
  <c r="H258" i="3"/>
  <c r="G258" i="3"/>
  <c r="BL257" i="3"/>
  <c r="BK257" i="3"/>
  <c r="BJ257" i="3"/>
  <c r="BI257" i="3"/>
  <c r="BH257" i="3"/>
  <c r="BG257" i="3"/>
  <c r="BF257" i="3"/>
  <c r="BE257" i="3"/>
  <c r="BD257" i="3"/>
  <c r="BC257" i="3"/>
  <c r="BB257" i="3"/>
  <c r="BA257" i="3"/>
  <c r="AX257" i="3"/>
  <c r="AW257" i="3"/>
  <c r="AV257" i="3"/>
  <c r="AC257" i="3"/>
  <c r="H257" i="3"/>
  <c r="G257" i="3"/>
  <c r="BL256" i="3"/>
  <c r="BK256" i="3"/>
  <c r="BJ256" i="3"/>
  <c r="BI256" i="3"/>
  <c r="BH256" i="3"/>
  <c r="BG256" i="3"/>
  <c r="BF256" i="3"/>
  <c r="BE256" i="3"/>
  <c r="BD256" i="3"/>
  <c r="BC256" i="3"/>
  <c r="BB256" i="3"/>
  <c r="BA256" i="3"/>
  <c r="AX256" i="3"/>
  <c r="AW256" i="3"/>
  <c r="AV256" i="3"/>
  <c r="AC256" i="3"/>
  <c r="H256" i="3"/>
  <c r="G256" i="3"/>
  <c r="BL255" i="3"/>
  <c r="BK255" i="3"/>
  <c r="BJ255" i="3"/>
  <c r="BI255" i="3"/>
  <c r="BH255" i="3"/>
  <c r="BG255" i="3"/>
  <c r="BF255" i="3"/>
  <c r="BE255" i="3"/>
  <c r="BD255" i="3"/>
  <c r="BC255" i="3"/>
  <c r="BB255" i="3"/>
  <c r="BA255" i="3"/>
  <c r="AZ255" i="3"/>
  <c r="AX255" i="3"/>
  <c r="AW255" i="3"/>
  <c r="AV255" i="3"/>
  <c r="AC255" i="3"/>
  <c r="H255" i="3"/>
  <c r="G255" i="3"/>
  <c r="BL254" i="3"/>
  <c r="BK254" i="3"/>
  <c r="BJ254" i="3"/>
  <c r="BI254" i="3"/>
  <c r="BH254" i="3"/>
  <c r="BG254" i="3"/>
  <c r="BF254" i="3"/>
  <c r="BE254" i="3"/>
  <c r="BD254" i="3"/>
  <c r="BC254" i="3"/>
  <c r="BB254" i="3"/>
  <c r="BA254" i="3"/>
  <c r="AX254" i="3"/>
  <c r="AW254" i="3"/>
  <c r="AV254" i="3"/>
  <c r="AC254" i="3"/>
  <c r="H254" i="3"/>
  <c r="G254" i="3"/>
  <c r="BL253" i="3"/>
  <c r="BK253" i="3"/>
  <c r="BJ253" i="3"/>
  <c r="BI253" i="3"/>
  <c r="BH253" i="3"/>
  <c r="BG253" i="3"/>
  <c r="BF253" i="3"/>
  <c r="BE253" i="3"/>
  <c r="BD253" i="3"/>
  <c r="BC253" i="3"/>
  <c r="BB253" i="3"/>
  <c r="BA253" i="3"/>
  <c r="AX253" i="3"/>
  <c r="AW253" i="3"/>
  <c r="AV253" i="3"/>
  <c r="AC253" i="3"/>
  <c r="H253" i="3"/>
  <c r="G253" i="3"/>
  <c r="BL252" i="3"/>
  <c r="BK252" i="3"/>
  <c r="BJ252" i="3"/>
  <c r="BI252" i="3"/>
  <c r="BH252" i="3"/>
  <c r="BG252" i="3"/>
  <c r="BF252" i="3"/>
  <c r="BE252" i="3"/>
  <c r="BD252" i="3"/>
  <c r="BC252" i="3"/>
  <c r="BB252" i="3"/>
  <c r="BA252" i="3"/>
  <c r="AZ252" i="3"/>
  <c r="AX252" i="3"/>
  <c r="AW252" i="3"/>
  <c r="AV252" i="3"/>
  <c r="AC252" i="3"/>
  <c r="H252" i="3"/>
  <c r="G252" i="3"/>
  <c r="BL251" i="3"/>
  <c r="BK251" i="3"/>
  <c r="BJ251" i="3"/>
  <c r="BI251" i="3"/>
  <c r="BH251" i="3"/>
  <c r="BG251" i="3"/>
  <c r="BF251" i="3"/>
  <c r="BE251" i="3"/>
  <c r="BD251" i="3"/>
  <c r="BC251" i="3"/>
  <c r="BB251" i="3"/>
  <c r="BA251" i="3"/>
  <c r="AX251" i="3"/>
  <c r="AW251" i="3"/>
  <c r="AV251" i="3"/>
  <c r="AC251" i="3"/>
  <c r="H251" i="3"/>
  <c r="G251" i="3"/>
  <c r="BL250" i="3"/>
  <c r="BK250" i="3"/>
  <c r="BJ250" i="3"/>
  <c r="BI250" i="3"/>
  <c r="BH250" i="3"/>
  <c r="BG250" i="3"/>
  <c r="BF250" i="3"/>
  <c r="BE250" i="3"/>
  <c r="BD250" i="3"/>
  <c r="BC250" i="3"/>
  <c r="BB250" i="3"/>
  <c r="BA250" i="3"/>
  <c r="AX250" i="3"/>
  <c r="AW250" i="3"/>
  <c r="AV250" i="3"/>
  <c r="AC250" i="3"/>
  <c r="H250" i="3"/>
  <c r="G250" i="3"/>
  <c r="BL249" i="3"/>
  <c r="BK249" i="3"/>
  <c r="BJ249" i="3"/>
  <c r="BI249" i="3"/>
  <c r="BH249" i="3"/>
  <c r="BG249" i="3"/>
  <c r="BF249" i="3"/>
  <c r="BE249" i="3"/>
  <c r="BD249" i="3"/>
  <c r="BC249" i="3"/>
  <c r="BB249" i="3"/>
  <c r="BA249" i="3"/>
  <c r="AX249" i="3"/>
  <c r="AW249" i="3"/>
  <c r="AV249" i="3"/>
  <c r="AC249" i="3"/>
  <c r="H249" i="3"/>
  <c r="G249" i="3"/>
  <c r="BL248" i="3"/>
  <c r="BK248" i="3"/>
  <c r="BJ248" i="3"/>
  <c r="BI248" i="3"/>
  <c r="BH248" i="3"/>
  <c r="BG248" i="3"/>
  <c r="BF248" i="3"/>
  <c r="BE248" i="3"/>
  <c r="BD248" i="3"/>
  <c r="BC248" i="3"/>
  <c r="BB248" i="3"/>
  <c r="BA248" i="3"/>
  <c r="AX248" i="3"/>
  <c r="AW248" i="3"/>
  <c r="AV248" i="3"/>
  <c r="AC248" i="3"/>
  <c r="H248" i="3"/>
  <c r="G248" i="3"/>
  <c r="BL247" i="3"/>
  <c r="BK247" i="3"/>
  <c r="BJ247" i="3"/>
  <c r="BI247" i="3"/>
  <c r="BH247" i="3"/>
  <c r="BG247" i="3"/>
  <c r="BF247" i="3"/>
  <c r="BE247" i="3"/>
  <c r="BD247" i="3"/>
  <c r="BC247" i="3"/>
  <c r="BB247" i="3"/>
  <c r="BA247" i="3"/>
  <c r="AZ247" i="3"/>
  <c r="AX247" i="3"/>
  <c r="AW247" i="3"/>
  <c r="AV247" i="3"/>
  <c r="AC247" i="3"/>
  <c r="H247" i="3"/>
  <c r="G247" i="3"/>
  <c r="BL246" i="3"/>
  <c r="BK246" i="3"/>
  <c r="BJ246" i="3"/>
  <c r="BI246" i="3"/>
  <c r="BH246" i="3"/>
  <c r="BG246" i="3"/>
  <c r="BF246" i="3"/>
  <c r="BE246" i="3"/>
  <c r="BD246" i="3"/>
  <c r="BC246" i="3"/>
  <c r="BB246" i="3"/>
  <c r="BA246" i="3"/>
  <c r="AZ246" i="3"/>
  <c r="AX246" i="3"/>
  <c r="AW246" i="3"/>
  <c r="AV246" i="3"/>
  <c r="AC246" i="3"/>
  <c r="H246" i="3"/>
  <c r="G246" i="3"/>
  <c r="BL245" i="3"/>
  <c r="BK245" i="3"/>
  <c r="BJ245" i="3"/>
  <c r="BI245" i="3"/>
  <c r="BH245" i="3"/>
  <c r="BG245" i="3"/>
  <c r="BF245" i="3"/>
  <c r="BE245" i="3"/>
  <c r="BD245" i="3"/>
  <c r="BC245" i="3"/>
  <c r="BB245" i="3"/>
  <c r="BA245" i="3"/>
  <c r="AX245" i="3"/>
  <c r="AW245" i="3"/>
  <c r="AV245" i="3"/>
  <c r="AC245" i="3"/>
  <c r="H245" i="3"/>
  <c r="G245" i="3"/>
  <c r="BL244" i="3"/>
  <c r="BK244" i="3"/>
  <c r="BJ244" i="3"/>
  <c r="BI244" i="3"/>
  <c r="BH244" i="3"/>
  <c r="BG244" i="3"/>
  <c r="BF244" i="3"/>
  <c r="BE244" i="3"/>
  <c r="BD244" i="3"/>
  <c r="BC244" i="3"/>
  <c r="BB244" i="3"/>
  <c r="BA244" i="3"/>
  <c r="AZ244" i="3"/>
  <c r="AX244" i="3"/>
  <c r="AW244" i="3"/>
  <c r="AV244" i="3"/>
  <c r="AC244" i="3"/>
  <c r="H244" i="3"/>
  <c r="G244" i="3"/>
  <c r="BL243" i="3"/>
  <c r="BK243" i="3"/>
  <c r="BJ243" i="3"/>
  <c r="BI243" i="3"/>
  <c r="BH243" i="3"/>
  <c r="BG243" i="3"/>
  <c r="BF243" i="3"/>
  <c r="BE243" i="3"/>
  <c r="BD243" i="3"/>
  <c r="BC243" i="3"/>
  <c r="BB243" i="3"/>
  <c r="BA243" i="3"/>
  <c r="AX243" i="3"/>
  <c r="AW243" i="3"/>
  <c r="AV243" i="3"/>
  <c r="AC243" i="3"/>
  <c r="H243" i="3"/>
  <c r="G243" i="3"/>
  <c r="BL242" i="3"/>
  <c r="BK242" i="3"/>
  <c r="BJ242" i="3"/>
  <c r="BI242" i="3"/>
  <c r="BH242" i="3"/>
  <c r="BG242" i="3"/>
  <c r="BF242" i="3"/>
  <c r="BE242" i="3"/>
  <c r="BD242" i="3"/>
  <c r="BC242" i="3"/>
  <c r="BB242" i="3"/>
  <c r="BA242" i="3"/>
  <c r="AZ242" i="3"/>
  <c r="AX242" i="3"/>
  <c r="AW242" i="3"/>
  <c r="AV242" i="3"/>
  <c r="AC242" i="3"/>
  <c r="H242" i="3"/>
  <c r="G242" i="3"/>
  <c r="BL241" i="3"/>
  <c r="BK241" i="3"/>
  <c r="BJ241" i="3"/>
  <c r="BI241" i="3"/>
  <c r="BH241" i="3"/>
  <c r="BG241" i="3"/>
  <c r="BF241" i="3"/>
  <c r="BE241" i="3"/>
  <c r="BD241" i="3"/>
  <c r="BC241" i="3"/>
  <c r="BB241" i="3"/>
  <c r="BA241" i="3"/>
  <c r="AX241" i="3"/>
  <c r="AW241" i="3"/>
  <c r="AV241" i="3"/>
  <c r="AC241" i="3"/>
  <c r="H241" i="3"/>
  <c r="G241" i="3"/>
  <c r="BL240" i="3"/>
  <c r="BK240" i="3"/>
  <c r="BJ240" i="3"/>
  <c r="BI240" i="3"/>
  <c r="BH240" i="3"/>
  <c r="BG240" i="3"/>
  <c r="BF240" i="3"/>
  <c r="BE240" i="3"/>
  <c r="BD240" i="3"/>
  <c r="BC240" i="3"/>
  <c r="BB240" i="3"/>
  <c r="BA240" i="3"/>
  <c r="AX240" i="3"/>
  <c r="AW240" i="3"/>
  <c r="AV240" i="3"/>
  <c r="AC240" i="3"/>
  <c r="H240" i="3"/>
  <c r="G240" i="3"/>
  <c r="BL239" i="3"/>
  <c r="BK239" i="3"/>
  <c r="BJ239" i="3"/>
  <c r="BI239" i="3"/>
  <c r="BH239" i="3"/>
  <c r="BG239" i="3"/>
  <c r="BF239" i="3"/>
  <c r="BE239" i="3"/>
  <c r="BD239" i="3"/>
  <c r="BC239" i="3"/>
  <c r="BB239" i="3"/>
  <c r="BA239" i="3"/>
  <c r="AZ239" i="3"/>
  <c r="AX239" i="3"/>
  <c r="AW239" i="3"/>
  <c r="AV239" i="3"/>
  <c r="AC239" i="3"/>
  <c r="H239" i="3"/>
  <c r="G239" i="3"/>
  <c r="BL238" i="3"/>
  <c r="BK238" i="3"/>
  <c r="BJ238" i="3"/>
  <c r="BI238" i="3"/>
  <c r="BH238" i="3"/>
  <c r="BG238" i="3"/>
  <c r="BF238" i="3"/>
  <c r="BE238" i="3"/>
  <c r="BD238" i="3"/>
  <c r="BC238" i="3"/>
  <c r="BB238" i="3"/>
  <c r="BA238" i="3"/>
  <c r="AX238" i="3"/>
  <c r="AW238" i="3"/>
  <c r="AV238" i="3"/>
  <c r="AC238" i="3"/>
  <c r="H238" i="3"/>
  <c r="G238" i="3"/>
  <c r="BL237" i="3"/>
  <c r="BK237" i="3"/>
  <c r="BJ237" i="3"/>
  <c r="BI237" i="3"/>
  <c r="BH237" i="3"/>
  <c r="BG237" i="3"/>
  <c r="BF237" i="3"/>
  <c r="BE237" i="3"/>
  <c r="BD237" i="3"/>
  <c r="BC237" i="3"/>
  <c r="BB237" i="3"/>
  <c r="BA237" i="3"/>
  <c r="AX237" i="3"/>
  <c r="AW237" i="3"/>
  <c r="AV237" i="3"/>
  <c r="AC237" i="3"/>
  <c r="H237" i="3"/>
  <c r="G237" i="3"/>
  <c r="BL236" i="3"/>
  <c r="BK236" i="3"/>
  <c r="BJ236" i="3"/>
  <c r="BI236" i="3"/>
  <c r="BH236" i="3"/>
  <c r="BG236" i="3"/>
  <c r="BF236" i="3"/>
  <c r="BE236" i="3"/>
  <c r="BD236" i="3"/>
  <c r="BC236" i="3"/>
  <c r="BB236" i="3"/>
  <c r="BA236" i="3"/>
  <c r="AZ236" i="3"/>
  <c r="AX236" i="3"/>
  <c r="AW236" i="3"/>
  <c r="AV236" i="3"/>
  <c r="AC236" i="3"/>
  <c r="H236" i="3"/>
  <c r="G236" i="3"/>
  <c r="BL235" i="3"/>
  <c r="BK235" i="3"/>
  <c r="BJ235" i="3"/>
  <c r="BI235" i="3"/>
  <c r="BH235" i="3"/>
  <c r="BG235" i="3"/>
  <c r="BF235" i="3"/>
  <c r="BE235" i="3"/>
  <c r="BD235" i="3"/>
  <c r="BC235" i="3"/>
  <c r="BB235" i="3"/>
  <c r="BA235" i="3"/>
  <c r="AX235" i="3"/>
  <c r="AW235" i="3"/>
  <c r="AV235" i="3"/>
  <c r="AC235" i="3"/>
  <c r="H235" i="3"/>
  <c r="G235" i="3"/>
  <c r="BL234" i="3"/>
  <c r="BK234" i="3"/>
  <c r="BJ234" i="3"/>
  <c r="BI234" i="3"/>
  <c r="BH234" i="3"/>
  <c r="BG234" i="3"/>
  <c r="BF234" i="3"/>
  <c r="BE234" i="3"/>
  <c r="BD234" i="3"/>
  <c r="BC234" i="3"/>
  <c r="BB234" i="3"/>
  <c r="BA234" i="3"/>
  <c r="AX234" i="3"/>
  <c r="AW234" i="3"/>
  <c r="AV234" i="3"/>
  <c r="AC234" i="3"/>
  <c r="H234" i="3"/>
  <c r="G234" i="3"/>
  <c r="BL233" i="3"/>
  <c r="BK233" i="3"/>
  <c r="BJ233" i="3"/>
  <c r="BI233" i="3"/>
  <c r="BH233" i="3"/>
  <c r="BG233" i="3"/>
  <c r="BF233" i="3"/>
  <c r="BE233" i="3"/>
  <c r="BD233" i="3"/>
  <c r="BC233" i="3"/>
  <c r="BB233" i="3"/>
  <c r="BA233" i="3"/>
  <c r="AX233" i="3"/>
  <c r="AW233" i="3"/>
  <c r="AV233" i="3"/>
  <c r="AC233" i="3"/>
  <c r="H233" i="3"/>
  <c r="G233" i="3"/>
  <c r="BL232" i="3"/>
  <c r="BK232" i="3"/>
  <c r="BJ232" i="3"/>
  <c r="BI232" i="3"/>
  <c r="BH232" i="3"/>
  <c r="BG232" i="3"/>
  <c r="BF232" i="3"/>
  <c r="BE232" i="3"/>
  <c r="BD232" i="3"/>
  <c r="BC232" i="3"/>
  <c r="BB232" i="3"/>
  <c r="BA232" i="3"/>
  <c r="AX232" i="3"/>
  <c r="AW232" i="3"/>
  <c r="AV232" i="3"/>
  <c r="AC232" i="3"/>
  <c r="H232" i="3"/>
  <c r="G232" i="3"/>
  <c r="BL231" i="3"/>
  <c r="BK231" i="3"/>
  <c r="BJ231" i="3"/>
  <c r="BI231" i="3"/>
  <c r="BH231" i="3"/>
  <c r="BG231" i="3"/>
  <c r="BF231" i="3"/>
  <c r="BE231" i="3"/>
  <c r="BD231" i="3"/>
  <c r="BC231" i="3"/>
  <c r="BB231" i="3"/>
  <c r="BA231" i="3"/>
  <c r="AZ231" i="3"/>
  <c r="AX231" i="3"/>
  <c r="AW231" i="3"/>
  <c r="AV231" i="3"/>
  <c r="AC231" i="3"/>
  <c r="H231" i="3"/>
  <c r="G231" i="3"/>
  <c r="BL230" i="3"/>
  <c r="BK230" i="3"/>
  <c r="BJ230" i="3"/>
  <c r="BI230" i="3"/>
  <c r="BH230" i="3"/>
  <c r="BG230" i="3"/>
  <c r="BF230" i="3"/>
  <c r="BE230" i="3"/>
  <c r="BD230" i="3"/>
  <c r="BC230" i="3"/>
  <c r="BB230" i="3"/>
  <c r="BA230" i="3"/>
  <c r="AZ230" i="3"/>
  <c r="AX230" i="3"/>
  <c r="AW230" i="3"/>
  <c r="AV230" i="3"/>
  <c r="AC230" i="3"/>
  <c r="H230" i="3"/>
  <c r="G230" i="3"/>
  <c r="BL229" i="3"/>
  <c r="BK229" i="3"/>
  <c r="BJ229" i="3"/>
  <c r="BI229" i="3"/>
  <c r="BH229" i="3"/>
  <c r="BG229" i="3"/>
  <c r="BF229" i="3"/>
  <c r="BE229" i="3"/>
  <c r="BD229" i="3"/>
  <c r="BC229" i="3"/>
  <c r="BB229" i="3"/>
  <c r="BA229" i="3"/>
  <c r="AX229" i="3"/>
  <c r="AW229" i="3"/>
  <c r="AV229" i="3"/>
  <c r="AC229" i="3"/>
  <c r="H229" i="3"/>
  <c r="G229" i="3"/>
  <c r="BL228" i="3"/>
  <c r="BK228" i="3"/>
  <c r="BJ228" i="3"/>
  <c r="BI228" i="3"/>
  <c r="BH228" i="3"/>
  <c r="BG228" i="3"/>
  <c r="BF228" i="3"/>
  <c r="BE228" i="3"/>
  <c r="BD228" i="3"/>
  <c r="BC228" i="3"/>
  <c r="BB228" i="3"/>
  <c r="BA228" i="3"/>
  <c r="AZ228" i="3"/>
  <c r="AX228" i="3"/>
  <c r="AW228" i="3"/>
  <c r="AV228" i="3"/>
  <c r="AC228" i="3"/>
  <c r="H228" i="3"/>
  <c r="G228" i="3"/>
  <c r="BL227" i="3"/>
  <c r="BK227" i="3"/>
  <c r="BJ227" i="3"/>
  <c r="BI227" i="3"/>
  <c r="BH227" i="3"/>
  <c r="BG227" i="3"/>
  <c r="BF227" i="3"/>
  <c r="BE227" i="3"/>
  <c r="BD227" i="3"/>
  <c r="BC227" i="3"/>
  <c r="BB227" i="3"/>
  <c r="BA227" i="3"/>
  <c r="AX227" i="3"/>
  <c r="AW227" i="3"/>
  <c r="AV227" i="3"/>
  <c r="AC227" i="3"/>
  <c r="H227" i="3"/>
  <c r="G227" i="3"/>
  <c r="BL226" i="3"/>
  <c r="BK226" i="3"/>
  <c r="BJ226" i="3"/>
  <c r="BI226" i="3"/>
  <c r="BH226" i="3"/>
  <c r="BG226" i="3"/>
  <c r="BF226" i="3"/>
  <c r="BE226" i="3"/>
  <c r="BD226" i="3"/>
  <c r="BC226" i="3"/>
  <c r="BB226" i="3"/>
  <c r="BA226" i="3"/>
  <c r="AZ226" i="3"/>
  <c r="AX226" i="3"/>
  <c r="AW226" i="3"/>
  <c r="AV226" i="3"/>
  <c r="AC226" i="3"/>
  <c r="H226" i="3"/>
  <c r="G226" i="3"/>
  <c r="BL225" i="3"/>
  <c r="BK225" i="3"/>
  <c r="BJ225" i="3"/>
  <c r="BI225" i="3"/>
  <c r="BH225" i="3"/>
  <c r="BG225" i="3"/>
  <c r="BF225" i="3"/>
  <c r="BE225" i="3"/>
  <c r="BD225" i="3"/>
  <c r="BC225" i="3"/>
  <c r="BB225" i="3"/>
  <c r="BA225" i="3"/>
  <c r="AZ225" i="3"/>
  <c r="AX225" i="3"/>
  <c r="AW225" i="3"/>
  <c r="AV225" i="3"/>
  <c r="AC225" i="3"/>
  <c r="H225" i="3"/>
  <c r="G225" i="3"/>
  <c r="BL224" i="3"/>
  <c r="BK224" i="3"/>
  <c r="BJ224" i="3"/>
  <c r="BI224" i="3"/>
  <c r="BH224" i="3"/>
  <c r="BG224" i="3"/>
  <c r="BF224" i="3"/>
  <c r="BE224" i="3"/>
  <c r="BD224" i="3"/>
  <c r="BC224" i="3"/>
  <c r="BB224" i="3"/>
  <c r="BA224" i="3"/>
  <c r="AX224" i="3"/>
  <c r="AW224" i="3"/>
  <c r="AV224" i="3"/>
  <c r="AC224" i="3"/>
  <c r="H224" i="3"/>
  <c r="G224" i="3"/>
  <c r="BL223" i="3"/>
  <c r="BK223" i="3"/>
  <c r="BJ223" i="3"/>
  <c r="BI223" i="3"/>
  <c r="BH223" i="3"/>
  <c r="BG223" i="3"/>
  <c r="BF223" i="3"/>
  <c r="BE223" i="3"/>
  <c r="BD223" i="3"/>
  <c r="BC223" i="3"/>
  <c r="BB223" i="3"/>
  <c r="BA223" i="3"/>
  <c r="AX223" i="3"/>
  <c r="AW223" i="3"/>
  <c r="AV223" i="3"/>
  <c r="AC223" i="3"/>
  <c r="H223" i="3"/>
  <c r="G223" i="3"/>
  <c r="BL222" i="3"/>
  <c r="BK222" i="3"/>
  <c r="BJ222" i="3"/>
  <c r="BI222" i="3"/>
  <c r="BH222" i="3"/>
  <c r="BG222" i="3"/>
  <c r="BF222" i="3"/>
  <c r="BE222" i="3"/>
  <c r="BD222" i="3"/>
  <c r="BC222" i="3"/>
  <c r="BB222" i="3"/>
  <c r="BA222" i="3"/>
  <c r="AX222" i="3"/>
  <c r="AW222" i="3"/>
  <c r="AV222" i="3"/>
  <c r="AC222" i="3"/>
  <c r="H222" i="3"/>
  <c r="G222" i="3"/>
  <c r="BL221" i="3"/>
  <c r="BK221" i="3"/>
  <c r="BJ221" i="3"/>
  <c r="BI221" i="3"/>
  <c r="BH221" i="3"/>
  <c r="BG221" i="3"/>
  <c r="BF221" i="3"/>
  <c r="BE221" i="3"/>
  <c r="BD221" i="3"/>
  <c r="BC221" i="3"/>
  <c r="BB221" i="3"/>
  <c r="BA221" i="3"/>
  <c r="AZ221" i="3"/>
  <c r="AX221" i="3"/>
  <c r="AW221" i="3"/>
  <c r="AV221" i="3"/>
  <c r="AC221" i="3"/>
  <c r="H221" i="3"/>
  <c r="G221" i="3"/>
  <c r="BL220" i="3"/>
  <c r="BK220" i="3"/>
  <c r="BJ220" i="3"/>
  <c r="BI220" i="3"/>
  <c r="BH220" i="3"/>
  <c r="BG220" i="3"/>
  <c r="BF220" i="3"/>
  <c r="BE220" i="3"/>
  <c r="BD220" i="3"/>
  <c r="BC220" i="3"/>
  <c r="BB220" i="3"/>
  <c r="BA220" i="3"/>
  <c r="AZ220" i="3"/>
  <c r="AX220" i="3"/>
  <c r="AW220" i="3"/>
  <c r="AV220" i="3"/>
  <c r="AC220" i="3"/>
  <c r="H220" i="3"/>
  <c r="G220" i="3"/>
  <c r="BL219" i="3"/>
  <c r="BK219" i="3"/>
  <c r="BJ219" i="3"/>
  <c r="BI219" i="3"/>
  <c r="BH219" i="3"/>
  <c r="BG219" i="3"/>
  <c r="BF219" i="3"/>
  <c r="BE219" i="3"/>
  <c r="BD219" i="3"/>
  <c r="BC219" i="3"/>
  <c r="BB219" i="3"/>
  <c r="BA219" i="3"/>
  <c r="AZ219" i="3"/>
  <c r="AX219" i="3"/>
  <c r="AW219" i="3"/>
  <c r="AV219" i="3"/>
  <c r="AC219" i="3"/>
  <c r="H219" i="3"/>
  <c r="G219" i="3"/>
  <c r="BL218" i="3"/>
  <c r="BK218" i="3"/>
  <c r="BJ218" i="3"/>
  <c r="BI218" i="3"/>
  <c r="BH218" i="3"/>
  <c r="BG218" i="3"/>
  <c r="BF218" i="3"/>
  <c r="BE218" i="3"/>
  <c r="BD218" i="3"/>
  <c r="BC218" i="3"/>
  <c r="BB218" i="3"/>
  <c r="BA218" i="3"/>
  <c r="AX218" i="3"/>
  <c r="AW218" i="3"/>
  <c r="AV218" i="3"/>
  <c r="AC218" i="3"/>
  <c r="H218" i="3"/>
  <c r="G218" i="3"/>
  <c r="BL217" i="3"/>
  <c r="BK217" i="3"/>
  <c r="BJ217" i="3"/>
  <c r="BI217" i="3"/>
  <c r="BH217" i="3"/>
  <c r="BG217" i="3"/>
  <c r="BF217" i="3"/>
  <c r="BE217" i="3"/>
  <c r="BD217" i="3"/>
  <c r="BC217" i="3"/>
  <c r="BB217" i="3"/>
  <c r="BA217" i="3"/>
  <c r="AZ217" i="3"/>
  <c r="AX217" i="3"/>
  <c r="AW217" i="3"/>
  <c r="AV217" i="3"/>
  <c r="AC217" i="3"/>
  <c r="H217" i="3"/>
  <c r="G217" i="3"/>
  <c r="BL216" i="3"/>
  <c r="BK216" i="3"/>
  <c r="BJ216" i="3"/>
  <c r="BI216" i="3"/>
  <c r="BH216" i="3"/>
  <c r="BG216" i="3"/>
  <c r="BF216" i="3"/>
  <c r="BE216" i="3"/>
  <c r="BD216" i="3"/>
  <c r="BC216" i="3"/>
  <c r="BB216" i="3"/>
  <c r="BA216" i="3"/>
  <c r="AZ216" i="3"/>
  <c r="AX216" i="3"/>
  <c r="AW216" i="3"/>
  <c r="AV216" i="3"/>
  <c r="AC216" i="3"/>
  <c r="H216" i="3"/>
  <c r="G216" i="3"/>
  <c r="BL215" i="3"/>
  <c r="BK215" i="3"/>
  <c r="BJ215" i="3"/>
  <c r="BI215" i="3"/>
  <c r="BH215" i="3"/>
  <c r="BG215" i="3"/>
  <c r="BF215" i="3"/>
  <c r="BE215" i="3"/>
  <c r="BD215" i="3"/>
  <c r="BC215" i="3"/>
  <c r="BB215" i="3"/>
  <c r="BA215" i="3"/>
  <c r="AX215" i="3"/>
  <c r="AW215" i="3"/>
  <c r="AV215" i="3"/>
  <c r="AC215" i="3"/>
  <c r="H215" i="3"/>
  <c r="G215" i="3"/>
  <c r="BL214" i="3"/>
  <c r="BK214" i="3"/>
  <c r="BJ214" i="3"/>
  <c r="BI214" i="3"/>
  <c r="BH214" i="3"/>
  <c r="BG214" i="3"/>
  <c r="BF214" i="3"/>
  <c r="BE214" i="3"/>
  <c r="BD214" i="3"/>
  <c r="BC214" i="3"/>
  <c r="BB214" i="3"/>
  <c r="BA214" i="3"/>
  <c r="AX214" i="3"/>
  <c r="AW214" i="3"/>
  <c r="AV214" i="3"/>
  <c r="AC214" i="3"/>
  <c r="H214" i="3"/>
  <c r="G214" i="3"/>
  <c r="BL213" i="3"/>
  <c r="BK213" i="3"/>
  <c r="BJ213" i="3"/>
  <c r="BI213" i="3"/>
  <c r="BH213" i="3"/>
  <c r="BG213" i="3"/>
  <c r="BF213" i="3"/>
  <c r="BE213" i="3"/>
  <c r="BD213" i="3"/>
  <c r="BC213" i="3"/>
  <c r="BB213" i="3"/>
  <c r="BA213" i="3"/>
  <c r="AX213" i="3"/>
  <c r="AW213" i="3"/>
  <c r="AV213" i="3"/>
  <c r="AC213" i="3"/>
  <c r="H213" i="3"/>
  <c r="G213" i="3"/>
  <c r="BL212" i="3"/>
  <c r="BK212" i="3"/>
  <c r="BJ212" i="3"/>
  <c r="BI212" i="3"/>
  <c r="BH212" i="3"/>
  <c r="BG212" i="3"/>
  <c r="BF212" i="3"/>
  <c r="BE212" i="3"/>
  <c r="BD212" i="3"/>
  <c r="BC212" i="3"/>
  <c r="BB212" i="3"/>
  <c r="BA212" i="3"/>
  <c r="AZ212" i="3"/>
  <c r="AX212" i="3"/>
  <c r="AW212" i="3"/>
  <c r="AV212" i="3"/>
  <c r="AC212" i="3"/>
  <c r="H212" i="3"/>
  <c r="G212" i="3"/>
  <c r="BL211" i="3"/>
  <c r="BK211" i="3"/>
  <c r="BJ211" i="3"/>
  <c r="BI211" i="3"/>
  <c r="BH211" i="3"/>
  <c r="BG211" i="3"/>
  <c r="BF211" i="3"/>
  <c r="BE211" i="3"/>
  <c r="BD211" i="3"/>
  <c r="BC211" i="3"/>
  <c r="BB211" i="3"/>
  <c r="BA211" i="3"/>
  <c r="AZ211" i="3"/>
  <c r="AX211" i="3"/>
  <c r="AW211" i="3"/>
  <c r="AV211" i="3"/>
  <c r="AC211" i="3"/>
  <c r="H211" i="3"/>
  <c r="G211" i="3"/>
  <c r="BL210" i="3"/>
  <c r="BK210" i="3"/>
  <c r="BJ210" i="3"/>
  <c r="BI210" i="3"/>
  <c r="BH210" i="3"/>
  <c r="BG210" i="3"/>
  <c r="BF210" i="3"/>
  <c r="BE210" i="3"/>
  <c r="BD210" i="3"/>
  <c r="BC210" i="3"/>
  <c r="BB210" i="3"/>
  <c r="BA210" i="3"/>
  <c r="AZ210" i="3"/>
  <c r="AX210" i="3"/>
  <c r="AW210" i="3"/>
  <c r="AV210" i="3"/>
  <c r="AC210" i="3"/>
  <c r="H210" i="3"/>
  <c r="G210" i="3"/>
  <c r="BL209" i="3"/>
  <c r="BK209" i="3"/>
  <c r="BJ209" i="3"/>
  <c r="BI209" i="3"/>
  <c r="BH209" i="3"/>
  <c r="BG209" i="3"/>
  <c r="BF209" i="3"/>
  <c r="BE209" i="3"/>
  <c r="BD209" i="3"/>
  <c r="BC209" i="3"/>
  <c r="BB209" i="3"/>
  <c r="BA209" i="3"/>
  <c r="AX209" i="3"/>
  <c r="AW209" i="3"/>
  <c r="AV209" i="3"/>
  <c r="AC209" i="3"/>
  <c r="H209" i="3"/>
  <c r="G209" i="3"/>
  <c r="BL208" i="3"/>
  <c r="BK208" i="3"/>
  <c r="BJ208" i="3"/>
  <c r="BI208" i="3"/>
  <c r="BH208" i="3"/>
  <c r="BG208" i="3"/>
  <c r="BF208" i="3"/>
  <c r="BE208" i="3"/>
  <c r="BD208" i="3"/>
  <c r="BC208" i="3"/>
  <c r="BB208" i="3"/>
  <c r="BA208" i="3"/>
  <c r="AZ208" i="3"/>
  <c r="AX208" i="3"/>
  <c r="AW208" i="3"/>
  <c r="AV208" i="3"/>
  <c r="AC208" i="3"/>
  <c r="H208" i="3"/>
  <c r="G208" i="3"/>
  <c r="BL397" i="3"/>
  <c r="BK397" i="3"/>
  <c r="BJ397" i="3"/>
  <c r="BI397" i="3"/>
  <c r="BH397" i="3"/>
  <c r="BG397" i="3"/>
  <c r="BF397" i="3"/>
  <c r="BE397" i="3"/>
  <c r="BD397" i="3"/>
  <c r="BC397" i="3"/>
  <c r="BB397" i="3"/>
  <c r="BA397" i="3"/>
  <c r="AZ397" i="3"/>
  <c r="AX397" i="3"/>
  <c r="AW397" i="3"/>
  <c r="AV397" i="3"/>
  <c r="AC397" i="3"/>
  <c r="H397" i="3"/>
  <c r="G397" i="3"/>
  <c r="BL396" i="3"/>
  <c r="BK396" i="3"/>
  <c r="BJ396" i="3"/>
  <c r="BI396" i="3"/>
  <c r="BH396" i="3"/>
  <c r="BG396" i="3"/>
  <c r="BF396" i="3"/>
  <c r="BE396" i="3"/>
  <c r="BD396" i="3"/>
  <c r="BC396" i="3"/>
  <c r="BB396" i="3"/>
  <c r="BA396" i="3"/>
  <c r="AX396" i="3"/>
  <c r="AW396" i="3"/>
  <c r="AV396" i="3"/>
  <c r="AC396" i="3"/>
  <c r="H396" i="3"/>
  <c r="G396" i="3"/>
  <c r="BL395" i="3"/>
  <c r="BK395" i="3"/>
  <c r="BJ395" i="3"/>
  <c r="BI395" i="3"/>
  <c r="BH395" i="3"/>
  <c r="BG395" i="3"/>
  <c r="BF395" i="3"/>
  <c r="BE395" i="3"/>
  <c r="BD395" i="3"/>
  <c r="BC395" i="3"/>
  <c r="BB395" i="3"/>
  <c r="BA395" i="3"/>
  <c r="AZ395" i="3"/>
  <c r="AX395" i="3"/>
  <c r="AW395" i="3"/>
  <c r="AV395" i="3"/>
  <c r="AC395" i="3"/>
  <c r="H395" i="3"/>
  <c r="G395" i="3"/>
  <c r="BK394" i="3"/>
  <c r="BJ394" i="3"/>
  <c r="BI394" i="3"/>
  <c r="BH394" i="3"/>
  <c r="BG394" i="3"/>
  <c r="BF394" i="3"/>
  <c r="BE394" i="3"/>
  <c r="BD394" i="3"/>
  <c r="BC394" i="3"/>
  <c r="BB394" i="3"/>
  <c r="AX394" i="3"/>
  <c r="AW394" i="3"/>
  <c r="AV394" i="3"/>
  <c r="AC394" i="3"/>
  <c r="H394" i="3"/>
  <c r="BL393" i="3"/>
  <c r="BK393" i="3"/>
  <c r="BJ393" i="3"/>
  <c r="BI393" i="3"/>
  <c r="BH393" i="3"/>
  <c r="BG393" i="3"/>
  <c r="BF393" i="3"/>
  <c r="BE393" i="3"/>
  <c r="BD393" i="3"/>
  <c r="BC393" i="3"/>
  <c r="BB393" i="3"/>
  <c r="AX393" i="3"/>
  <c r="AW393" i="3"/>
  <c r="AV393" i="3"/>
  <c r="AC393" i="3"/>
  <c r="H393" i="3"/>
  <c r="BK392" i="3"/>
  <c r="BJ392" i="3"/>
  <c r="BI392" i="3"/>
  <c r="BH392" i="3"/>
  <c r="BG392" i="3"/>
  <c r="BF392" i="3"/>
  <c r="BE392" i="3"/>
  <c r="BD392" i="3"/>
  <c r="BC392" i="3"/>
  <c r="BB392" i="3"/>
  <c r="BA392" i="3"/>
  <c r="AX392" i="3"/>
  <c r="AW392" i="3"/>
  <c r="AV392" i="3"/>
  <c r="AC392" i="3"/>
  <c r="H392" i="3"/>
  <c r="G392" i="3"/>
  <c r="BK391" i="3"/>
  <c r="BJ391" i="3"/>
  <c r="BI391" i="3"/>
  <c r="BH391" i="3"/>
  <c r="BG391" i="3"/>
  <c r="BF391" i="3"/>
  <c r="BE391" i="3"/>
  <c r="BD391" i="3"/>
  <c r="BC391" i="3"/>
  <c r="BB391" i="3"/>
  <c r="AX391" i="3"/>
  <c r="AW391" i="3"/>
  <c r="AV391" i="3"/>
  <c r="AC391" i="3"/>
  <c r="H391" i="3"/>
  <c r="BK390" i="3"/>
  <c r="BJ390" i="3"/>
  <c r="BI390" i="3"/>
  <c r="BH390" i="3"/>
  <c r="BG390" i="3"/>
  <c r="BF390" i="3"/>
  <c r="BE390" i="3"/>
  <c r="BD390" i="3"/>
  <c r="BC390" i="3"/>
  <c r="BB390" i="3"/>
  <c r="AX390" i="3"/>
  <c r="AW390" i="3"/>
  <c r="AV390" i="3"/>
  <c r="AC390" i="3"/>
  <c r="H390" i="3"/>
  <c r="BK389" i="3"/>
  <c r="BJ389" i="3"/>
  <c r="BI389" i="3"/>
  <c r="BH389" i="3"/>
  <c r="BG389" i="3"/>
  <c r="BF389" i="3"/>
  <c r="BE389" i="3"/>
  <c r="BD389" i="3"/>
  <c r="BC389" i="3"/>
  <c r="BB389" i="3"/>
  <c r="AX389" i="3"/>
  <c r="AW389" i="3"/>
  <c r="AV389" i="3"/>
  <c r="AC389" i="3"/>
  <c r="H389" i="3"/>
  <c r="BK388" i="3"/>
  <c r="BJ388" i="3"/>
  <c r="BI388" i="3"/>
  <c r="BH388" i="3"/>
  <c r="BG388" i="3"/>
  <c r="BF388" i="3"/>
  <c r="BE388" i="3"/>
  <c r="BD388" i="3"/>
  <c r="BC388" i="3"/>
  <c r="BB388" i="3"/>
  <c r="BA388" i="3"/>
  <c r="AX388" i="3"/>
  <c r="AW388" i="3"/>
  <c r="AV388" i="3"/>
  <c r="AC388" i="3"/>
  <c r="H388" i="3"/>
  <c r="BK387" i="3"/>
  <c r="BJ387" i="3"/>
  <c r="BI387" i="3"/>
  <c r="BH387" i="3"/>
  <c r="BG387" i="3"/>
  <c r="BF387" i="3"/>
  <c r="BE387" i="3"/>
  <c r="BD387" i="3"/>
  <c r="BC387" i="3"/>
  <c r="BB387" i="3"/>
  <c r="AX387" i="3"/>
  <c r="AW387" i="3"/>
  <c r="AV387" i="3"/>
  <c r="AC387" i="3"/>
  <c r="H387" i="3"/>
  <c r="G387" i="3"/>
  <c r="BL386" i="3"/>
  <c r="BK386" i="3"/>
  <c r="BJ386" i="3"/>
  <c r="BI386" i="3"/>
  <c r="BH386" i="3"/>
  <c r="BG386" i="3"/>
  <c r="BF386" i="3"/>
  <c r="BE386" i="3"/>
  <c r="BD386" i="3"/>
  <c r="BC386" i="3"/>
  <c r="BB386" i="3"/>
  <c r="BA386" i="3"/>
  <c r="AX386" i="3"/>
  <c r="AW386" i="3"/>
  <c r="AV386" i="3"/>
  <c r="AC386" i="3"/>
  <c r="H386" i="3"/>
  <c r="BL385" i="3"/>
  <c r="BK385" i="3"/>
  <c r="BJ385" i="3"/>
  <c r="BI385" i="3"/>
  <c r="BH385" i="3"/>
  <c r="BG385" i="3"/>
  <c r="BF385" i="3"/>
  <c r="BE385" i="3"/>
  <c r="BD385" i="3"/>
  <c r="BC385" i="3"/>
  <c r="BB385" i="3"/>
  <c r="BA385" i="3"/>
  <c r="AZ385" i="3"/>
  <c r="AX385" i="3"/>
  <c r="AW385" i="3"/>
  <c r="AV385" i="3"/>
  <c r="AC385" i="3"/>
  <c r="H385" i="3"/>
  <c r="BK384" i="3"/>
  <c r="BJ384" i="3"/>
  <c r="BI384" i="3"/>
  <c r="BH384" i="3"/>
  <c r="BG384" i="3"/>
  <c r="BF384" i="3"/>
  <c r="BE384" i="3"/>
  <c r="BD384" i="3"/>
  <c r="BC384" i="3"/>
  <c r="BB384" i="3"/>
  <c r="BA384" i="3"/>
  <c r="AX384" i="3"/>
  <c r="AW384" i="3"/>
  <c r="AV384" i="3"/>
  <c r="AC384" i="3"/>
  <c r="H384" i="3"/>
  <c r="G384" i="3"/>
  <c r="BL383" i="3"/>
  <c r="BK383" i="3"/>
  <c r="BJ383" i="3"/>
  <c r="BI383" i="3"/>
  <c r="BH383" i="3"/>
  <c r="BG383" i="3"/>
  <c r="BF383" i="3"/>
  <c r="BE383" i="3"/>
  <c r="BD383" i="3"/>
  <c r="BC383" i="3"/>
  <c r="BB383" i="3"/>
  <c r="AX383" i="3"/>
  <c r="AW383" i="3"/>
  <c r="AV383" i="3"/>
  <c r="AC383" i="3"/>
  <c r="H383" i="3"/>
  <c r="BK382" i="3"/>
  <c r="BJ382" i="3"/>
  <c r="BI382" i="3"/>
  <c r="BH382" i="3"/>
  <c r="BG382" i="3"/>
  <c r="BF382" i="3"/>
  <c r="BE382" i="3"/>
  <c r="BD382" i="3"/>
  <c r="BC382" i="3"/>
  <c r="BB382" i="3"/>
  <c r="AX382" i="3"/>
  <c r="AW382" i="3"/>
  <c r="AV382" i="3"/>
  <c r="AC382" i="3"/>
  <c r="H382" i="3"/>
  <c r="G382" i="3"/>
  <c r="BL381" i="3"/>
  <c r="BK381" i="3"/>
  <c r="BJ381" i="3"/>
  <c r="BI381" i="3"/>
  <c r="BH381" i="3"/>
  <c r="BG381" i="3"/>
  <c r="BF381" i="3"/>
  <c r="BE381" i="3"/>
  <c r="BD381" i="3"/>
  <c r="BC381" i="3"/>
  <c r="BB381" i="3"/>
  <c r="AX381" i="3"/>
  <c r="AW381" i="3"/>
  <c r="AV381" i="3"/>
  <c r="AC381" i="3"/>
  <c r="H381" i="3"/>
  <c r="BK380" i="3"/>
  <c r="BJ380" i="3"/>
  <c r="BI380" i="3"/>
  <c r="BH380" i="3"/>
  <c r="BG380" i="3"/>
  <c r="BF380" i="3"/>
  <c r="BE380" i="3"/>
  <c r="BD380" i="3"/>
  <c r="BC380" i="3"/>
  <c r="BB380" i="3"/>
  <c r="AX380" i="3"/>
  <c r="AW380" i="3"/>
  <c r="AV380" i="3"/>
  <c r="AC380" i="3"/>
  <c r="H380" i="3"/>
  <c r="G380" i="3"/>
  <c r="BK379" i="3"/>
  <c r="BJ379" i="3"/>
  <c r="BI379" i="3"/>
  <c r="BH379" i="3"/>
  <c r="BG379" i="3"/>
  <c r="BF379" i="3"/>
  <c r="BE379" i="3"/>
  <c r="BD379" i="3"/>
  <c r="BC379" i="3"/>
  <c r="BB379" i="3"/>
  <c r="AX379" i="3"/>
  <c r="AW379" i="3"/>
  <c r="AV379" i="3"/>
  <c r="AC379" i="3"/>
  <c r="H379" i="3"/>
  <c r="BK378" i="3"/>
  <c r="BJ378" i="3"/>
  <c r="BI378" i="3"/>
  <c r="BH378" i="3"/>
  <c r="BG378" i="3"/>
  <c r="BF378" i="3"/>
  <c r="BE378" i="3"/>
  <c r="BD378" i="3"/>
  <c r="BC378" i="3"/>
  <c r="BB378" i="3"/>
  <c r="AX378" i="3"/>
  <c r="AW378" i="3"/>
  <c r="AV378" i="3"/>
  <c r="AC378" i="3"/>
  <c r="H378" i="3"/>
  <c r="G378" i="3"/>
  <c r="BK377" i="3"/>
  <c r="BJ377" i="3"/>
  <c r="BI377" i="3"/>
  <c r="BH377" i="3"/>
  <c r="BG377" i="3"/>
  <c r="BF377" i="3"/>
  <c r="BE377" i="3"/>
  <c r="BD377" i="3"/>
  <c r="BC377" i="3"/>
  <c r="BB377" i="3"/>
  <c r="AX377" i="3"/>
  <c r="AW377" i="3"/>
  <c r="AV377" i="3"/>
  <c r="AC377" i="3"/>
  <c r="H377" i="3"/>
  <c r="BK376" i="3"/>
  <c r="BJ376" i="3"/>
  <c r="BI376" i="3"/>
  <c r="BH376" i="3"/>
  <c r="BG376" i="3"/>
  <c r="BF376" i="3"/>
  <c r="BE376" i="3"/>
  <c r="BD376" i="3"/>
  <c r="BC376" i="3"/>
  <c r="BB376" i="3"/>
  <c r="AX376" i="3"/>
  <c r="AW376" i="3"/>
  <c r="AV376" i="3"/>
  <c r="AC376" i="3"/>
  <c r="H376" i="3"/>
  <c r="BL375" i="3"/>
  <c r="BK375" i="3"/>
  <c r="BJ375" i="3"/>
  <c r="BI375" i="3"/>
  <c r="BH375" i="3"/>
  <c r="BG375" i="3"/>
  <c r="BF375" i="3"/>
  <c r="BE375" i="3"/>
  <c r="BD375" i="3"/>
  <c r="BC375" i="3"/>
  <c r="BB375" i="3"/>
  <c r="AX375" i="3"/>
  <c r="AW375" i="3"/>
  <c r="AV375" i="3"/>
  <c r="AC375" i="3"/>
  <c r="H375" i="3"/>
  <c r="BK374" i="3"/>
  <c r="BJ374" i="3"/>
  <c r="BI374" i="3"/>
  <c r="BH374" i="3"/>
  <c r="BG374" i="3"/>
  <c r="BF374" i="3"/>
  <c r="BE374" i="3"/>
  <c r="BD374" i="3"/>
  <c r="BC374" i="3"/>
  <c r="BB374" i="3"/>
  <c r="BA374" i="3"/>
  <c r="AX374" i="3"/>
  <c r="AW374" i="3"/>
  <c r="AV374" i="3"/>
  <c r="AC374" i="3"/>
  <c r="H374" i="3"/>
  <c r="G374" i="3"/>
  <c r="BK373" i="3"/>
  <c r="BJ373" i="3"/>
  <c r="BI373" i="3"/>
  <c r="BH373" i="3"/>
  <c r="BG373" i="3"/>
  <c r="BF373" i="3"/>
  <c r="BE373" i="3"/>
  <c r="BD373" i="3"/>
  <c r="BC373" i="3"/>
  <c r="BB373" i="3"/>
  <c r="AX373" i="3"/>
  <c r="AW373" i="3"/>
  <c r="AV373" i="3"/>
  <c r="AC373" i="3"/>
  <c r="H373" i="3"/>
  <c r="BK372" i="3"/>
  <c r="BJ372" i="3"/>
  <c r="BI372" i="3"/>
  <c r="BH372" i="3"/>
  <c r="BG372" i="3"/>
  <c r="BF372" i="3"/>
  <c r="BE372" i="3"/>
  <c r="BD372" i="3"/>
  <c r="BC372" i="3"/>
  <c r="BB372" i="3"/>
  <c r="AX372" i="3"/>
  <c r="AW372" i="3"/>
  <c r="AV372" i="3"/>
  <c r="AC372" i="3"/>
  <c r="H372" i="3"/>
  <c r="BK371" i="3"/>
  <c r="BJ371" i="3"/>
  <c r="BI371" i="3"/>
  <c r="BH371" i="3"/>
  <c r="BG371" i="3"/>
  <c r="BF371" i="3"/>
  <c r="BE371" i="3"/>
  <c r="BD371" i="3"/>
  <c r="BC371" i="3"/>
  <c r="BB371" i="3"/>
  <c r="AX371" i="3"/>
  <c r="AW371" i="3"/>
  <c r="AV371" i="3"/>
  <c r="AC371" i="3"/>
  <c r="H371" i="3"/>
  <c r="BK370" i="3"/>
  <c r="BJ370" i="3"/>
  <c r="BI370" i="3"/>
  <c r="BH370" i="3"/>
  <c r="BG370" i="3"/>
  <c r="BF370" i="3"/>
  <c r="BE370" i="3"/>
  <c r="BD370" i="3"/>
  <c r="BC370" i="3"/>
  <c r="BB370" i="3"/>
  <c r="BA370" i="3"/>
  <c r="AX370" i="3"/>
  <c r="AW370" i="3"/>
  <c r="AV370" i="3"/>
  <c r="AC370" i="3"/>
  <c r="H370" i="3"/>
  <c r="BK369" i="3"/>
  <c r="BJ369" i="3"/>
  <c r="BI369" i="3"/>
  <c r="BH369" i="3"/>
  <c r="BG369" i="3"/>
  <c r="BF369" i="3"/>
  <c r="BE369" i="3"/>
  <c r="BD369" i="3"/>
  <c r="BC369" i="3"/>
  <c r="BB369" i="3"/>
  <c r="AX369" i="3"/>
  <c r="AW369" i="3"/>
  <c r="AV369" i="3"/>
  <c r="AC369" i="3"/>
  <c r="H369" i="3"/>
  <c r="G369" i="3"/>
  <c r="BL368" i="3"/>
  <c r="BK368" i="3"/>
  <c r="BJ368" i="3"/>
  <c r="BI368" i="3"/>
  <c r="BH368" i="3"/>
  <c r="BG368" i="3"/>
  <c r="BF368" i="3"/>
  <c r="BE368" i="3"/>
  <c r="BD368" i="3"/>
  <c r="BC368" i="3"/>
  <c r="BB368" i="3"/>
  <c r="BA368" i="3"/>
  <c r="AX368" i="3"/>
  <c r="AW368" i="3"/>
  <c r="AV368" i="3"/>
  <c r="AC368" i="3"/>
  <c r="H368" i="3"/>
  <c r="BL367" i="3"/>
  <c r="BK367" i="3"/>
  <c r="BJ367" i="3"/>
  <c r="BI367" i="3"/>
  <c r="BH367" i="3"/>
  <c r="BG367" i="3"/>
  <c r="BF367" i="3"/>
  <c r="BE367" i="3"/>
  <c r="BD367" i="3"/>
  <c r="BC367" i="3"/>
  <c r="BB367" i="3"/>
  <c r="BA367" i="3"/>
  <c r="AX367" i="3"/>
  <c r="AW367" i="3"/>
  <c r="AV367" i="3"/>
  <c r="AC367" i="3"/>
  <c r="H367" i="3"/>
  <c r="BK366" i="3"/>
  <c r="BJ366" i="3"/>
  <c r="BI366" i="3"/>
  <c r="BH366" i="3"/>
  <c r="BG366" i="3"/>
  <c r="BF366" i="3"/>
  <c r="BE366" i="3"/>
  <c r="BD366" i="3"/>
  <c r="BC366" i="3"/>
  <c r="BB366" i="3"/>
  <c r="BA366" i="3"/>
  <c r="AX366" i="3"/>
  <c r="AW366" i="3"/>
  <c r="AV366" i="3"/>
  <c r="AC366" i="3"/>
  <c r="H366" i="3"/>
  <c r="G366" i="3"/>
  <c r="BL365" i="3"/>
  <c r="BK365" i="3"/>
  <c r="BJ365" i="3"/>
  <c r="BI365" i="3"/>
  <c r="BH365" i="3"/>
  <c r="BG365" i="3"/>
  <c r="BF365" i="3"/>
  <c r="BE365" i="3"/>
  <c r="BD365" i="3"/>
  <c r="BC365" i="3"/>
  <c r="BB365" i="3"/>
  <c r="AX365" i="3"/>
  <c r="AW365" i="3"/>
  <c r="AV365" i="3"/>
  <c r="AC365" i="3"/>
  <c r="H365" i="3"/>
  <c r="BK364" i="3"/>
  <c r="BJ364" i="3"/>
  <c r="BI364" i="3"/>
  <c r="BH364" i="3"/>
  <c r="BG364" i="3"/>
  <c r="BF364" i="3"/>
  <c r="BE364" i="3"/>
  <c r="BD364" i="3"/>
  <c r="BC364" i="3"/>
  <c r="BB364" i="3"/>
  <c r="AX364" i="3"/>
  <c r="AW364" i="3"/>
  <c r="AV364" i="3"/>
  <c r="AC364" i="3"/>
  <c r="H364" i="3"/>
  <c r="G364" i="3"/>
  <c r="BL363" i="3"/>
  <c r="BK363" i="3"/>
  <c r="BJ363" i="3"/>
  <c r="BI363" i="3"/>
  <c r="BH363" i="3"/>
  <c r="BG363" i="3"/>
  <c r="BF363" i="3"/>
  <c r="BE363" i="3"/>
  <c r="BD363" i="3"/>
  <c r="BC363" i="3"/>
  <c r="BB363" i="3"/>
  <c r="AX363" i="3"/>
  <c r="AW363" i="3"/>
  <c r="AV363" i="3"/>
  <c r="AC363" i="3"/>
  <c r="H363" i="3"/>
  <c r="BK362" i="3"/>
  <c r="BJ362" i="3"/>
  <c r="BI362" i="3"/>
  <c r="BH362" i="3"/>
  <c r="BG362" i="3"/>
  <c r="BF362" i="3"/>
  <c r="BE362" i="3"/>
  <c r="BD362" i="3"/>
  <c r="BC362" i="3"/>
  <c r="BB362" i="3"/>
  <c r="AX362" i="3"/>
  <c r="AW362" i="3"/>
  <c r="AV362" i="3"/>
  <c r="AC362" i="3"/>
  <c r="H362" i="3"/>
  <c r="G362" i="3"/>
  <c r="BK361" i="3"/>
  <c r="BJ361" i="3"/>
  <c r="BI361" i="3"/>
  <c r="BH361" i="3"/>
  <c r="BG361" i="3"/>
  <c r="BF361" i="3"/>
  <c r="BE361" i="3"/>
  <c r="BD361" i="3"/>
  <c r="BC361" i="3"/>
  <c r="BB361" i="3"/>
  <c r="AX361" i="3"/>
  <c r="AW361" i="3"/>
  <c r="AV361" i="3"/>
  <c r="AC361" i="3"/>
  <c r="H361" i="3"/>
  <c r="BK360" i="3"/>
  <c r="BJ360" i="3"/>
  <c r="BI360" i="3"/>
  <c r="BH360" i="3"/>
  <c r="BG360" i="3"/>
  <c r="BF360" i="3"/>
  <c r="BE360" i="3"/>
  <c r="BD360" i="3"/>
  <c r="BC360" i="3"/>
  <c r="BB360" i="3"/>
  <c r="AX360" i="3"/>
  <c r="AW360" i="3"/>
  <c r="AV360" i="3"/>
  <c r="AC360" i="3"/>
  <c r="H360" i="3"/>
  <c r="BL359" i="3"/>
  <c r="BK359" i="3"/>
  <c r="BJ359" i="3"/>
  <c r="BI359" i="3"/>
  <c r="BH359" i="3"/>
  <c r="BG359" i="3"/>
  <c r="BF359" i="3"/>
  <c r="BE359" i="3"/>
  <c r="BD359" i="3"/>
  <c r="BC359" i="3"/>
  <c r="BB359" i="3"/>
  <c r="AX359" i="3"/>
  <c r="AW359" i="3"/>
  <c r="AV359" i="3"/>
  <c r="AC359" i="3"/>
  <c r="H359" i="3"/>
  <c r="BK358" i="3"/>
  <c r="BJ358" i="3"/>
  <c r="BI358" i="3"/>
  <c r="BH358" i="3"/>
  <c r="BG358" i="3"/>
  <c r="BF358" i="3"/>
  <c r="BE358" i="3"/>
  <c r="BD358" i="3"/>
  <c r="BC358" i="3"/>
  <c r="BB358" i="3"/>
  <c r="BA358" i="3"/>
  <c r="AX358" i="3"/>
  <c r="AW358" i="3"/>
  <c r="AV358" i="3"/>
  <c r="AC358" i="3"/>
  <c r="H358" i="3"/>
  <c r="G358" i="3"/>
  <c r="BK357" i="3"/>
  <c r="BJ357" i="3"/>
  <c r="BI357" i="3"/>
  <c r="BH357" i="3"/>
  <c r="BG357" i="3"/>
  <c r="BF357" i="3"/>
  <c r="BE357" i="3"/>
  <c r="BD357" i="3"/>
  <c r="BC357" i="3"/>
  <c r="BB357" i="3"/>
  <c r="AX357" i="3"/>
  <c r="AW357" i="3"/>
  <c r="AV357" i="3"/>
  <c r="AC357" i="3"/>
  <c r="H357" i="3"/>
  <c r="BK356" i="3"/>
  <c r="BJ356" i="3"/>
  <c r="BI356" i="3"/>
  <c r="BH356" i="3"/>
  <c r="BG356" i="3"/>
  <c r="BF356" i="3"/>
  <c r="BE356" i="3"/>
  <c r="BD356" i="3"/>
  <c r="BC356" i="3"/>
  <c r="BB356" i="3"/>
  <c r="AX356" i="3"/>
  <c r="AW356" i="3"/>
  <c r="AV356" i="3"/>
  <c r="AC356" i="3"/>
  <c r="H356" i="3"/>
  <c r="BK355" i="3"/>
  <c r="BJ355" i="3"/>
  <c r="BI355" i="3"/>
  <c r="BH355" i="3"/>
  <c r="BG355" i="3"/>
  <c r="BF355" i="3"/>
  <c r="BE355" i="3"/>
  <c r="BD355" i="3"/>
  <c r="BC355" i="3"/>
  <c r="BB355" i="3"/>
  <c r="AX355" i="3"/>
  <c r="AW355" i="3"/>
  <c r="AV355" i="3"/>
  <c r="AC355" i="3"/>
  <c r="H355" i="3"/>
  <c r="BL354" i="3"/>
  <c r="BK354" i="3"/>
  <c r="BJ354" i="3"/>
  <c r="BI354" i="3"/>
  <c r="BH354" i="3"/>
  <c r="BG354" i="3"/>
  <c r="BF354" i="3"/>
  <c r="BE354" i="3"/>
  <c r="BD354" i="3"/>
  <c r="BC354" i="3"/>
  <c r="BB354" i="3"/>
  <c r="BA354" i="3"/>
  <c r="AX354" i="3"/>
  <c r="AW354" i="3"/>
  <c r="AV354" i="3"/>
  <c r="AC354" i="3"/>
  <c r="H354" i="3"/>
  <c r="BL353" i="3"/>
  <c r="BK353" i="3"/>
  <c r="BJ353" i="3"/>
  <c r="BI353" i="3"/>
  <c r="BH353" i="3"/>
  <c r="BG353" i="3"/>
  <c r="BF353" i="3"/>
  <c r="BE353" i="3"/>
  <c r="BD353" i="3"/>
  <c r="BC353" i="3"/>
  <c r="BB353" i="3"/>
  <c r="BA353" i="3"/>
  <c r="AX353" i="3"/>
  <c r="AW353" i="3"/>
  <c r="AV353" i="3"/>
  <c r="AC353" i="3"/>
  <c r="H353" i="3"/>
  <c r="BK352" i="3"/>
  <c r="BJ352" i="3"/>
  <c r="BI352" i="3"/>
  <c r="BH352" i="3"/>
  <c r="BG352" i="3"/>
  <c r="BF352" i="3"/>
  <c r="BE352" i="3"/>
  <c r="BD352" i="3"/>
  <c r="BC352" i="3"/>
  <c r="BB352" i="3"/>
  <c r="BA352" i="3"/>
  <c r="AX352" i="3"/>
  <c r="AW352" i="3"/>
  <c r="AV352" i="3"/>
  <c r="AC352" i="3"/>
  <c r="H352" i="3"/>
  <c r="BK351" i="3"/>
  <c r="BJ351" i="3"/>
  <c r="BI351" i="3"/>
  <c r="BH351" i="3"/>
  <c r="BG351" i="3"/>
  <c r="BF351" i="3"/>
  <c r="BE351" i="3"/>
  <c r="BD351" i="3"/>
  <c r="BC351" i="3"/>
  <c r="BB351" i="3"/>
  <c r="AX351" i="3"/>
  <c r="AW351" i="3"/>
  <c r="AV351" i="3"/>
  <c r="AC351" i="3"/>
  <c r="H351" i="3"/>
  <c r="G351" i="3"/>
  <c r="BL350" i="3"/>
  <c r="BK350" i="3"/>
  <c r="BJ350" i="3"/>
  <c r="BI350" i="3"/>
  <c r="BH350" i="3"/>
  <c r="BG350" i="3"/>
  <c r="BF350" i="3"/>
  <c r="BE350" i="3"/>
  <c r="BD350" i="3"/>
  <c r="BC350" i="3"/>
  <c r="BB350" i="3"/>
  <c r="BA350" i="3"/>
  <c r="AX350" i="3"/>
  <c r="AW350" i="3"/>
  <c r="AV350" i="3"/>
  <c r="AC350" i="3"/>
  <c r="H350" i="3"/>
  <c r="BK349" i="3"/>
  <c r="BJ349" i="3"/>
  <c r="BI349" i="3"/>
  <c r="BH349" i="3"/>
  <c r="BG349" i="3"/>
  <c r="BF349" i="3"/>
  <c r="BE349" i="3"/>
  <c r="BD349" i="3"/>
  <c r="BC349" i="3"/>
  <c r="BB349" i="3"/>
  <c r="BA349" i="3"/>
  <c r="AX349" i="3"/>
  <c r="AW349" i="3"/>
  <c r="AV349" i="3"/>
  <c r="AC349" i="3"/>
  <c r="H349" i="3"/>
  <c r="G349" i="3"/>
  <c r="BL348" i="3"/>
  <c r="BK348" i="3"/>
  <c r="BJ348" i="3"/>
  <c r="BI348" i="3"/>
  <c r="BH348" i="3"/>
  <c r="BG348" i="3"/>
  <c r="BF348" i="3"/>
  <c r="BE348" i="3"/>
  <c r="BD348" i="3"/>
  <c r="BC348" i="3"/>
  <c r="BB348" i="3"/>
  <c r="BA348" i="3"/>
  <c r="AX348" i="3"/>
  <c r="AW348" i="3"/>
  <c r="AV348" i="3"/>
  <c r="AC348" i="3"/>
  <c r="H348" i="3"/>
  <c r="BK347" i="3"/>
  <c r="BJ347" i="3"/>
  <c r="BI347" i="3"/>
  <c r="BH347" i="3"/>
  <c r="BG347" i="3"/>
  <c r="BF347" i="3"/>
  <c r="BE347" i="3"/>
  <c r="BD347" i="3"/>
  <c r="BC347" i="3"/>
  <c r="BB347" i="3"/>
  <c r="AX347" i="3"/>
  <c r="AW347" i="3"/>
  <c r="AV347" i="3"/>
  <c r="AC347" i="3"/>
  <c r="H347" i="3"/>
  <c r="G347" i="3"/>
  <c r="BL346" i="3"/>
  <c r="BK346" i="3"/>
  <c r="BJ346" i="3"/>
  <c r="BI346" i="3"/>
  <c r="BH346" i="3"/>
  <c r="BG346" i="3"/>
  <c r="BF346" i="3"/>
  <c r="BE346" i="3"/>
  <c r="BD346" i="3"/>
  <c r="BC346" i="3"/>
  <c r="BB346" i="3"/>
  <c r="AX346" i="3"/>
  <c r="AW346" i="3"/>
  <c r="AV346" i="3"/>
  <c r="AC346" i="3"/>
  <c r="H346" i="3"/>
  <c r="BK345" i="3"/>
  <c r="BJ345" i="3"/>
  <c r="BI345" i="3"/>
  <c r="BH345" i="3"/>
  <c r="BG345" i="3"/>
  <c r="BF345" i="3"/>
  <c r="BE345" i="3"/>
  <c r="BD345" i="3"/>
  <c r="BC345" i="3"/>
  <c r="BB345" i="3"/>
  <c r="AX345" i="3"/>
  <c r="AW345" i="3"/>
  <c r="AV345" i="3"/>
  <c r="AC345" i="3"/>
  <c r="H345" i="3"/>
  <c r="G345" i="3"/>
  <c r="BK344" i="3"/>
  <c r="BJ344" i="3"/>
  <c r="BI344" i="3"/>
  <c r="BH344" i="3"/>
  <c r="BG344" i="3"/>
  <c r="BF344" i="3"/>
  <c r="BE344" i="3"/>
  <c r="BD344" i="3"/>
  <c r="BC344" i="3"/>
  <c r="BB344" i="3"/>
  <c r="AX344" i="3"/>
  <c r="AW344" i="3"/>
  <c r="AV344" i="3"/>
  <c r="AC344" i="3"/>
  <c r="H344" i="3"/>
  <c r="BK343" i="3"/>
  <c r="BJ343" i="3"/>
  <c r="BI343" i="3"/>
  <c r="BH343" i="3"/>
  <c r="BG343" i="3"/>
  <c r="BF343" i="3"/>
  <c r="BE343" i="3"/>
  <c r="BD343" i="3"/>
  <c r="BC343" i="3"/>
  <c r="BB343" i="3"/>
  <c r="AX343" i="3"/>
  <c r="AW343" i="3"/>
  <c r="AV343" i="3"/>
  <c r="AC343" i="3"/>
  <c r="H343" i="3"/>
  <c r="G343" i="3"/>
  <c r="BK342" i="3"/>
  <c r="BJ342" i="3"/>
  <c r="BI342" i="3"/>
  <c r="BH342" i="3"/>
  <c r="BG342" i="3"/>
  <c r="BF342" i="3"/>
  <c r="BE342" i="3"/>
  <c r="BD342" i="3"/>
  <c r="BC342" i="3"/>
  <c r="BB342" i="3"/>
  <c r="AX342" i="3"/>
  <c r="AW342" i="3"/>
  <c r="AV342" i="3"/>
  <c r="AC342" i="3"/>
  <c r="H342" i="3"/>
  <c r="BK341" i="3"/>
  <c r="BJ341" i="3"/>
  <c r="BI341" i="3"/>
  <c r="BH341" i="3"/>
  <c r="BG341" i="3"/>
  <c r="BF341" i="3"/>
  <c r="BE341" i="3"/>
  <c r="BD341" i="3"/>
  <c r="BC341" i="3"/>
  <c r="BB341" i="3"/>
  <c r="AX341" i="3"/>
  <c r="AW341" i="3"/>
  <c r="AV341" i="3"/>
  <c r="AC341" i="3"/>
  <c r="H341" i="3"/>
  <c r="BL340" i="3"/>
  <c r="BK340" i="3"/>
  <c r="BJ340" i="3"/>
  <c r="BI340" i="3"/>
  <c r="BH340" i="3"/>
  <c r="BG340" i="3"/>
  <c r="BF340" i="3"/>
  <c r="BE340" i="3"/>
  <c r="BD340" i="3"/>
  <c r="BC340" i="3"/>
  <c r="BB340" i="3"/>
  <c r="AX340" i="3"/>
  <c r="AW340" i="3"/>
  <c r="AV340" i="3"/>
  <c r="AC340" i="3"/>
  <c r="H340" i="3"/>
  <c r="BK339" i="3"/>
  <c r="BJ339" i="3"/>
  <c r="BI339" i="3"/>
  <c r="BH339" i="3"/>
  <c r="BG339" i="3"/>
  <c r="BF339" i="3"/>
  <c r="BE339" i="3"/>
  <c r="BD339" i="3"/>
  <c r="BC339" i="3"/>
  <c r="BB339" i="3"/>
  <c r="BA339" i="3"/>
  <c r="AX339" i="3"/>
  <c r="AW339" i="3"/>
  <c r="AV339" i="3"/>
  <c r="AC339" i="3"/>
  <c r="H339" i="3"/>
  <c r="G339" i="3"/>
  <c r="BK338" i="3"/>
  <c r="BJ338" i="3"/>
  <c r="BI338" i="3"/>
  <c r="BH338" i="3"/>
  <c r="BG338" i="3"/>
  <c r="BF338" i="3"/>
  <c r="BE338" i="3"/>
  <c r="BD338" i="3"/>
  <c r="BC338" i="3"/>
  <c r="BB338" i="3"/>
  <c r="AX338" i="3"/>
  <c r="AW338" i="3"/>
  <c r="AV338" i="3"/>
  <c r="AC338" i="3"/>
  <c r="H338" i="3"/>
  <c r="BK337" i="3"/>
  <c r="BJ337" i="3"/>
  <c r="BI337" i="3"/>
  <c r="BH337" i="3"/>
  <c r="BG337" i="3"/>
  <c r="BF337" i="3"/>
  <c r="BE337" i="3"/>
  <c r="BD337" i="3"/>
  <c r="BC337" i="3"/>
  <c r="BB337" i="3"/>
  <c r="AX337" i="3"/>
  <c r="AW337" i="3"/>
  <c r="AV337" i="3"/>
  <c r="AC337" i="3"/>
  <c r="H337" i="3"/>
  <c r="BK336" i="3"/>
  <c r="BJ336" i="3"/>
  <c r="BI336" i="3"/>
  <c r="BH336" i="3"/>
  <c r="BG336" i="3"/>
  <c r="BF336" i="3"/>
  <c r="BE336" i="3"/>
  <c r="BD336" i="3"/>
  <c r="BC336" i="3"/>
  <c r="BB336" i="3"/>
  <c r="AX336" i="3"/>
  <c r="AW336" i="3"/>
  <c r="AV336" i="3"/>
  <c r="AC336" i="3"/>
  <c r="H336" i="3"/>
  <c r="BK335" i="3"/>
  <c r="BJ335" i="3"/>
  <c r="BI335" i="3"/>
  <c r="BH335" i="3"/>
  <c r="BG335" i="3"/>
  <c r="BF335" i="3"/>
  <c r="BE335" i="3"/>
  <c r="BD335" i="3"/>
  <c r="BC335" i="3"/>
  <c r="BB335" i="3"/>
  <c r="BA335" i="3"/>
  <c r="AX335" i="3"/>
  <c r="AW335" i="3"/>
  <c r="AV335" i="3"/>
  <c r="AC335" i="3"/>
  <c r="H335" i="3"/>
  <c r="BK334" i="3"/>
  <c r="BJ334" i="3"/>
  <c r="BI334" i="3"/>
  <c r="BH334" i="3"/>
  <c r="BG334" i="3"/>
  <c r="BF334" i="3"/>
  <c r="BE334" i="3"/>
  <c r="BD334" i="3"/>
  <c r="BC334" i="3"/>
  <c r="BB334" i="3"/>
  <c r="AX334" i="3"/>
  <c r="AW334" i="3"/>
  <c r="AV334" i="3"/>
  <c r="AC334" i="3"/>
  <c r="H334" i="3"/>
  <c r="G334" i="3"/>
  <c r="BL333" i="3"/>
  <c r="BK333" i="3"/>
  <c r="BJ333" i="3"/>
  <c r="BI333" i="3"/>
  <c r="BH333" i="3"/>
  <c r="BG333" i="3"/>
  <c r="BF333" i="3"/>
  <c r="BE333" i="3"/>
  <c r="BD333" i="3"/>
  <c r="BC333" i="3"/>
  <c r="BB333" i="3"/>
  <c r="BA333" i="3"/>
  <c r="AX333" i="3"/>
  <c r="AW333" i="3"/>
  <c r="AV333" i="3"/>
  <c r="AC333" i="3"/>
  <c r="H333" i="3"/>
  <c r="BL332" i="3"/>
  <c r="BK332" i="3"/>
  <c r="BJ332" i="3"/>
  <c r="BI332" i="3"/>
  <c r="BH332" i="3"/>
  <c r="BG332" i="3"/>
  <c r="BF332" i="3"/>
  <c r="BE332" i="3"/>
  <c r="BD332" i="3"/>
  <c r="BC332" i="3"/>
  <c r="BB332" i="3"/>
  <c r="BA332" i="3"/>
  <c r="AZ332" i="3"/>
  <c r="AX332" i="3"/>
  <c r="AW332" i="3"/>
  <c r="AV332" i="3"/>
  <c r="AC332" i="3"/>
  <c r="H332" i="3"/>
  <c r="BK331" i="3"/>
  <c r="BJ331" i="3"/>
  <c r="BI331" i="3"/>
  <c r="BH331" i="3"/>
  <c r="BG331" i="3"/>
  <c r="BF331" i="3"/>
  <c r="BE331" i="3"/>
  <c r="BD331" i="3"/>
  <c r="BC331" i="3"/>
  <c r="BB331" i="3"/>
  <c r="BA331" i="3"/>
  <c r="AX331" i="3"/>
  <c r="AW331" i="3"/>
  <c r="AV331" i="3"/>
  <c r="AC331" i="3"/>
  <c r="H331" i="3"/>
  <c r="G331" i="3"/>
  <c r="BL330" i="3"/>
  <c r="BK330" i="3"/>
  <c r="BJ330" i="3"/>
  <c r="BI330" i="3"/>
  <c r="BH330" i="3"/>
  <c r="BG330" i="3"/>
  <c r="BF330" i="3"/>
  <c r="BE330" i="3"/>
  <c r="BD330" i="3"/>
  <c r="BC330" i="3"/>
  <c r="BB330" i="3"/>
  <c r="AX330" i="3"/>
  <c r="AW330" i="3"/>
  <c r="AV330" i="3"/>
  <c r="AC330" i="3"/>
  <c r="H330" i="3"/>
  <c r="BK329" i="3"/>
  <c r="BJ329" i="3"/>
  <c r="BI329" i="3"/>
  <c r="BH329" i="3"/>
  <c r="BG329" i="3"/>
  <c r="BF329" i="3"/>
  <c r="BE329" i="3"/>
  <c r="BD329" i="3"/>
  <c r="BC329" i="3"/>
  <c r="BB329" i="3"/>
  <c r="AX329" i="3"/>
  <c r="AW329" i="3"/>
  <c r="AV329" i="3"/>
  <c r="AC329" i="3"/>
  <c r="H329" i="3"/>
  <c r="G329" i="3"/>
  <c r="BL328" i="3"/>
  <c r="BK328" i="3"/>
  <c r="BJ328" i="3"/>
  <c r="BI328" i="3"/>
  <c r="BH328" i="3"/>
  <c r="BG328" i="3"/>
  <c r="BF328" i="3"/>
  <c r="BE328" i="3"/>
  <c r="BD328" i="3"/>
  <c r="BC328" i="3"/>
  <c r="BB328" i="3"/>
  <c r="AX328" i="3"/>
  <c r="AW328" i="3"/>
  <c r="AV328" i="3"/>
  <c r="AC328" i="3"/>
  <c r="H328" i="3"/>
  <c r="BK327" i="3"/>
  <c r="BJ327" i="3"/>
  <c r="BI327" i="3"/>
  <c r="BH327" i="3"/>
  <c r="BG327" i="3"/>
  <c r="BF327" i="3"/>
  <c r="BE327" i="3"/>
  <c r="BD327" i="3"/>
  <c r="BC327" i="3"/>
  <c r="BB327" i="3"/>
  <c r="AX327" i="3"/>
  <c r="AW327" i="3"/>
  <c r="AV327" i="3"/>
  <c r="AC327" i="3"/>
  <c r="H327" i="3"/>
  <c r="G327" i="3"/>
  <c r="BK326" i="3"/>
  <c r="BJ326" i="3"/>
  <c r="BI326" i="3"/>
  <c r="BH326" i="3"/>
  <c r="BG326" i="3"/>
  <c r="BF326" i="3"/>
  <c r="BE326" i="3"/>
  <c r="BD326" i="3"/>
  <c r="BC326" i="3"/>
  <c r="BB326" i="3"/>
  <c r="AX326" i="3"/>
  <c r="AW326" i="3"/>
  <c r="AV326" i="3"/>
  <c r="AC326" i="3"/>
  <c r="H326" i="3"/>
  <c r="BK325" i="3"/>
  <c r="BJ325" i="3"/>
  <c r="BI325" i="3"/>
  <c r="BH325" i="3"/>
  <c r="BG325" i="3"/>
  <c r="BF325" i="3"/>
  <c r="BE325" i="3"/>
  <c r="BD325" i="3"/>
  <c r="BC325" i="3"/>
  <c r="BB325" i="3"/>
  <c r="AX325" i="3"/>
  <c r="AW325" i="3"/>
  <c r="AV325" i="3"/>
  <c r="AC325" i="3"/>
  <c r="H325" i="3"/>
  <c r="BL324" i="3"/>
  <c r="BK324" i="3"/>
  <c r="BJ324" i="3"/>
  <c r="BI324" i="3"/>
  <c r="BH324" i="3"/>
  <c r="BG324" i="3"/>
  <c r="BF324" i="3"/>
  <c r="BE324" i="3"/>
  <c r="BD324" i="3"/>
  <c r="BC324" i="3"/>
  <c r="BB324" i="3"/>
  <c r="AX324" i="3"/>
  <c r="AW324" i="3"/>
  <c r="AV324" i="3"/>
  <c r="AC324" i="3"/>
  <c r="H324" i="3"/>
  <c r="BK323" i="3"/>
  <c r="BJ323" i="3"/>
  <c r="BI323" i="3"/>
  <c r="BH323" i="3"/>
  <c r="BG323" i="3"/>
  <c r="BF323" i="3"/>
  <c r="BE323" i="3"/>
  <c r="BD323" i="3"/>
  <c r="BC323" i="3"/>
  <c r="BB323" i="3"/>
  <c r="BA323" i="3"/>
  <c r="AX323" i="3"/>
  <c r="AW323" i="3"/>
  <c r="AV323" i="3"/>
  <c r="AC323" i="3"/>
  <c r="H323" i="3"/>
  <c r="G323" i="3"/>
  <c r="BK322" i="3"/>
  <c r="BJ322" i="3"/>
  <c r="BI322" i="3"/>
  <c r="BH322" i="3"/>
  <c r="BG322" i="3"/>
  <c r="BF322" i="3"/>
  <c r="BE322" i="3"/>
  <c r="BD322" i="3"/>
  <c r="BC322" i="3"/>
  <c r="BB322" i="3"/>
  <c r="AX322" i="3"/>
  <c r="AW322" i="3"/>
  <c r="AV322" i="3"/>
  <c r="AC322" i="3"/>
  <c r="H322" i="3"/>
  <c r="BK321" i="3"/>
  <c r="BJ321" i="3"/>
  <c r="BI321" i="3"/>
  <c r="BH321" i="3"/>
  <c r="BG321" i="3"/>
  <c r="BF321" i="3"/>
  <c r="BE321" i="3"/>
  <c r="BD321" i="3"/>
  <c r="BC321" i="3"/>
  <c r="BB321" i="3"/>
  <c r="AX321" i="3"/>
  <c r="AW321" i="3"/>
  <c r="AV321" i="3"/>
  <c r="AC321" i="3"/>
  <c r="H321" i="3"/>
  <c r="BK320" i="3"/>
  <c r="BJ320" i="3"/>
  <c r="BI320" i="3"/>
  <c r="BH320" i="3"/>
  <c r="BG320" i="3"/>
  <c r="BF320" i="3"/>
  <c r="BE320" i="3"/>
  <c r="BD320" i="3"/>
  <c r="BC320" i="3"/>
  <c r="BB320" i="3"/>
  <c r="AX320" i="3"/>
  <c r="AW320" i="3"/>
  <c r="AV320" i="3"/>
  <c r="AC320" i="3"/>
  <c r="H320" i="3"/>
  <c r="BK319" i="3"/>
  <c r="BJ319" i="3"/>
  <c r="BI319" i="3"/>
  <c r="BH319" i="3"/>
  <c r="BG319" i="3"/>
  <c r="BF319" i="3"/>
  <c r="BE319" i="3"/>
  <c r="BD319" i="3"/>
  <c r="BC319" i="3"/>
  <c r="BB319" i="3"/>
  <c r="BA319" i="3"/>
  <c r="AX319" i="3"/>
  <c r="AW319" i="3"/>
  <c r="AV319" i="3"/>
  <c r="AC319" i="3"/>
  <c r="H319" i="3"/>
  <c r="BK318" i="3"/>
  <c r="BJ318" i="3"/>
  <c r="BI318" i="3"/>
  <c r="BH318" i="3"/>
  <c r="BG318" i="3"/>
  <c r="BF318" i="3"/>
  <c r="BE318" i="3"/>
  <c r="BD318" i="3"/>
  <c r="BC318" i="3"/>
  <c r="BB318" i="3"/>
  <c r="AX318" i="3"/>
  <c r="AW318" i="3"/>
  <c r="AV318" i="3"/>
  <c r="AC318" i="3"/>
  <c r="H318" i="3"/>
  <c r="G318" i="3"/>
  <c r="BL317" i="3"/>
  <c r="BK317" i="3"/>
  <c r="BJ317" i="3"/>
  <c r="BI317" i="3"/>
  <c r="BH317" i="3"/>
  <c r="BG317" i="3"/>
  <c r="BF317" i="3"/>
  <c r="BE317" i="3"/>
  <c r="BD317" i="3"/>
  <c r="BC317" i="3"/>
  <c r="BB317" i="3"/>
  <c r="BA317" i="3"/>
  <c r="AX317" i="3"/>
  <c r="AW317" i="3"/>
  <c r="AV317" i="3"/>
  <c r="AC317" i="3"/>
  <c r="H317" i="3"/>
  <c r="BL316" i="3"/>
  <c r="BK316" i="3"/>
  <c r="BJ316" i="3"/>
  <c r="BI316" i="3"/>
  <c r="BH316" i="3"/>
  <c r="BG316" i="3"/>
  <c r="BF316" i="3"/>
  <c r="BE316" i="3"/>
  <c r="BD316" i="3"/>
  <c r="BC316" i="3"/>
  <c r="BB316" i="3"/>
  <c r="BA316" i="3"/>
  <c r="AZ316" i="3"/>
  <c r="AX316" i="3"/>
  <c r="AW316" i="3"/>
  <c r="AV316" i="3"/>
  <c r="AC316" i="3"/>
  <c r="H316" i="3"/>
  <c r="BK315" i="3"/>
  <c r="BJ315" i="3"/>
  <c r="BI315" i="3"/>
  <c r="BH315" i="3"/>
  <c r="BG315" i="3"/>
  <c r="BF315" i="3"/>
  <c r="BE315" i="3"/>
  <c r="BD315" i="3"/>
  <c r="BC315" i="3"/>
  <c r="BB315" i="3"/>
  <c r="BA315" i="3"/>
  <c r="AX315" i="3"/>
  <c r="AW315" i="3"/>
  <c r="AV315" i="3"/>
  <c r="AC315" i="3"/>
  <c r="H315" i="3"/>
  <c r="G315" i="3"/>
  <c r="BL314" i="3"/>
  <c r="BK314" i="3"/>
  <c r="BJ314" i="3"/>
  <c r="BI314" i="3"/>
  <c r="BH314" i="3"/>
  <c r="BG314" i="3"/>
  <c r="BF314" i="3"/>
  <c r="BE314" i="3"/>
  <c r="BD314" i="3"/>
  <c r="BC314" i="3"/>
  <c r="BB314" i="3"/>
  <c r="AX314" i="3"/>
  <c r="AW314" i="3"/>
  <c r="AV314" i="3"/>
  <c r="AC314" i="3"/>
  <c r="H314" i="3"/>
  <c r="BK313" i="3"/>
  <c r="BJ313" i="3"/>
  <c r="BI313" i="3"/>
  <c r="BH313" i="3"/>
  <c r="BG313" i="3"/>
  <c r="BF313" i="3"/>
  <c r="BE313" i="3"/>
  <c r="BD313" i="3"/>
  <c r="BC313" i="3"/>
  <c r="BB313" i="3"/>
  <c r="AX313" i="3"/>
  <c r="AW313" i="3"/>
  <c r="AV313" i="3"/>
  <c r="AC313" i="3"/>
  <c r="H313" i="3"/>
  <c r="G313" i="3"/>
  <c r="BL312" i="3"/>
  <c r="BK312" i="3"/>
  <c r="BJ312" i="3"/>
  <c r="BI312" i="3"/>
  <c r="BH312" i="3"/>
  <c r="BG312" i="3"/>
  <c r="BF312" i="3"/>
  <c r="BE312" i="3"/>
  <c r="BD312" i="3"/>
  <c r="BC312" i="3"/>
  <c r="BB312" i="3"/>
  <c r="AX312" i="3"/>
  <c r="AW312" i="3"/>
  <c r="AV312" i="3"/>
  <c r="AC312" i="3"/>
  <c r="H312" i="3"/>
  <c r="BK311" i="3"/>
  <c r="BJ311" i="3"/>
  <c r="BI311" i="3"/>
  <c r="BH311" i="3"/>
  <c r="BG311" i="3"/>
  <c r="BF311" i="3"/>
  <c r="BE311" i="3"/>
  <c r="BD311" i="3"/>
  <c r="BC311" i="3"/>
  <c r="BB311" i="3"/>
  <c r="AX311" i="3"/>
  <c r="AW311" i="3"/>
  <c r="AV311" i="3"/>
  <c r="AC311" i="3"/>
  <c r="H311" i="3"/>
  <c r="G311" i="3"/>
  <c r="BK310" i="3"/>
  <c r="BJ310" i="3"/>
  <c r="BI310" i="3"/>
  <c r="BH310" i="3"/>
  <c r="BG310" i="3"/>
  <c r="BF310" i="3"/>
  <c r="BE310" i="3"/>
  <c r="BD310" i="3"/>
  <c r="BC310" i="3"/>
  <c r="BB310" i="3"/>
  <c r="AX310" i="3"/>
  <c r="AW310" i="3"/>
  <c r="AV310" i="3"/>
  <c r="AC310" i="3"/>
  <c r="H310" i="3"/>
  <c r="BK309" i="3"/>
  <c r="BJ309" i="3"/>
  <c r="BI309" i="3"/>
  <c r="BH309" i="3"/>
  <c r="BG309" i="3"/>
  <c r="BF309" i="3"/>
  <c r="BE309" i="3"/>
  <c r="BD309" i="3"/>
  <c r="BC309" i="3"/>
  <c r="BB309" i="3"/>
  <c r="AX309" i="3"/>
  <c r="AW309" i="3"/>
  <c r="AV309" i="3"/>
  <c r="AC309" i="3"/>
  <c r="H309" i="3"/>
  <c r="BL308" i="3"/>
  <c r="BK308" i="3"/>
  <c r="BJ308" i="3"/>
  <c r="BI308" i="3"/>
  <c r="BH308" i="3"/>
  <c r="BG308" i="3"/>
  <c r="BF308" i="3"/>
  <c r="BE308" i="3"/>
  <c r="BD308" i="3"/>
  <c r="BC308" i="3"/>
  <c r="BB308" i="3"/>
  <c r="AX308" i="3"/>
  <c r="AW308" i="3"/>
  <c r="AV308" i="3"/>
  <c r="AC308" i="3"/>
  <c r="H308" i="3"/>
  <c r="BK307" i="3"/>
  <c r="BJ307" i="3"/>
  <c r="BI307" i="3"/>
  <c r="BH307" i="3"/>
  <c r="BG307" i="3"/>
  <c r="BF307" i="3"/>
  <c r="BE307" i="3"/>
  <c r="BD307" i="3"/>
  <c r="BC307" i="3"/>
  <c r="BB307" i="3"/>
  <c r="BA307" i="3"/>
  <c r="AX307" i="3"/>
  <c r="AW307" i="3"/>
  <c r="AV307" i="3"/>
  <c r="AC307" i="3"/>
  <c r="H307" i="3"/>
  <c r="G307" i="3"/>
  <c r="BK306" i="3"/>
  <c r="BJ306" i="3"/>
  <c r="BI306" i="3"/>
  <c r="BH306" i="3"/>
  <c r="BG306" i="3"/>
  <c r="BF306" i="3"/>
  <c r="BE306" i="3"/>
  <c r="BD306" i="3"/>
  <c r="BC306" i="3"/>
  <c r="BB306" i="3"/>
  <c r="AX306" i="3"/>
  <c r="AW306" i="3"/>
  <c r="AV306" i="3"/>
  <c r="AC306" i="3"/>
  <c r="H306" i="3"/>
  <c r="BK305" i="3"/>
  <c r="BJ305" i="3"/>
  <c r="BI305" i="3"/>
  <c r="BH305" i="3"/>
  <c r="BG305" i="3"/>
  <c r="BF305" i="3"/>
  <c r="BE305" i="3"/>
  <c r="BD305" i="3"/>
  <c r="BC305" i="3"/>
  <c r="BB305" i="3"/>
  <c r="AX305" i="3"/>
  <c r="AW305" i="3"/>
  <c r="AV305" i="3"/>
  <c r="AC305" i="3"/>
  <c r="H305" i="3"/>
  <c r="BK304" i="3"/>
  <c r="BJ304" i="3"/>
  <c r="BI304" i="3"/>
  <c r="BH304" i="3"/>
  <c r="BG304" i="3"/>
  <c r="BF304" i="3"/>
  <c r="BE304" i="3"/>
  <c r="BD304" i="3"/>
  <c r="BC304" i="3"/>
  <c r="BB304" i="3"/>
  <c r="AX304" i="3"/>
  <c r="AW304" i="3"/>
  <c r="AV304" i="3"/>
  <c r="AC304" i="3"/>
  <c r="H304" i="3"/>
  <c r="BK303" i="3"/>
  <c r="BJ303" i="3"/>
  <c r="BI303" i="3"/>
  <c r="BH303" i="3"/>
  <c r="BG303" i="3"/>
  <c r="BF303" i="3"/>
  <c r="BE303" i="3"/>
  <c r="BD303" i="3"/>
  <c r="BC303" i="3"/>
  <c r="BB303" i="3"/>
  <c r="BA303" i="3"/>
  <c r="AX303" i="3"/>
  <c r="AW303" i="3"/>
  <c r="AV303" i="3"/>
  <c r="AC303" i="3"/>
  <c r="H303" i="3"/>
  <c r="BL492" i="3"/>
  <c r="BK492" i="3"/>
  <c r="BJ492" i="3"/>
  <c r="BI492" i="3"/>
  <c r="BH492" i="3"/>
  <c r="BG492" i="3"/>
  <c r="BF492" i="3"/>
  <c r="BE492" i="3"/>
  <c r="BD492" i="3"/>
  <c r="BC492" i="3"/>
  <c r="BB492" i="3"/>
  <c r="BA492" i="3"/>
  <c r="AZ492" i="3"/>
  <c r="AX492" i="3"/>
  <c r="AW492" i="3"/>
  <c r="AV492" i="3"/>
  <c r="AC492" i="3"/>
  <c r="H492" i="3"/>
  <c r="G492" i="3"/>
  <c r="BL491" i="3"/>
  <c r="BK491" i="3"/>
  <c r="BJ491" i="3"/>
  <c r="BI491" i="3"/>
  <c r="BH491" i="3"/>
  <c r="BG491" i="3"/>
  <c r="BF491" i="3"/>
  <c r="BE491" i="3"/>
  <c r="BD491" i="3"/>
  <c r="BC491" i="3"/>
  <c r="BB491" i="3"/>
  <c r="BA491" i="3"/>
  <c r="AX491" i="3"/>
  <c r="AW491" i="3"/>
  <c r="AV491" i="3"/>
  <c r="AC491" i="3"/>
  <c r="H491" i="3"/>
  <c r="G491" i="3"/>
  <c r="BL490" i="3"/>
  <c r="BK490" i="3"/>
  <c r="BJ490" i="3"/>
  <c r="BI490" i="3"/>
  <c r="BH490" i="3"/>
  <c r="BG490" i="3"/>
  <c r="BF490" i="3"/>
  <c r="BE490" i="3"/>
  <c r="BD490" i="3"/>
  <c r="BC490" i="3"/>
  <c r="BB490" i="3"/>
  <c r="BA490" i="3"/>
  <c r="AX490" i="3"/>
  <c r="AW490" i="3"/>
  <c r="AV490" i="3"/>
  <c r="AC490" i="3"/>
  <c r="H490" i="3"/>
  <c r="G490" i="3"/>
  <c r="BL489" i="3"/>
  <c r="BK489" i="3"/>
  <c r="BJ489" i="3"/>
  <c r="BI489" i="3"/>
  <c r="BH489" i="3"/>
  <c r="BG489" i="3"/>
  <c r="BF489" i="3"/>
  <c r="BE489" i="3"/>
  <c r="BD489" i="3"/>
  <c r="BC489" i="3"/>
  <c r="BB489" i="3"/>
  <c r="BA489" i="3"/>
  <c r="AZ489" i="3"/>
  <c r="AX489" i="3"/>
  <c r="AW489" i="3"/>
  <c r="AV489" i="3"/>
  <c r="AC489" i="3"/>
  <c r="H489" i="3"/>
  <c r="G489" i="3"/>
  <c r="BL488" i="3"/>
  <c r="BK488" i="3"/>
  <c r="BJ488" i="3"/>
  <c r="BI488" i="3"/>
  <c r="BH488" i="3"/>
  <c r="BG488" i="3"/>
  <c r="BF488" i="3"/>
  <c r="BE488" i="3"/>
  <c r="BD488" i="3"/>
  <c r="BC488" i="3"/>
  <c r="BB488" i="3"/>
  <c r="BA488" i="3"/>
  <c r="AZ488" i="3"/>
  <c r="AX488" i="3"/>
  <c r="AW488" i="3"/>
  <c r="AV488" i="3"/>
  <c r="AC488" i="3"/>
  <c r="H488" i="3"/>
  <c r="G488" i="3"/>
  <c r="BL487" i="3"/>
  <c r="BB487" i="3"/>
  <c r="BC487" i="3"/>
  <c r="BD487" i="3"/>
  <c r="BE487" i="3"/>
  <c r="BF487" i="3"/>
  <c r="BG487" i="3"/>
  <c r="BH487" i="3"/>
  <c r="BI487" i="3"/>
  <c r="BJ487" i="3"/>
  <c r="BK487" i="3"/>
  <c r="BA487" i="3"/>
  <c r="AZ487" i="3"/>
  <c r="AX487" i="3"/>
  <c r="AW487" i="3"/>
  <c r="AV487" i="3"/>
  <c r="AC487" i="3"/>
  <c r="H487" i="3"/>
  <c r="G487" i="3"/>
  <c r="BL486" i="3"/>
  <c r="BK486" i="3"/>
  <c r="BJ486" i="3"/>
  <c r="BI486" i="3"/>
  <c r="BH486" i="3"/>
  <c r="BG486" i="3"/>
  <c r="BF486" i="3"/>
  <c r="BE486" i="3"/>
  <c r="BD486" i="3"/>
  <c r="BC486" i="3"/>
  <c r="BB486" i="3"/>
  <c r="BA486" i="3"/>
  <c r="AZ486" i="3"/>
  <c r="AX486" i="3"/>
  <c r="AW486" i="3"/>
  <c r="AV486" i="3"/>
  <c r="AC486" i="3"/>
  <c r="H486" i="3"/>
  <c r="G486" i="3"/>
  <c r="BL485" i="3"/>
  <c r="BK485" i="3"/>
  <c r="BJ485" i="3"/>
  <c r="BI485" i="3"/>
  <c r="BH485" i="3"/>
  <c r="BG485" i="3"/>
  <c r="BF485" i="3"/>
  <c r="BE485" i="3"/>
  <c r="BD485" i="3"/>
  <c r="BC485" i="3"/>
  <c r="BB485" i="3"/>
  <c r="BA485" i="3"/>
  <c r="AZ485" i="3"/>
  <c r="AX485" i="3"/>
  <c r="AW485" i="3"/>
  <c r="AV485" i="3"/>
  <c r="AC485" i="3"/>
  <c r="H485" i="3"/>
  <c r="G485" i="3"/>
  <c r="BL484" i="3"/>
  <c r="BK484" i="3"/>
  <c r="BJ484" i="3"/>
  <c r="BI484" i="3"/>
  <c r="BH484" i="3"/>
  <c r="BG484" i="3"/>
  <c r="BF484" i="3"/>
  <c r="BE484" i="3"/>
  <c r="BD484" i="3"/>
  <c r="BC484" i="3"/>
  <c r="BB484" i="3"/>
  <c r="BA484" i="3"/>
  <c r="AZ484" i="3"/>
  <c r="AX484" i="3"/>
  <c r="AW484" i="3"/>
  <c r="AV484" i="3"/>
  <c r="AC484" i="3"/>
  <c r="H484" i="3"/>
  <c r="G484" i="3"/>
  <c r="BL483" i="3"/>
  <c r="BK483" i="3"/>
  <c r="BJ483" i="3"/>
  <c r="BI483" i="3"/>
  <c r="BH483" i="3"/>
  <c r="BG483" i="3"/>
  <c r="BF483" i="3"/>
  <c r="BE483" i="3"/>
  <c r="BD483" i="3"/>
  <c r="BC483" i="3"/>
  <c r="BB483" i="3"/>
  <c r="BA483" i="3"/>
  <c r="AZ483" i="3"/>
  <c r="AX483" i="3"/>
  <c r="AW483" i="3"/>
  <c r="AV483" i="3"/>
  <c r="AC483" i="3"/>
  <c r="H483" i="3"/>
  <c r="G483" i="3"/>
  <c r="BL482" i="3"/>
  <c r="BK482" i="3"/>
  <c r="BJ482" i="3"/>
  <c r="BI482" i="3"/>
  <c r="BH482" i="3"/>
  <c r="BG482" i="3"/>
  <c r="BF482" i="3"/>
  <c r="BE482" i="3"/>
  <c r="BD482" i="3"/>
  <c r="BC482" i="3"/>
  <c r="BB482" i="3"/>
  <c r="BA482" i="3"/>
  <c r="AZ482" i="3"/>
  <c r="AX482" i="3"/>
  <c r="AW482" i="3"/>
  <c r="AV482" i="3"/>
  <c r="AC482" i="3"/>
  <c r="H482" i="3"/>
  <c r="G482" i="3"/>
  <c r="BL481" i="3"/>
  <c r="BB481" i="3"/>
  <c r="BC481" i="3"/>
  <c r="BD481" i="3"/>
  <c r="BE481" i="3"/>
  <c r="BF481" i="3"/>
  <c r="BG481" i="3"/>
  <c r="BH481" i="3"/>
  <c r="BI481" i="3"/>
  <c r="BJ481" i="3"/>
  <c r="BK481" i="3"/>
  <c r="BA481" i="3"/>
  <c r="AZ481" i="3"/>
  <c r="AX481" i="3"/>
  <c r="AW481" i="3"/>
  <c r="AV481" i="3"/>
  <c r="AC481" i="3"/>
  <c r="H481" i="3"/>
  <c r="G481" i="3"/>
  <c r="BL480" i="3"/>
  <c r="BK480" i="3"/>
  <c r="BJ480" i="3"/>
  <c r="BI480" i="3"/>
  <c r="BH480" i="3"/>
  <c r="BG480" i="3"/>
  <c r="BF480" i="3"/>
  <c r="BE480" i="3"/>
  <c r="BD480" i="3"/>
  <c r="BC480" i="3"/>
  <c r="BB480" i="3"/>
  <c r="BA480" i="3"/>
  <c r="AZ480" i="3"/>
  <c r="AX480" i="3"/>
  <c r="AW480" i="3"/>
  <c r="AV480" i="3"/>
  <c r="AC480" i="3"/>
  <c r="H480" i="3"/>
  <c r="G480" i="3"/>
  <c r="BL479" i="3"/>
  <c r="BK479" i="3"/>
  <c r="BJ479" i="3"/>
  <c r="BI479" i="3"/>
  <c r="BH479" i="3"/>
  <c r="BG479" i="3"/>
  <c r="BF479" i="3"/>
  <c r="BE479" i="3"/>
  <c r="BD479" i="3"/>
  <c r="BC479" i="3"/>
  <c r="BB479" i="3"/>
  <c r="BA479" i="3"/>
  <c r="AZ479" i="3"/>
  <c r="AX479" i="3"/>
  <c r="AW479" i="3"/>
  <c r="AV479" i="3"/>
  <c r="AC479" i="3"/>
  <c r="H479" i="3"/>
  <c r="G479" i="3"/>
  <c r="BL478" i="3"/>
  <c r="BK478" i="3"/>
  <c r="BJ478" i="3"/>
  <c r="BI478" i="3"/>
  <c r="BH478" i="3"/>
  <c r="BG478" i="3"/>
  <c r="BF478" i="3"/>
  <c r="BE478" i="3"/>
  <c r="BD478" i="3"/>
  <c r="BC478" i="3"/>
  <c r="BB478" i="3"/>
  <c r="BA478" i="3"/>
  <c r="AZ478" i="3"/>
  <c r="AX478" i="3"/>
  <c r="AW478" i="3"/>
  <c r="AV478" i="3"/>
  <c r="AC478" i="3"/>
  <c r="H478" i="3"/>
  <c r="G478" i="3"/>
  <c r="BL477" i="3"/>
  <c r="BB477" i="3"/>
  <c r="BC477" i="3"/>
  <c r="BD477" i="3"/>
  <c r="BE477" i="3"/>
  <c r="BF477" i="3"/>
  <c r="BG477" i="3"/>
  <c r="BH477" i="3"/>
  <c r="BI477" i="3"/>
  <c r="BJ477" i="3"/>
  <c r="BK477" i="3"/>
  <c r="BA477" i="3"/>
  <c r="AZ477" i="3"/>
  <c r="AX477" i="3"/>
  <c r="AW477" i="3"/>
  <c r="AV477" i="3"/>
  <c r="AC477" i="3"/>
  <c r="H477" i="3"/>
  <c r="G477" i="3"/>
  <c r="BL476" i="3"/>
  <c r="BK476" i="3"/>
  <c r="BJ476" i="3"/>
  <c r="BI476" i="3"/>
  <c r="BH476" i="3"/>
  <c r="BG476" i="3"/>
  <c r="BF476" i="3"/>
  <c r="BE476" i="3"/>
  <c r="BD476" i="3"/>
  <c r="BC476" i="3"/>
  <c r="BB476" i="3"/>
  <c r="BA476" i="3"/>
  <c r="AZ476" i="3"/>
  <c r="AX476" i="3"/>
  <c r="AW476" i="3"/>
  <c r="AV476" i="3"/>
  <c r="AC476" i="3"/>
  <c r="H476" i="3"/>
  <c r="G476" i="3"/>
  <c r="BL475" i="3"/>
  <c r="BK475" i="3"/>
  <c r="BJ475" i="3"/>
  <c r="BI475" i="3"/>
  <c r="BH475" i="3"/>
  <c r="BG475" i="3"/>
  <c r="BF475" i="3"/>
  <c r="BE475" i="3"/>
  <c r="BD475" i="3"/>
  <c r="BC475" i="3"/>
  <c r="BB475" i="3"/>
  <c r="BA475" i="3"/>
  <c r="AZ475" i="3"/>
  <c r="AX475" i="3"/>
  <c r="AW475" i="3"/>
  <c r="AV475" i="3"/>
  <c r="AC475" i="3"/>
  <c r="H475" i="3"/>
  <c r="G475" i="3"/>
  <c r="BL474" i="3"/>
  <c r="BK474" i="3"/>
  <c r="BJ474" i="3"/>
  <c r="BI474" i="3"/>
  <c r="BH474" i="3"/>
  <c r="BG474" i="3"/>
  <c r="BF474" i="3"/>
  <c r="BE474" i="3"/>
  <c r="BD474" i="3"/>
  <c r="BC474" i="3"/>
  <c r="BB474" i="3"/>
  <c r="BA474" i="3"/>
  <c r="AZ474" i="3"/>
  <c r="AX474" i="3"/>
  <c r="AW474" i="3"/>
  <c r="AV474" i="3"/>
  <c r="AC474" i="3"/>
  <c r="H474" i="3"/>
  <c r="G474" i="3"/>
  <c r="BL473" i="3"/>
  <c r="BK473" i="3"/>
  <c r="BJ473" i="3"/>
  <c r="BI473" i="3"/>
  <c r="BH473" i="3"/>
  <c r="BG473" i="3"/>
  <c r="BF473" i="3"/>
  <c r="BE473" i="3"/>
  <c r="BD473" i="3"/>
  <c r="BC473" i="3"/>
  <c r="BB473" i="3"/>
  <c r="BA473" i="3"/>
  <c r="AX473" i="3"/>
  <c r="AW473" i="3"/>
  <c r="AV473" i="3"/>
  <c r="AC473" i="3"/>
  <c r="H473" i="3"/>
  <c r="G473" i="3"/>
  <c r="BL472" i="3"/>
  <c r="BK472" i="3"/>
  <c r="BJ472" i="3"/>
  <c r="BI472" i="3"/>
  <c r="BH472" i="3"/>
  <c r="BG472" i="3"/>
  <c r="BF472" i="3"/>
  <c r="BE472" i="3"/>
  <c r="BD472" i="3"/>
  <c r="BC472" i="3"/>
  <c r="BB472" i="3"/>
  <c r="BA472" i="3"/>
  <c r="AZ472" i="3"/>
  <c r="AX472" i="3"/>
  <c r="AW472" i="3"/>
  <c r="AV472" i="3"/>
  <c r="AC472" i="3"/>
  <c r="H472" i="3"/>
  <c r="G472" i="3"/>
  <c r="BL471" i="3"/>
  <c r="BK471" i="3"/>
  <c r="BJ471" i="3"/>
  <c r="BI471" i="3"/>
  <c r="BH471" i="3"/>
  <c r="BG471" i="3"/>
  <c r="BF471" i="3"/>
  <c r="BE471" i="3"/>
  <c r="BD471" i="3"/>
  <c r="BC471" i="3"/>
  <c r="BB471" i="3"/>
  <c r="BA471" i="3"/>
  <c r="AZ471" i="3"/>
  <c r="AX471" i="3"/>
  <c r="AW471" i="3"/>
  <c r="AV471" i="3"/>
  <c r="AC471" i="3"/>
  <c r="H471" i="3"/>
  <c r="G471" i="3"/>
  <c r="BL470" i="3"/>
  <c r="BK470" i="3"/>
  <c r="BJ470" i="3"/>
  <c r="BI470" i="3"/>
  <c r="BH470" i="3"/>
  <c r="BG470" i="3"/>
  <c r="BF470" i="3"/>
  <c r="BE470" i="3"/>
  <c r="BD470" i="3"/>
  <c r="BC470" i="3"/>
  <c r="BB470" i="3"/>
  <c r="BA470" i="3"/>
  <c r="AZ470" i="3"/>
  <c r="AX470" i="3"/>
  <c r="AW470" i="3"/>
  <c r="AV470" i="3"/>
  <c r="AC470" i="3"/>
  <c r="H470" i="3"/>
  <c r="G470" i="3"/>
  <c r="BL469" i="3"/>
  <c r="BB469" i="3"/>
  <c r="BC469" i="3"/>
  <c r="BD469" i="3"/>
  <c r="BE469" i="3"/>
  <c r="BF469" i="3"/>
  <c r="BG469" i="3"/>
  <c r="BH469" i="3"/>
  <c r="BI469" i="3"/>
  <c r="BJ469" i="3"/>
  <c r="BK469" i="3"/>
  <c r="BA469" i="3"/>
  <c r="AZ469" i="3"/>
  <c r="AX469" i="3"/>
  <c r="AW469" i="3"/>
  <c r="AV469" i="3"/>
  <c r="AC469" i="3"/>
  <c r="H469" i="3"/>
  <c r="G469" i="3"/>
  <c r="BL468" i="3"/>
  <c r="BK468" i="3"/>
  <c r="BJ468" i="3"/>
  <c r="BI468" i="3"/>
  <c r="BH468" i="3"/>
  <c r="BG468" i="3"/>
  <c r="BF468" i="3"/>
  <c r="BE468" i="3"/>
  <c r="BD468" i="3"/>
  <c r="BC468" i="3"/>
  <c r="BB468" i="3"/>
  <c r="BA468" i="3"/>
  <c r="AZ468" i="3"/>
  <c r="AX468" i="3"/>
  <c r="AW468" i="3"/>
  <c r="AV468" i="3"/>
  <c r="AC468" i="3"/>
  <c r="H468" i="3"/>
  <c r="G468" i="3"/>
  <c r="BL467" i="3"/>
  <c r="BK467" i="3"/>
  <c r="BJ467" i="3"/>
  <c r="BI467" i="3"/>
  <c r="BH467" i="3"/>
  <c r="BG467" i="3"/>
  <c r="BF467" i="3"/>
  <c r="BE467" i="3"/>
  <c r="BD467" i="3"/>
  <c r="BC467" i="3"/>
  <c r="BB467" i="3"/>
  <c r="BA467" i="3"/>
  <c r="AZ467" i="3"/>
  <c r="AX467" i="3"/>
  <c r="AW467" i="3"/>
  <c r="AV467" i="3"/>
  <c r="AC467" i="3"/>
  <c r="H467" i="3"/>
  <c r="G467" i="3"/>
  <c r="BL466" i="3"/>
  <c r="BK466" i="3"/>
  <c r="BJ466" i="3"/>
  <c r="BI466" i="3"/>
  <c r="BH466" i="3"/>
  <c r="BG466" i="3"/>
  <c r="BF466" i="3"/>
  <c r="BE466" i="3"/>
  <c r="BD466" i="3"/>
  <c r="BC466" i="3"/>
  <c r="BB466" i="3"/>
  <c r="BA466" i="3"/>
  <c r="AZ466" i="3"/>
  <c r="AX466" i="3"/>
  <c r="AW466" i="3"/>
  <c r="AV466" i="3"/>
  <c r="AC466" i="3"/>
  <c r="H466" i="3"/>
  <c r="G466" i="3"/>
  <c r="BL465" i="3"/>
  <c r="BK465" i="3"/>
  <c r="BJ465" i="3"/>
  <c r="BI465" i="3"/>
  <c r="BH465" i="3"/>
  <c r="BG465" i="3"/>
  <c r="BF465" i="3"/>
  <c r="BE465" i="3"/>
  <c r="BD465" i="3"/>
  <c r="BC465" i="3"/>
  <c r="BB465" i="3"/>
  <c r="BA465" i="3"/>
  <c r="AX465" i="3"/>
  <c r="AW465" i="3"/>
  <c r="AV465" i="3"/>
  <c r="AC465" i="3"/>
  <c r="H465" i="3"/>
  <c r="G465" i="3"/>
  <c r="BL464" i="3"/>
  <c r="BK464" i="3"/>
  <c r="BJ464" i="3"/>
  <c r="BI464" i="3"/>
  <c r="BH464" i="3"/>
  <c r="BG464" i="3"/>
  <c r="BF464" i="3"/>
  <c r="BE464" i="3"/>
  <c r="BD464" i="3"/>
  <c r="BC464" i="3"/>
  <c r="BB464" i="3"/>
  <c r="BA464" i="3"/>
  <c r="AZ464" i="3"/>
  <c r="AX464" i="3"/>
  <c r="AW464" i="3"/>
  <c r="AV464" i="3"/>
  <c r="AC464" i="3"/>
  <c r="H464" i="3"/>
  <c r="G464" i="3"/>
  <c r="BL463" i="3"/>
  <c r="BK463" i="3"/>
  <c r="BJ463" i="3"/>
  <c r="BI463" i="3"/>
  <c r="BH463" i="3"/>
  <c r="BG463" i="3"/>
  <c r="BF463" i="3"/>
  <c r="BE463" i="3"/>
  <c r="BD463" i="3"/>
  <c r="BC463" i="3"/>
  <c r="BB463" i="3"/>
  <c r="BA463" i="3"/>
  <c r="AZ463" i="3"/>
  <c r="AX463" i="3"/>
  <c r="AW463" i="3"/>
  <c r="AV463" i="3"/>
  <c r="AC463" i="3"/>
  <c r="H463" i="3"/>
  <c r="G463" i="3"/>
  <c r="BL462" i="3"/>
  <c r="BB462" i="3"/>
  <c r="BC462" i="3"/>
  <c r="BD462" i="3"/>
  <c r="BE462" i="3"/>
  <c r="BF462" i="3"/>
  <c r="BG462" i="3"/>
  <c r="BH462" i="3"/>
  <c r="BI462" i="3"/>
  <c r="BJ462" i="3"/>
  <c r="BK462" i="3"/>
  <c r="BA462" i="3"/>
  <c r="AZ462" i="3"/>
  <c r="AX462" i="3"/>
  <c r="AW462" i="3"/>
  <c r="AV462" i="3"/>
  <c r="AC462" i="3"/>
  <c r="H462" i="3"/>
  <c r="G462" i="3"/>
  <c r="BL461" i="3"/>
  <c r="BK461" i="3"/>
  <c r="BJ461" i="3"/>
  <c r="BI461" i="3"/>
  <c r="BH461" i="3"/>
  <c r="BG461" i="3"/>
  <c r="BF461" i="3"/>
  <c r="BE461" i="3"/>
  <c r="BD461" i="3"/>
  <c r="BC461" i="3"/>
  <c r="BB461" i="3"/>
  <c r="BA461" i="3"/>
  <c r="AZ461" i="3"/>
  <c r="AX461" i="3"/>
  <c r="AW461" i="3"/>
  <c r="AV461" i="3"/>
  <c r="AC461" i="3"/>
  <c r="H461" i="3"/>
  <c r="G461" i="3"/>
  <c r="BL460" i="3"/>
  <c r="BK460" i="3"/>
  <c r="BJ460" i="3"/>
  <c r="BI460" i="3"/>
  <c r="BH460" i="3"/>
  <c r="BG460" i="3"/>
  <c r="BF460" i="3"/>
  <c r="BE460" i="3"/>
  <c r="BD460" i="3"/>
  <c r="BC460" i="3"/>
  <c r="BB460" i="3"/>
  <c r="BA460" i="3"/>
  <c r="AZ460" i="3"/>
  <c r="AX460" i="3"/>
  <c r="AW460" i="3"/>
  <c r="AV460" i="3"/>
  <c r="AC460" i="3"/>
  <c r="H460" i="3"/>
  <c r="G460" i="3"/>
  <c r="BL459" i="3"/>
  <c r="BB459" i="3"/>
  <c r="BC459" i="3"/>
  <c r="BD459" i="3"/>
  <c r="BE459" i="3"/>
  <c r="BF459" i="3"/>
  <c r="BG459" i="3"/>
  <c r="BH459" i="3"/>
  <c r="BI459" i="3"/>
  <c r="BJ459" i="3"/>
  <c r="BK459" i="3"/>
  <c r="BA459" i="3"/>
  <c r="AZ459" i="3"/>
  <c r="AX459" i="3"/>
  <c r="AW459" i="3"/>
  <c r="AV459" i="3"/>
  <c r="AC459" i="3"/>
  <c r="H459" i="3"/>
  <c r="G459" i="3"/>
  <c r="BL458" i="3"/>
  <c r="BB458" i="3"/>
  <c r="BC458" i="3"/>
  <c r="BD458" i="3"/>
  <c r="BE458" i="3"/>
  <c r="BF458" i="3"/>
  <c r="BG458" i="3"/>
  <c r="BH458" i="3"/>
  <c r="BI458" i="3"/>
  <c r="BJ458" i="3"/>
  <c r="BK458" i="3"/>
  <c r="BA458" i="3"/>
  <c r="AZ458" i="3"/>
  <c r="AX458" i="3"/>
  <c r="AW458" i="3"/>
  <c r="AV458" i="3"/>
  <c r="AC458" i="3"/>
  <c r="H458" i="3"/>
  <c r="G458" i="3"/>
  <c r="BL457" i="3"/>
  <c r="BK457" i="3"/>
  <c r="BJ457" i="3"/>
  <c r="BI457" i="3"/>
  <c r="BH457" i="3"/>
  <c r="BG457" i="3"/>
  <c r="BF457" i="3"/>
  <c r="BE457" i="3"/>
  <c r="BD457" i="3"/>
  <c r="BC457" i="3"/>
  <c r="BB457" i="3"/>
  <c r="BA457" i="3"/>
  <c r="AX457" i="3"/>
  <c r="AW457" i="3"/>
  <c r="AV457" i="3"/>
  <c r="AC457" i="3"/>
  <c r="H457" i="3"/>
  <c r="G457" i="3"/>
  <c r="BL456" i="3"/>
  <c r="BK456" i="3"/>
  <c r="BJ456" i="3"/>
  <c r="BI456" i="3"/>
  <c r="BH456" i="3"/>
  <c r="BG456" i="3"/>
  <c r="BF456" i="3"/>
  <c r="BE456" i="3"/>
  <c r="BD456" i="3"/>
  <c r="BC456" i="3"/>
  <c r="BB456" i="3"/>
  <c r="BA456" i="3"/>
  <c r="AZ456" i="3"/>
  <c r="AX456" i="3"/>
  <c r="AW456" i="3"/>
  <c r="AV456" i="3"/>
  <c r="AC456" i="3"/>
  <c r="H456" i="3"/>
  <c r="G456" i="3"/>
  <c r="BL455" i="3"/>
  <c r="BK455" i="3"/>
  <c r="BJ455" i="3"/>
  <c r="BI455" i="3"/>
  <c r="BH455" i="3"/>
  <c r="BG455" i="3"/>
  <c r="BF455" i="3"/>
  <c r="BE455" i="3"/>
  <c r="BD455" i="3"/>
  <c r="BC455" i="3"/>
  <c r="BB455" i="3"/>
  <c r="BA455" i="3"/>
  <c r="AZ455" i="3"/>
  <c r="AX455" i="3"/>
  <c r="AW455" i="3"/>
  <c r="AV455" i="3"/>
  <c r="AC455" i="3"/>
  <c r="H455" i="3"/>
  <c r="G455" i="3"/>
  <c r="BL454" i="3"/>
  <c r="BB454" i="3"/>
  <c r="BC454" i="3"/>
  <c r="BD454" i="3"/>
  <c r="BE454" i="3"/>
  <c r="BF454" i="3"/>
  <c r="BG454" i="3"/>
  <c r="BH454" i="3"/>
  <c r="BI454" i="3"/>
  <c r="BJ454" i="3"/>
  <c r="BK454" i="3"/>
  <c r="BA454" i="3"/>
  <c r="AZ454" i="3"/>
  <c r="AX454" i="3"/>
  <c r="AW454" i="3"/>
  <c r="AV454" i="3"/>
  <c r="AC454" i="3"/>
  <c r="H454" i="3"/>
  <c r="G454" i="3"/>
  <c r="BL453" i="3"/>
  <c r="BK453" i="3"/>
  <c r="BJ453" i="3"/>
  <c r="BI453" i="3"/>
  <c r="BH453" i="3"/>
  <c r="BG453" i="3"/>
  <c r="BF453" i="3"/>
  <c r="BE453" i="3"/>
  <c r="BD453" i="3"/>
  <c r="BC453" i="3"/>
  <c r="BB453" i="3"/>
  <c r="BA453" i="3"/>
  <c r="AZ453" i="3"/>
  <c r="AX453" i="3"/>
  <c r="AW453" i="3"/>
  <c r="AV453" i="3"/>
  <c r="AC453" i="3"/>
  <c r="H453" i="3"/>
  <c r="G453" i="3"/>
  <c r="BL452" i="3"/>
  <c r="BK452" i="3"/>
  <c r="BJ452" i="3"/>
  <c r="BI452" i="3"/>
  <c r="BH452" i="3"/>
  <c r="BG452" i="3"/>
  <c r="BF452" i="3"/>
  <c r="BE452" i="3"/>
  <c r="BD452" i="3"/>
  <c r="BC452" i="3"/>
  <c r="BB452" i="3"/>
  <c r="BA452" i="3"/>
  <c r="AZ452" i="3"/>
  <c r="AX452" i="3"/>
  <c r="AW452" i="3"/>
  <c r="AV452" i="3"/>
  <c r="AC452" i="3"/>
  <c r="H452" i="3"/>
  <c r="G452" i="3"/>
  <c r="BL451" i="3"/>
  <c r="BB451" i="3"/>
  <c r="BC451" i="3"/>
  <c r="BD451" i="3"/>
  <c r="BE451" i="3"/>
  <c r="BF451" i="3"/>
  <c r="BG451" i="3"/>
  <c r="BH451" i="3"/>
  <c r="BI451" i="3"/>
  <c r="BJ451" i="3"/>
  <c r="BK451" i="3"/>
  <c r="BA451" i="3"/>
  <c r="AZ451" i="3"/>
  <c r="AX451" i="3"/>
  <c r="AW451" i="3"/>
  <c r="AV451" i="3"/>
  <c r="AC451" i="3"/>
  <c r="H451" i="3"/>
  <c r="G451" i="3"/>
  <c r="BL450" i="3"/>
  <c r="BB450" i="3"/>
  <c r="BC450" i="3"/>
  <c r="BD450" i="3"/>
  <c r="BE450" i="3"/>
  <c r="BF450" i="3"/>
  <c r="BG450" i="3"/>
  <c r="BH450" i="3"/>
  <c r="BI450" i="3"/>
  <c r="BJ450" i="3"/>
  <c r="BK450" i="3"/>
  <c r="BA450" i="3"/>
  <c r="AZ450" i="3"/>
  <c r="AX450" i="3"/>
  <c r="AW450" i="3"/>
  <c r="AV450" i="3"/>
  <c r="AC450" i="3"/>
  <c r="H450" i="3"/>
  <c r="G450" i="3"/>
  <c r="BL449" i="3"/>
  <c r="BK449" i="3"/>
  <c r="BJ449" i="3"/>
  <c r="BI449" i="3"/>
  <c r="BH449" i="3"/>
  <c r="BG449" i="3"/>
  <c r="BF449" i="3"/>
  <c r="BE449" i="3"/>
  <c r="BD449" i="3"/>
  <c r="BC449" i="3"/>
  <c r="BB449" i="3"/>
  <c r="BA449" i="3"/>
  <c r="AZ449" i="3"/>
  <c r="AX449" i="3"/>
  <c r="AW449" i="3"/>
  <c r="AV449" i="3"/>
  <c r="AC449" i="3"/>
  <c r="H449" i="3"/>
  <c r="G449" i="3"/>
  <c r="BL448" i="3"/>
  <c r="BK448" i="3"/>
  <c r="BJ448" i="3"/>
  <c r="BI448" i="3"/>
  <c r="BH448" i="3"/>
  <c r="BG448" i="3"/>
  <c r="BF448" i="3"/>
  <c r="BE448" i="3"/>
  <c r="BD448" i="3"/>
  <c r="BC448" i="3"/>
  <c r="BB448" i="3"/>
  <c r="BA448" i="3"/>
  <c r="AZ448" i="3"/>
  <c r="AX448" i="3"/>
  <c r="AW448" i="3"/>
  <c r="AV448" i="3"/>
  <c r="AC448" i="3"/>
  <c r="H448" i="3"/>
  <c r="G448" i="3"/>
  <c r="BL447" i="3"/>
  <c r="BK447" i="3"/>
  <c r="BJ447" i="3"/>
  <c r="BI447" i="3"/>
  <c r="BH447" i="3"/>
  <c r="BG447" i="3"/>
  <c r="BF447" i="3"/>
  <c r="BE447" i="3"/>
  <c r="BD447" i="3"/>
  <c r="BC447" i="3"/>
  <c r="BB447" i="3"/>
  <c r="BA447" i="3"/>
  <c r="AZ447" i="3"/>
  <c r="AX447" i="3"/>
  <c r="AW447" i="3"/>
  <c r="AV447" i="3"/>
  <c r="AC447" i="3"/>
  <c r="H447" i="3"/>
  <c r="G447" i="3"/>
  <c r="BL446" i="3"/>
  <c r="BB446" i="3"/>
  <c r="BC446" i="3"/>
  <c r="BD446" i="3"/>
  <c r="BE446" i="3"/>
  <c r="BF446" i="3"/>
  <c r="BG446" i="3"/>
  <c r="BH446" i="3"/>
  <c r="BI446" i="3"/>
  <c r="BJ446" i="3"/>
  <c r="BK446" i="3"/>
  <c r="BA446" i="3"/>
  <c r="AZ446" i="3"/>
  <c r="AX446" i="3"/>
  <c r="AW446" i="3"/>
  <c r="AV446" i="3"/>
  <c r="AC446" i="3"/>
  <c r="H446" i="3"/>
  <c r="G446" i="3"/>
  <c r="BL445" i="3"/>
  <c r="BK445" i="3"/>
  <c r="BJ445" i="3"/>
  <c r="BI445" i="3"/>
  <c r="BH445" i="3"/>
  <c r="BG445" i="3"/>
  <c r="BF445" i="3"/>
  <c r="BE445" i="3"/>
  <c r="BD445" i="3"/>
  <c r="BC445" i="3"/>
  <c r="BB445" i="3"/>
  <c r="BA445" i="3"/>
  <c r="AZ445" i="3"/>
  <c r="AX445" i="3"/>
  <c r="AW445" i="3"/>
  <c r="AV445" i="3"/>
  <c r="AC445" i="3"/>
  <c r="H445" i="3"/>
  <c r="G445" i="3"/>
  <c r="BL444" i="3"/>
  <c r="BK444" i="3"/>
  <c r="BJ444" i="3"/>
  <c r="BI444" i="3"/>
  <c r="BH444" i="3"/>
  <c r="BG444" i="3"/>
  <c r="BF444" i="3"/>
  <c r="BE444" i="3"/>
  <c r="BD444" i="3"/>
  <c r="BC444" i="3"/>
  <c r="BB444" i="3"/>
  <c r="BA444" i="3"/>
  <c r="AZ444" i="3"/>
  <c r="AX444" i="3"/>
  <c r="AW444" i="3"/>
  <c r="AV444" i="3"/>
  <c r="AC444" i="3"/>
  <c r="H444" i="3"/>
  <c r="G444" i="3"/>
  <c r="BL443" i="3"/>
  <c r="BB443" i="3"/>
  <c r="BC443" i="3"/>
  <c r="BD443" i="3"/>
  <c r="BE443" i="3"/>
  <c r="BF443" i="3"/>
  <c r="BG443" i="3"/>
  <c r="BH443" i="3"/>
  <c r="BI443" i="3"/>
  <c r="BJ443" i="3"/>
  <c r="BK443" i="3"/>
  <c r="BA443" i="3"/>
  <c r="AZ443" i="3"/>
  <c r="AX443" i="3"/>
  <c r="AW443" i="3"/>
  <c r="AV443" i="3"/>
  <c r="AC443" i="3"/>
  <c r="H443" i="3"/>
  <c r="G443" i="3"/>
  <c r="BL442" i="3"/>
  <c r="BB442" i="3"/>
  <c r="BC442" i="3"/>
  <c r="BD442" i="3"/>
  <c r="BE442" i="3"/>
  <c r="BF442" i="3"/>
  <c r="BG442" i="3"/>
  <c r="BH442" i="3"/>
  <c r="BI442" i="3"/>
  <c r="BJ442" i="3"/>
  <c r="BK442" i="3"/>
  <c r="BA442" i="3"/>
  <c r="AZ442" i="3"/>
  <c r="AX442" i="3"/>
  <c r="AW442" i="3"/>
  <c r="AV442" i="3"/>
  <c r="AC442" i="3"/>
  <c r="H442" i="3"/>
  <c r="G442" i="3"/>
  <c r="BL441" i="3"/>
  <c r="BK441" i="3"/>
  <c r="BJ441" i="3"/>
  <c r="BI441" i="3"/>
  <c r="BH441" i="3"/>
  <c r="BG441" i="3"/>
  <c r="BF441" i="3"/>
  <c r="BE441" i="3"/>
  <c r="BD441" i="3"/>
  <c r="BC441" i="3"/>
  <c r="BB441" i="3"/>
  <c r="BA441" i="3"/>
  <c r="AX441" i="3"/>
  <c r="AW441" i="3"/>
  <c r="AV441" i="3"/>
  <c r="AC441" i="3"/>
  <c r="H441" i="3"/>
  <c r="G441" i="3"/>
  <c r="BL440" i="3"/>
  <c r="BK440" i="3"/>
  <c r="BJ440" i="3"/>
  <c r="BI440" i="3"/>
  <c r="BH440" i="3"/>
  <c r="BG440" i="3"/>
  <c r="BF440" i="3"/>
  <c r="BE440" i="3"/>
  <c r="BD440" i="3"/>
  <c r="BC440" i="3"/>
  <c r="BB440" i="3"/>
  <c r="BA440" i="3"/>
  <c r="AZ440" i="3"/>
  <c r="AX440" i="3"/>
  <c r="AW440" i="3"/>
  <c r="AV440" i="3"/>
  <c r="AC440" i="3"/>
  <c r="H440" i="3"/>
  <c r="G440" i="3"/>
  <c r="BL439" i="3"/>
  <c r="BK439" i="3"/>
  <c r="BJ439" i="3"/>
  <c r="BI439" i="3"/>
  <c r="BH439" i="3"/>
  <c r="BG439" i="3"/>
  <c r="BF439" i="3"/>
  <c r="BE439" i="3"/>
  <c r="BD439" i="3"/>
  <c r="BC439" i="3"/>
  <c r="BB439" i="3"/>
  <c r="BA439" i="3"/>
  <c r="AZ439" i="3"/>
  <c r="AX439" i="3"/>
  <c r="AW439" i="3"/>
  <c r="AV439" i="3"/>
  <c r="AC439" i="3"/>
  <c r="H439" i="3"/>
  <c r="G439" i="3"/>
  <c r="BL438" i="3"/>
  <c r="BB438" i="3"/>
  <c r="BC438" i="3"/>
  <c r="BD438" i="3"/>
  <c r="BE438" i="3"/>
  <c r="BF438" i="3"/>
  <c r="BG438" i="3"/>
  <c r="BH438" i="3"/>
  <c r="BI438" i="3"/>
  <c r="BJ438" i="3"/>
  <c r="BK438" i="3"/>
  <c r="BA438" i="3"/>
  <c r="AZ438" i="3"/>
  <c r="AX438" i="3"/>
  <c r="AW438" i="3"/>
  <c r="AV438" i="3"/>
  <c r="AC438" i="3"/>
  <c r="H438" i="3"/>
  <c r="G438" i="3"/>
  <c r="BL437" i="3"/>
  <c r="BK437" i="3"/>
  <c r="BJ437" i="3"/>
  <c r="BI437" i="3"/>
  <c r="BH437" i="3"/>
  <c r="BG437" i="3"/>
  <c r="BF437" i="3"/>
  <c r="BE437" i="3"/>
  <c r="BD437" i="3"/>
  <c r="BC437" i="3"/>
  <c r="BB437" i="3"/>
  <c r="BA437" i="3"/>
  <c r="AX437" i="3"/>
  <c r="AW437" i="3"/>
  <c r="AV437" i="3"/>
  <c r="AC437" i="3"/>
  <c r="H437" i="3"/>
  <c r="G437" i="3"/>
  <c r="BL436" i="3"/>
  <c r="BK436" i="3"/>
  <c r="BJ436" i="3"/>
  <c r="BI436" i="3"/>
  <c r="BH436" i="3"/>
  <c r="BG436" i="3"/>
  <c r="BF436" i="3"/>
  <c r="BE436" i="3"/>
  <c r="BD436" i="3"/>
  <c r="BC436" i="3"/>
  <c r="BB436" i="3"/>
  <c r="BA436" i="3"/>
  <c r="AZ436" i="3"/>
  <c r="AX436" i="3"/>
  <c r="AW436" i="3"/>
  <c r="AV436" i="3"/>
  <c r="AC436" i="3"/>
  <c r="H436" i="3"/>
  <c r="G436" i="3"/>
  <c r="BL435" i="3"/>
  <c r="BB435" i="3"/>
  <c r="BC435" i="3"/>
  <c r="BD435" i="3"/>
  <c r="BE435" i="3"/>
  <c r="BF435" i="3"/>
  <c r="BG435" i="3"/>
  <c r="BH435" i="3"/>
  <c r="BI435" i="3"/>
  <c r="BJ435" i="3"/>
  <c r="BK435" i="3"/>
  <c r="BA435" i="3"/>
  <c r="AZ435" i="3"/>
  <c r="AX435" i="3"/>
  <c r="AW435" i="3"/>
  <c r="AV435" i="3"/>
  <c r="AC435" i="3"/>
  <c r="H435" i="3"/>
  <c r="G435" i="3"/>
  <c r="BL434" i="3"/>
  <c r="BB434" i="3"/>
  <c r="BC434" i="3"/>
  <c r="BD434" i="3"/>
  <c r="BE434" i="3"/>
  <c r="BF434" i="3"/>
  <c r="BG434" i="3"/>
  <c r="BH434" i="3"/>
  <c r="BI434" i="3"/>
  <c r="BJ434" i="3"/>
  <c r="BK434" i="3"/>
  <c r="BA434" i="3"/>
  <c r="AZ434" i="3"/>
  <c r="AX434" i="3"/>
  <c r="AW434" i="3"/>
  <c r="AV434" i="3"/>
  <c r="AC434" i="3"/>
  <c r="H434" i="3"/>
  <c r="G434" i="3"/>
  <c r="BL433" i="3"/>
  <c r="BK433" i="3"/>
  <c r="BJ433" i="3"/>
  <c r="BI433" i="3"/>
  <c r="BH433" i="3"/>
  <c r="BG433" i="3"/>
  <c r="BF433" i="3"/>
  <c r="BE433" i="3"/>
  <c r="BD433" i="3"/>
  <c r="BC433" i="3"/>
  <c r="BB433" i="3"/>
  <c r="BA433" i="3"/>
  <c r="AX433" i="3"/>
  <c r="AW433" i="3"/>
  <c r="AV433" i="3"/>
  <c r="AC433" i="3"/>
  <c r="H433" i="3"/>
  <c r="G433" i="3"/>
  <c r="BL432" i="3"/>
  <c r="BK432" i="3"/>
  <c r="BJ432" i="3"/>
  <c r="BI432" i="3"/>
  <c r="BH432" i="3"/>
  <c r="BG432" i="3"/>
  <c r="BF432" i="3"/>
  <c r="BE432" i="3"/>
  <c r="BD432" i="3"/>
  <c r="BC432" i="3"/>
  <c r="BB432" i="3"/>
  <c r="BA432" i="3"/>
  <c r="AZ432" i="3"/>
  <c r="AX432" i="3"/>
  <c r="AW432" i="3"/>
  <c r="AV432" i="3"/>
  <c r="AC432" i="3"/>
  <c r="H432" i="3"/>
  <c r="G432" i="3"/>
  <c r="BL431" i="3"/>
  <c r="BK431" i="3"/>
  <c r="BJ431" i="3"/>
  <c r="BI431" i="3"/>
  <c r="BH431" i="3"/>
  <c r="BG431" i="3"/>
  <c r="BF431" i="3"/>
  <c r="BE431" i="3"/>
  <c r="BD431" i="3"/>
  <c r="BC431" i="3"/>
  <c r="BB431" i="3"/>
  <c r="BA431" i="3"/>
  <c r="AZ431" i="3"/>
  <c r="AX431" i="3"/>
  <c r="AW431" i="3"/>
  <c r="AV431" i="3"/>
  <c r="AC431" i="3"/>
  <c r="H431" i="3"/>
  <c r="G431" i="3"/>
  <c r="BL430" i="3"/>
  <c r="BK430" i="3"/>
  <c r="BJ430" i="3"/>
  <c r="BI430" i="3"/>
  <c r="BH430" i="3"/>
  <c r="BG430" i="3"/>
  <c r="BF430" i="3"/>
  <c r="BE430" i="3"/>
  <c r="BD430" i="3"/>
  <c r="BC430" i="3"/>
  <c r="BB430" i="3"/>
  <c r="BA430" i="3"/>
  <c r="AZ430" i="3"/>
  <c r="AX430" i="3"/>
  <c r="AW430" i="3"/>
  <c r="AV430" i="3"/>
  <c r="AC430" i="3"/>
  <c r="H430" i="3"/>
  <c r="G430" i="3"/>
  <c r="BL429" i="3"/>
  <c r="BK429" i="3"/>
  <c r="BJ429" i="3"/>
  <c r="BI429" i="3"/>
  <c r="BH429" i="3"/>
  <c r="BG429" i="3"/>
  <c r="BF429" i="3"/>
  <c r="BE429" i="3"/>
  <c r="BD429" i="3"/>
  <c r="BC429" i="3"/>
  <c r="BB429" i="3"/>
  <c r="BA429" i="3"/>
  <c r="AZ429" i="3"/>
  <c r="AX429" i="3"/>
  <c r="AW429" i="3"/>
  <c r="AV429" i="3"/>
  <c r="AC429" i="3"/>
  <c r="H429" i="3"/>
  <c r="G429" i="3"/>
  <c r="BL428" i="3"/>
  <c r="BK428" i="3"/>
  <c r="BJ428" i="3"/>
  <c r="BI428" i="3"/>
  <c r="BH428" i="3"/>
  <c r="BG428" i="3"/>
  <c r="BF428" i="3"/>
  <c r="BE428" i="3"/>
  <c r="BD428" i="3"/>
  <c r="BC428" i="3"/>
  <c r="BB428" i="3"/>
  <c r="BA428" i="3"/>
  <c r="AX428" i="3"/>
  <c r="AW428" i="3"/>
  <c r="AV428" i="3"/>
  <c r="AC428" i="3"/>
  <c r="H428" i="3"/>
  <c r="G428" i="3"/>
  <c r="BL427" i="3"/>
  <c r="BK427" i="3"/>
  <c r="BJ427" i="3"/>
  <c r="BI427" i="3"/>
  <c r="BH427" i="3"/>
  <c r="BG427" i="3"/>
  <c r="BF427" i="3"/>
  <c r="BE427" i="3"/>
  <c r="BD427" i="3"/>
  <c r="BC427" i="3"/>
  <c r="BB427" i="3"/>
  <c r="BA427" i="3"/>
  <c r="AZ427" i="3"/>
  <c r="AX427" i="3"/>
  <c r="AW427" i="3"/>
  <c r="AV427" i="3"/>
  <c r="AC427" i="3"/>
  <c r="H427" i="3"/>
  <c r="G427" i="3"/>
  <c r="BL426" i="3"/>
  <c r="BK426" i="3"/>
  <c r="BJ426" i="3"/>
  <c r="BI426" i="3"/>
  <c r="BH426" i="3"/>
  <c r="BG426" i="3"/>
  <c r="BF426" i="3"/>
  <c r="BE426" i="3"/>
  <c r="BD426" i="3"/>
  <c r="BC426" i="3"/>
  <c r="BB426" i="3"/>
  <c r="BA426" i="3"/>
  <c r="AZ426" i="3"/>
  <c r="AX426" i="3"/>
  <c r="AW426" i="3"/>
  <c r="AV426" i="3"/>
  <c r="AC426" i="3"/>
  <c r="H426" i="3"/>
  <c r="G426" i="3"/>
  <c r="BL425" i="3"/>
  <c r="BK425" i="3"/>
  <c r="BJ425" i="3"/>
  <c r="BI425" i="3"/>
  <c r="BH425" i="3"/>
  <c r="BG425" i="3"/>
  <c r="BF425" i="3"/>
  <c r="BE425" i="3"/>
  <c r="BD425" i="3"/>
  <c r="BC425" i="3"/>
  <c r="BB425" i="3"/>
  <c r="BA425" i="3"/>
  <c r="AZ425" i="3"/>
  <c r="AX425" i="3"/>
  <c r="AW425" i="3"/>
  <c r="AV425" i="3"/>
  <c r="AC425" i="3"/>
  <c r="H425" i="3"/>
  <c r="G425" i="3"/>
  <c r="BL424" i="3"/>
  <c r="BK424" i="3"/>
  <c r="BJ424" i="3"/>
  <c r="BI424" i="3"/>
  <c r="BH424" i="3"/>
  <c r="BG424" i="3"/>
  <c r="BF424" i="3"/>
  <c r="BE424" i="3"/>
  <c r="BD424" i="3"/>
  <c r="BC424" i="3"/>
  <c r="BB424" i="3"/>
  <c r="BA424" i="3"/>
  <c r="AZ424" i="3"/>
  <c r="AX424" i="3"/>
  <c r="AW424" i="3"/>
  <c r="AV424" i="3"/>
  <c r="AC424" i="3"/>
  <c r="H424" i="3"/>
  <c r="G424" i="3"/>
  <c r="BL423" i="3"/>
  <c r="BK423" i="3"/>
  <c r="BJ423" i="3"/>
  <c r="BI423" i="3"/>
  <c r="BH423" i="3"/>
  <c r="BG423" i="3"/>
  <c r="BF423" i="3"/>
  <c r="BE423" i="3"/>
  <c r="BD423" i="3"/>
  <c r="BC423" i="3"/>
  <c r="BB423" i="3"/>
  <c r="BA423" i="3"/>
  <c r="AZ423" i="3"/>
  <c r="AX423" i="3"/>
  <c r="AW423" i="3"/>
  <c r="AV423" i="3"/>
  <c r="AC423" i="3"/>
  <c r="H423" i="3"/>
  <c r="G423" i="3"/>
  <c r="BL422" i="3"/>
  <c r="BB422" i="3"/>
  <c r="BC422" i="3"/>
  <c r="BD422" i="3"/>
  <c r="BE422" i="3"/>
  <c r="BF422" i="3"/>
  <c r="BG422" i="3"/>
  <c r="BH422" i="3"/>
  <c r="BI422" i="3"/>
  <c r="BJ422" i="3"/>
  <c r="BK422" i="3"/>
  <c r="BA422" i="3"/>
  <c r="AZ422" i="3"/>
  <c r="AX422" i="3"/>
  <c r="AW422" i="3"/>
  <c r="AV422" i="3"/>
  <c r="AC422" i="3"/>
  <c r="H422" i="3"/>
  <c r="G422" i="3"/>
  <c r="BL421" i="3"/>
  <c r="BK421" i="3"/>
  <c r="BJ421" i="3"/>
  <c r="BI421" i="3"/>
  <c r="BH421" i="3"/>
  <c r="BG421" i="3"/>
  <c r="BF421" i="3"/>
  <c r="BE421" i="3"/>
  <c r="BD421" i="3"/>
  <c r="BC421" i="3"/>
  <c r="BB421" i="3"/>
  <c r="BA421" i="3"/>
  <c r="AZ421" i="3"/>
  <c r="AX421" i="3"/>
  <c r="AW421" i="3"/>
  <c r="AV421" i="3"/>
  <c r="AC421" i="3"/>
  <c r="H421" i="3"/>
  <c r="G421" i="3"/>
  <c r="BL420" i="3"/>
  <c r="BK420" i="3"/>
  <c r="BJ420" i="3"/>
  <c r="BI420" i="3"/>
  <c r="BH420" i="3"/>
  <c r="BG420" i="3"/>
  <c r="BF420" i="3"/>
  <c r="BE420" i="3"/>
  <c r="BD420" i="3"/>
  <c r="BC420" i="3"/>
  <c r="BB420" i="3"/>
  <c r="BA420" i="3"/>
  <c r="AZ420" i="3"/>
  <c r="AX420" i="3"/>
  <c r="AW420" i="3"/>
  <c r="AV420" i="3"/>
  <c r="AC420" i="3"/>
  <c r="H420" i="3"/>
  <c r="G420" i="3"/>
  <c r="BL419" i="3"/>
  <c r="BB419" i="3"/>
  <c r="BC419" i="3"/>
  <c r="BD419" i="3"/>
  <c r="BE419" i="3"/>
  <c r="BF419" i="3"/>
  <c r="BG419" i="3"/>
  <c r="BH419" i="3"/>
  <c r="BI419" i="3"/>
  <c r="BJ419" i="3"/>
  <c r="BK419" i="3"/>
  <c r="BA419" i="3"/>
  <c r="AZ419" i="3"/>
  <c r="AX419" i="3"/>
  <c r="AW419" i="3"/>
  <c r="AV419" i="3"/>
  <c r="AC419" i="3"/>
  <c r="H419" i="3"/>
  <c r="G419" i="3"/>
  <c r="BL418" i="3"/>
  <c r="BB418" i="3"/>
  <c r="BC418" i="3"/>
  <c r="BD418" i="3"/>
  <c r="BE418" i="3"/>
  <c r="BF418" i="3"/>
  <c r="BG418" i="3"/>
  <c r="BH418" i="3"/>
  <c r="BI418" i="3"/>
  <c r="BJ418" i="3"/>
  <c r="BK418" i="3"/>
  <c r="BA418" i="3"/>
  <c r="AZ418" i="3"/>
  <c r="AX418" i="3"/>
  <c r="AW418" i="3"/>
  <c r="AV418" i="3"/>
  <c r="AC418" i="3"/>
  <c r="H418" i="3"/>
  <c r="G418" i="3"/>
  <c r="BL417" i="3"/>
  <c r="BK417" i="3"/>
  <c r="BJ417" i="3"/>
  <c r="BI417" i="3"/>
  <c r="BH417" i="3"/>
  <c r="BG417" i="3"/>
  <c r="BF417" i="3"/>
  <c r="BE417" i="3"/>
  <c r="BD417" i="3"/>
  <c r="BC417" i="3"/>
  <c r="BB417" i="3"/>
  <c r="BA417" i="3"/>
  <c r="AX417" i="3"/>
  <c r="AW417" i="3"/>
  <c r="AV417" i="3"/>
  <c r="AC417" i="3"/>
  <c r="H417" i="3"/>
  <c r="G417" i="3"/>
  <c r="BL416" i="3"/>
  <c r="BK416" i="3"/>
  <c r="BJ416" i="3"/>
  <c r="BI416" i="3"/>
  <c r="BH416" i="3"/>
  <c r="BG416" i="3"/>
  <c r="BF416" i="3"/>
  <c r="BE416" i="3"/>
  <c r="BD416" i="3"/>
  <c r="BC416" i="3"/>
  <c r="BB416" i="3"/>
  <c r="BA416" i="3"/>
  <c r="AZ416" i="3"/>
  <c r="AX416" i="3"/>
  <c r="AW416" i="3"/>
  <c r="AV416" i="3"/>
  <c r="AC416" i="3"/>
  <c r="H416" i="3"/>
  <c r="G416" i="3"/>
  <c r="BL415" i="3"/>
  <c r="BK415" i="3"/>
  <c r="BJ415" i="3"/>
  <c r="BI415" i="3"/>
  <c r="BH415" i="3"/>
  <c r="BG415" i="3"/>
  <c r="BF415" i="3"/>
  <c r="BE415" i="3"/>
  <c r="BD415" i="3"/>
  <c r="BC415" i="3"/>
  <c r="BB415" i="3"/>
  <c r="BA415" i="3"/>
  <c r="AZ415" i="3"/>
  <c r="AX415" i="3"/>
  <c r="AW415" i="3"/>
  <c r="AV415" i="3"/>
  <c r="AC415" i="3"/>
  <c r="H415" i="3"/>
  <c r="G415" i="3"/>
  <c r="BL414" i="3"/>
  <c r="BK414" i="3"/>
  <c r="BJ414" i="3"/>
  <c r="BI414" i="3"/>
  <c r="BH414" i="3"/>
  <c r="BG414" i="3"/>
  <c r="BF414" i="3"/>
  <c r="BE414" i="3"/>
  <c r="BD414" i="3"/>
  <c r="BC414" i="3"/>
  <c r="BB414" i="3"/>
  <c r="BA414" i="3"/>
  <c r="AZ414" i="3"/>
  <c r="AX414" i="3"/>
  <c r="AW414" i="3"/>
  <c r="AV414" i="3"/>
  <c r="AC414" i="3"/>
  <c r="H414" i="3"/>
  <c r="G414" i="3"/>
  <c r="BL413" i="3"/>
  <c r="BK413" i="3"/>
  <c r="BJ413" i="3"/>
  <c r="BI413" i="3"/>
  <c r="BH413" i="3"/>
  <c r="BG413" i="3"/>
  <c r="BF413" i="3"/>
  <c r="BE413" i="3"/>
  <c r="BD413" i="3"/>
  <c r="BC413" i="3"/>
  <c r="BB413" i="3"/>
  <c r="BA413" i="3"/>
  <c r="AZ413" i="3"/>
  <c r="AX413" i="3"/>
  <c r="AW413" i="3"/>
  <c r="AV413" i="3"/>
  <c r="AC413" i="3"/>
  <c r="H413" i="3"/>
  <c r="G413" i="3"/>
  <c r="BL412" i="3"/>
  <c r="BK412" i="3"/>
  <c r="BJ412" i="3"/>
  <c r="BI412" i="3"/>
  <c r="BH412" i="3"/>
  <c r="BG412" i="3"/>
  <c r="BF412" i="3"/>
  <c r="BE412" i="3"/>
  <c r="BD412" i="3"/>
  <c r="BC412" i="3"/>
  <c r="BB412" i="3"/>
  <c r="BA412" i="3"/>
  <c r="AX412" i="3"/>
  <c r="AW412" i="3"/>
  <c r="AV412" i="3"/>
  <c r="AC412" i="3"/>
  <c r="H412" i="3"/>
  <c r="G412" i="3"/>
  <c r="BL411" i="3"/>
  <c r="BK411" i="3"/>
  <c r="BJ411" i="3"/>
  <c r="BI411" i="3"/>
  <c r="BH411" i="3"/>
  <c r="BG411" i="3"/>
  <c r="BF411" i="3"/>
  <c r="BE411" i="3"/>
  <c r="BD411" i="3"/>
  <c r="BC411" i="3"/>
  <c r="BB411" i="3"/>
  <c r="BA411" i="3"/>
  <c r="AZ411" i="3"/>
  <c r="AX411" i="3"/>
  <c r="AW411" i="3"/>
  <c r="AV411" i="3"/>
  <c r="AC411" i="3"/>
  <c r="H411" i="3"/>
  <c r="G411" i="3"/>
  <c r="BL410" i="3"/>
  <c r="BK410" i="3"/>
  <c r="BJ410" i="3"/>
  <c r="BI410" i="3"/>
  <c r="BH410" i="3"/>
  <c r="BG410" i="3"/>
  <c r="BF410" i="3"/>
  <c r="BE410" i="3"/>
  <c r="BD410" i="3"/>
  <c r="BC410" i="3"/>
  <c r="BB410" i="3"/>
  <c r="BA410" i="3"/>
  <c r="AZ410" i="3"/>
  <c r="AX410" i="3"/>
  <c r="AW410" i="3"/>
  <c r="AV410" i="3"/>
  <c r="AC410" i="3"/>
  <c r="H410" i="3"/>
  <c r="G410" i="3"/>
  <c r="BL409" i="3"/>
  <c r="BK409" i="3"/>
  <c r="BJ409" i="3"/>
  <c r="BI409" i="3"/>
  <c r="BH409" i="3"/>
  <c r="BG409" i="3"/>
  <c r="BF409" i="3"/>
  <c r="BE409" i="3"/>
  <c r="BD409" i="3"/>
  <c r="BC409" i="3"/>
  <c r="BB409" i="3"/>
  <c r="BA409" i="3"/>
  <c r="AZ409" i="3"/>
  <c r="AX409" i="3"/>
  <c r="AW409" i="3"/>
  <c r="AV409" i="3"/>
  <c r="AC409" i="3"/>
  <c r="H409" i="3"/>
  <c r="G409" i="3"/>
  <c r="BL408" i="3"/>
  <c r="BK408" i="3"/>
  <c r="BJ408" i="3"/>
  <c r="BI408" i="3"/>
  <c r="BH408" i="3"/>
  <c r="BG408" i="3"/>
  <c r="BF408" i="3"/>
  <c r="BE408" i="3"/>
  <c r="BD408" i="3"/>
  <c r="BC408" i="3"/>
  <c r="BB408" i="3"/>
  <c r="BA408" i="3"/>
  <c r="AX408" i="3"/>
  <c r="AW408" i="3"/>
  <c r="AV408" i="3"/>
  <c r="AC408" i="3"/>
  <c r="H408" i="3"/>
  <c r="G408" i="3"/>
  <c r="BL407" i="3"/>
  <c r="BK407" i="3"/>
  <c r="BJ407" i="3"/>
  <c r="BI407" i="3"/>
  <c r="BH407" i="3"/>
  <c r="BG407" i="3"/>
  <c r="BF407" i="3"/>
  <c r="BE407" i="3"/>
  <c r="BD407" i="3"/>
  <c r="BC407" i="3"/>
  <c r="BB407" i="3"/>
  <c r="BA407" i="3"/>
  <c r="AZ407" i="3"/>
  <c r="AX407" i="3"/>
  <c r="AW407" i="3"/>
  <c r="AV407" i="3"/>
  <c r="AC407" i="3"/>
  <c r="H407" i="3"/>
  <c r="G407" i="3"/>
  <c r="BL406" i="3"/>
  <c r="BB406" i="3"/>
  <c r="BC406" i="3"/>
  <c r="BD406" i="3"/>
  <c r="BE406" i="3"/>
  <c r="BF406" i="3"/>
  <c r="BG406" i="3"/>
  <c r="BH406" i="3"/>
  <c r="BI406" i="3"/>
  <c r="BJ406" i="3"/>
  <c r="BK406" i="3"/>
  <c r="BA406" i="3"/>
  <c r="AZ406" i="3"/>
  <c r="AX406" i="3"/>
  <c r="AW406" i="3"/>
  <c r="AV406" i="3"/>
  <c r="AC406" i="3"/>
  <c r="H406" i="3"/>
  <c r="G406" i="3"/>
  <c r="BL405" i="3"/>
  <c r="BK405" i="3"/>
  <c r="BJ405" i="3"/>
  <c r="BI405" i="3"/>
  <c r="BH405" i="3"/>
  <c r="BG405" i="3"/>
  <c r="BF405" i="3"/>
  <c r="BE405" i="3"/>
  <c r="BD405" i="3"/>
  <c r="BC405" i="3"/>
  <c r="BB405" i="3"/>
  <c r="BA405" i="3"/>
  <c r="AZ405" i="3"/>
  <c r="AX405" i="3"/>
  <c r="AW405" i="3"/>
  <c r="AV405" i="3"/>
  <c r="AC405" i="3"/>
  <c r="H405" i="3"/>
  <c r="G405" i="3"/>
  <c r="BL404" i="3"/>
  <c r="BK404" i="3"/>
  <c r="BJ404" i="3"/>
  <c r="BI404" i="3"/>
  <c r="BH404" i="3"/>
  <c r="BG404" i="3"/>
  <c r="BF404" i="3"/>
  <c r="BE404" i="3"/>
  <c r="BD404" i="3"/>
  <c r="BC404" i="3"/>
  <c r="BB404" i="3"/>
  <c r="BA404" i="3"/>
  <c r="AZ404" i="3"/>
  <c r="AX404" i="3"/>
  <c r="AW404" i="3"/>
  <c r="AV404" i="3"/>
  <c r="AC404" i="3"/>
  <c r="H404" i="3"/>
  <c r="G404" i="3"/>
  <c r="BL403" i="3"/>
  <c r="BB403" i="3"/>
  <c r="BC403" i="3"/>
  <c r="BD403" i="3"/>
  <c r="BE403" i="3"/>
  <c r="BF403" i="3"/>
  <c r="BG403" i="3"/>
  <c r="BH403" i="3"/>
  <c r="BI403" i="3"/>
  <c r="BJ403" i="3"/>
  <c r="BK403" i="3"/>
  <c r="BA403" i="3"/>
  <c r="AZ403" i="3"/>
  <c r="AX403" i="3"/>
  <c r="AW403" i="3"/>
  <c r="AV403" i="3"/>
  <c r="AC403" i="3"/>
  <c r="H403" i="3"/>
  <c r="G403" i="3"/>
  <c r="BL402" i="3"/>
  <c r="BB402" i="3"/>
  <c r="BC402" i="3"/>
  <c r="BD402" i="3"/>
  <c r="BE402" i="3"/>
  <c r="BF402" i="3"/>
  <c r="BG402" i="3"/>
  <c r="BH402" i="3"/>
  <c r="BI402" i="3"/>
  <c r="BJ402" i="3"/>
  <c r="BK402" i="3"/>
  <c r="BA402" i="3"/>
  <c r="AZ402" i="3"/>
  <c r="AX402" i="3"/>
  <c r="AW402" i="3"/>
  <c r="AV402" i="3"/>
  <c r="AC402" i="3"/>
  <c r="H402" i="3"/>
  <c r="G402" i="3"/>
  <c r="BL401" i="3"/>
  <c r="BK401" i="3"/>
  <c r="BJ401" i="3"/>
  <c r="BI401" i="3"/>
  <c r="BH401" i="3"/>
  <c r="BG401" i="3"/>
  <c r="BF401" i="3"/>
  <c r="BE401" i="3"/>
  <c r="BD401" i="3"/>
  <c r="BC401" i="3"/>
  <c r="BB401" i="3"/>
  <c r="BA401" i="3"/>
  <c r="AX401" i="3"/>
  <c r="AW401" i="3"/>
  <c r="AV401" i="3"/>
  <c r="AC401" i="3"/>
  <c r="H401" i="3"/>
  <c r="G401" i="3"/>
  <c r="BL400" i="3"/>
  <c r="BK400" i="3"/>
  <c r="BJ400" i="3"/>
  <c r="BI400" i="3"/>
  <c r="BH400" i="3"/>
  <c r="BG400" i="3"/>
  <c r="BF400" i="3"/>
  <c r="BE400" i="3"/>
  <c r="BD400" i="3"/>
  <c r="BC400" i="3"/>
  <c r="BB400" i="3"/>
  <c r="BA400" i="3"/>
  <c r="AZ400" i="3"/>
  <c r="AX400" i="3"/>
  <c r="AW400" i="3"/>
  <c r="AV400" i="3"/>
  <c r="AC400" i="3"/>
  <c r="H400" i="3"/>
  <c r="G400" i="3"/>
  <c r="BL399" i="3"/>
  <c r="BK399" i="3"/>
  <c r="BJ399" i="3"/>
  <c r="BI399" i="3"/>
  <c r="BH399" i="3"/>
  <c r="BG399" i="3"/>
  <c r="BF399" i="3"/>
  <c r="BE399" i="3"/>
  <c r="BD399" i="3"/>
  <c r="BC399" i="3"/>
  <c r="BB399" i="3"/>
  <c r="BA399" i="3"/>
  <c r="AZ399" i="3"/>
  <c r="AX399" i="3"/>
  <c r="AW399" i="3"/>
  <c r="AV399" i="3"/>
  <c r="AC399" i="3"/>
  <c r="H399" i="3"/>
  <c r="G399"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1" i="1"/>
  <c r="I15" i="4"/>
  <c r="H15" i="4"/>
  <c r="G15" i="4"/>
  <c r="E15" i="4"/>
  <c r="D15" i="4"/>
  <c r="F7" i="1"/>
  <c r="G7" i="1"/>
  <c r="L21" i="4"/>
  <c r="F19" i="4"/>
  <c r="F2" i="52"/>
  <c r="B50" i="72"/>
  <c r="D2" i="52"/>
  <c r="B46" i="72"/>
  <c r="B8" i="53"/>
  <c r="B23" i="72"/>
  <c r="L4" i="9"/>
  <c r="B17" i="72"/>
  <c r="B15" i="72"/>
  <c r="A3" i="51"/>
  <c r="C8" i="11"/>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P10" i="1"/>
  <c r="B22" i="1"/>
  <c r="B23" i="1"/>
  <c r="B24" i="1"/>
  <c r="B43" i="1"/>
  <c r="D78" i="9"/>
  <c r="BL15" i="3"/>
  <c r="E20" i="6"/>
  <c r="E21" i="6"/>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H494" i="3"/>
  <c r="AC494" i="3"/>
  <c r="BB494" i="3"/>
  <c r="BC494" i="3"/>
  <c r="BD494" i="3"/>
  <c r="BE494" i="3"/>
  <c r="BF494" i="3"/>
  <c r="BG494" i="3"/>
  <c r="BH494" i="3"/>
  <c r="BI494" i="3"/>
  <c r="BJ494" i="3"/>
  <c r="BK494" i="3"/>
  <c r="H495" i="3"/>
  <c r="AC495" i="3"/>
  <c r="BB495" i="3"/>
  <c r="BC495" i="3"/>
  <c r="BD495" i="3"/>
  <c r="BE495" i="3"/>
  <c r="BF495" i="3"/>
  <c r="BG495" i="3"/>
  <c r="BH495" i="3"/>
  <c r="BI495" i="3"/>
  <c r="BJ495" i="3"/>
  <c r="BK495" i="3"/>
  <c r="H496" i="3"/>
  <c r="AC496" i="3"/>
  <c r="BB496" i="3"/>
  <c r="BC496" i="3"/>
  <c r="BD496" i="3"/>
  <c r="BE496" i="3"/>
  <c r="BF496" i="3"/>
  <c r="BG496" i="3"/>
  <c r="BH496" i="3"/>
  <c r="BI496" i="3"/>
  <c r="BJ496" i="3"/>
  <c r="BK496" i="3"/>
  <c r="H497" i="3"/>
  <c r="AC497" i="3"/>
  <c r="BB497" i="3"/>
  <c r="BC497" i="3"/>
  <c r="BD497" i="3"/>
  <c r="BE497" i="3"/>
  <c r="BF497" i="3"/>
  <c r="BG497" i="3"/>
  <c r="BH497" i="3"/>
  <c r="BI497" i="3"/>
  <c r="BJ497" i="3"/>
  <c r="BK497" i="3"/>
  <c r="H498" i="3"/>
  <c r="AC498" i="3"/>
  <c r="BB498" i="3"/>
  <c r="BC498" i="3"/>
  <c r="BD498" i="3"/>
  <c r="BE498" i="3"/>
  <c r="BF498" i="3"/>
  <c r="BG498" i="3"/>
  <c r="BH498" i="3"/>
  <c r="BI498" i="3"/>
  <c r="BJ498" i="3"/>
  <c r="BK498" i="3"/>
  <c r="H499" i="3"/>
  <c r="AC499" i="3"/>
  <c r="BB499" i="3"/>
  <c r="BC499" i="3"/>
  <c r="BD499" i="3"/>
  <c r="BE499" i="3"/>
  <c r="BF499" i="3"/>
  <c r="BG499" i="3"/>
  <c r="BH499" i="3"/>
  <c r="BI499" i="3"/>
  <c r="BJ499" i="3"/>
  <c r="BK499" i="3"/>
  <c r="H500" i="3"/>
  <c r="AC500" i="3"/>
  <c r="BB500" i="3"/>
  <c r="BC500" i="3"/>
  <c r="BD500" i="3"/>
  <c r="BE500" i="3"/>
  <c r="BF500" i="3"/>
  <c r="BG500" i="3"/>
  <c r="BH500" i="3"/>
  <c r="BI500" i="3"/>
  <c r="BJ500" i="3"/>
  <c r="BK500" i="3"/>
  <c r="H501" i="3"/>
  <c r="AC501" i="3"/>
  <c r="BB501" i="3"/>
  <c r="BC501" i="3"/>
  <c r="BD501" i="3"/>
  <c r="BE501" i="3"/>
  <c r="BF501" i="3"/>
  <c r="BG501" i="3"/>
  <c r="BH501" i="3"/>
  <c r="BI501" i="3"/>
  <c r="BJ501" i="3"/>
  <c r="BK501" i="3"/>
  <c r="H502" i="3"/>
  <c r="AC502" i="3"/>
  <c r="BB502" i="3"/>
  <c r="BC502" i="3"/>
  <c r="BD502" i="3"/>
  <c r="BE502" i="3"/>
  <c r="BF502" i="3"/>
  <c r="BG502" i="3"/>
  <c r="BH502" i="3"/>
  <c r="BI502" i="3"/>
  <c r="BJ502" i="3"/>
  <c r="BK502" i="3"/>
  <c r="H503" i="3"/>
  <c r="AC503" i="3"/>
  <c r="BB503" i="3"/>
  <c r="BC503" i="3"/>
  <c r="BD503" i="3"/>
  <c r="BE503" i="3"/>
  <c r="BF503" i="3"/>
  <c r="BG503" i="3"/>
  <c r="BH503" i="3"/>
  <c r="BI503" i="3"/>
  <c r="BJ503" i="3"/>
  <c r="BK503" i="3"/>
  <c r="H504" i="3"/>
  <c r="AC504" i="3"/>
  <c r="BB504" i="3"/>
  <c r="BC504" i="3"/>
  <c r="BD504" i="3"/>
  <c r="BE504" i="3"/>
  <c r="BF504" i="3"/>
  <c r="BG504" i="3"/>
  <c r="BH504" i="3"/>
  <c r="BI504" i="3"/>
  <c r="BJ504" i="3"/>
  <c r="BK504" i="3"/>
  <c r="H505" i="3"/>
  <c r="AC505" i="3"/>
  <c r="BB505" i="3"/>
  <c r="BC505" i="3"/>
  <c r="BD505" i="3"/>
  <c r="BE505" i="3"/>
  <c r="BF505" i="3"/>
  <c r="BG505" i="3"/>
  <c r="BH505" i="3"/>
  <c r="BI505" i="3"/>
  <c r="BJ505" i="3"/>
  <c r="BK505" i="3"/>
  <c r="H506" i="3"/>
  <c r="AC506" i="3"/>
  <c r="BB506" i="3"/>
  <c r="BC506" i="3"/>
  <c r="BD506" i="3"/>
  <c r="BE506" i="3"/>
  <c r="BF506" i="3"/>
  <c r="BG506" i="3"/>
  <c r="BH506" i="3"/>
  <c r="BI506" i="3"/>
  <c r="BJ506" i="3"/>
  <c r="BK506" i="3"/>
  <c r="H507" i="3"/>
  <c r="AC507" i="3"/>
  <c r="BB507" i="3"/>
  <c r="BC507" i="3"/>
  <c r="BD507" i="3"/>
  <c r="BE507" i="3"/>
  <c r="BF507" i="3"/>
  <c r="BG507" i="3"/>
  <c r="BH507" i="3"/>
  <c r="BI507" i="3"/>
  <c r="BJ507" i="3"/>
  <c r="BK507" i="3"/>
  <c r="H508" i="3"/>
  <c r="AC508" i="3"/>
  <c r="BB508" i="3"/>
  <c r="BC508" i="3"/>
  <c r="BD508" i="3"/>
  <c r="BE508" i="3"/>
  <c r="BF508" i="3"/>
  <c r="BG508" i="3"/>
  <c r="BH508" i="3"/>
  <c r="BI508" i="3"/>
  <c r="BJ508" i="3"/>
  <c r="BK508" i="3"/>
  <c r="H509" i="3"/>
  <c r="BB509" i="3"/>
  <c r="BC509" i="3"/>
  <c r="BD509" i="3"/>
  <c r="BE509" i="3"/>
  <c r="BF509" i="3"/>
  <c r="BG509" i="3"/>
  <c r="BH509" i="3"/>
  <c r="BI509" i="3"/>
  <c r="BJ509" i="3"/>
  <c r="BK509" i="3"/>
  <c r="H510" i="3"/>
  <c r="AC510" i="3"/>
  <c r="BB510" i="3"/>
  <c r="BC510" i="3"/>
  <c r="BD510" i="3"/>
  <c r="BE510" i="3"/>
  <c r="BF510" i="3"/>
  <c r="BG510" i="3"/>
  <c r="BH510" i="3"/>
  <c r="BI510" i="3"/>
  <c r="BJ510" i="3"/>
  <c r="BK510" i="3"/>
  <c r="H511" i="3"/>
  <c r="AC511" i="3"/>
  <c r="BB511" i="3"/>
  <c r="BC511" i="3"/>
  <c r="BD511" i="3"/>
  <c r="BE511" i="3"/>
  <c r="BF511" i="3"/>
  <c r="BG511" i="3"/>
  <c r="BH511" i="3"/>
  <c r="BI511" i="3"/>
  <c r="BJ511" i="3"/>
  <c r="BK511" i="3"/>
  <c r="H512" i="3"/>
  <c r="AC512" i="3"/>
  <c r="BB512" i="3"/>
  <c r="BC512" i="3"/>
  <c r="BD512" i="3"/>
  <c r="BE512" i="3"/>
  <c r="BF512" i="3"/>
  <c r="BG512" i="3"/>
  <c r="BH512" i="3"/>
  <c r="BI512" i="3"/>
  <c r="BJ512" i="3"/>
  <c r="BK512" i="3"/>
  <c r="H513" i="3"/>
  <c r="AC513" i="3"/>
  <c r="BB513" i="3"/>
  <c r="BC513" i="3"/>
  <c r="BD513" i="3"/>
  <c r="BE513" i="3"/>
  <c r="BF513" i="3"/>
  <c r="BG513" i="3"/>
  <c r="BH513" i="3"/>
  <c r="BI513" i="3"/>
  <c r="BJ513" i="3"/>
  <c r="BK513" i="3"/>
  <c r="H514" i="3"/>
  <c r="AC514" i="3"/>
  <c r="BB514" i="3"/>
  <c r="BC514" i="3"/>
  <c r="BD514" i="3"/>
  <c r="BE514" i="3"/>
  <c r="BF514" i="3"/>
  <c r="BG514" i="3"/>
  <c r="BH514" i="3"/>
  <c r="BI514" i="3"/>
  <c r="BJ514" i="3"/>
  <c r="BK514" i="3"/>
  <c r="H515" i="3"/>
  <c r="AC515" i="3"/>
  <c r="BB515" i="3"/>
  <c r="BC515" i="3"/>
  <c r="BD515" i="3"/>
  <c r="BE515" i="3"/>
  <c r="BF515" i="3"/>
  <c r="BG515" i="3"/>
  <c r="BH515" i="3"/>
  <c r="BI515" i="3"/>
  <c r="BJ515" i="3"/>
  <c r="BK515" i="3"/>
  <c r="H516" i="3"/>
  <c r="AC516" i="3"/>
  <c r="BB516" i="3"/>
  <c r="BC516" i="3"/>
  <c r="BD516" i="3"/>
  <c r="BE516" i="3"/>
  <c r="BF516" i="3"/>
  <c r="BG516" i="3"/>
  <c r="BH516" i="3"/>
  <c r="BI516" i="3"/>
  <c r="BJ516" i="3"/>
  <c r="BK516" i="3"/>
  <c r="H517" i="3"/>
  <c r="AC517" i="3"/>
  <c r="BB517" i="3"/>
  <c r="BC517" i="3"/>
  <c r="BD517" i="3"/>
  <c r="BE517" i="3"/>
  <c r="BF517" i="3"/>
  <c r="BG517" i="3"/>
  <c r="BH517" i="3"/>
  <c r="BI517" i="3"/>
  <c r="BJ517" i="3"/>
  <c r="BK517" i="3"/>
  <c r="H518" i="3"/>
  <c r="AC518" i="3"/>
  <c r="BB518" i="3"/>
  <c r="BC518" i="3"/>
  <c r="BD518" i="3"/>
  <c r="BE518" i="3"/>
  <c r="BF518" i="3"/>
  <c r="BG518" i="3"/>
  <c r="BH518" i="3"/>
  <c r="BI518" i="3"/>
  <c r="BJ518" i="3"/>
  <c r="BK518" i="3"/>
  <c r="H519" i="3"/>
  <c r="AC519" i="3"/>
  <c r="BB519" i="3"/>
  <c r="BC519" i="3"/>
  <c r="BD519" i="3"/>
  <c r="BE519" i="3"/>
  <c r="BF519" i="3"/>
  <c r="BG519" i="3"/>
  <c r="BH519" i="3"/>
  <c r="BI519" i="3"/>
  <c r="BJ519" i="3"/>
  <c r="BK519" i="3"/>
  <c r="H520" i="3"/>
  <c r="AC520" i="3"/>
  <c r="BB520" i="3"/>
  <c r="BC520" i="3"/>
  <c r="BD520" i="3"/>
  <c r="BE520" i="3"/>
  <c r="BF520" i="3"/>
  <c r="BG520" i="3"/>
  <c r="BH520" i="3"/>
  <c r="BI520" i="3"/>
  <c r="BJ520" i="3"/>
  <c r="BK520" i="3"/>
  <c r="H521" i="3"/>
  <c r="BB521" i="3"/>
  <c r="BC521" i="3"/>
  <c r="BD521" i="3"/>
  <c r="BE521" i="3"/>
  <c r="BF521" i="3"/>
  <c r="BG521" i="3"/>
  <c r="BH521" i="3"/>
  <c r="BI521" i="3"/>
  <c r="BJ521" i="3"/>
  <c r="BK521" i="3"/>
  <c r="H522" i="3"/>
  <c r="AC522" i="3"/>
  <c r="BB522" i="3"/>
  <c r="BC522" i="3"/>
  <c r="BD522" i="3"/>
  <c r="BE522" i="3"/>
  <c r="BF522" i="3"/>
  <c r="BG522" i="3"/>
  <c r="BH522" i="3"/>
  <c r="BI522" i="3"/>
  <c r="BJ522" i="3"/>
  <c r="BK522" i="3"/>
  <c r="H523" i="3"/>
  <c r="AC523" i="3"/>
  <c r="BB523" i="3"/>
  <c r="BC523" i="3"/>
  <c r="BD523" i="3"/>
  <c r="BE523" i="3"/>
  <c r="BF523" i="3"/>
  <c r="BG523" i="3"/>
  <c r="BH523" i="3"/>
  <c r="BI523" i="3"/>
  <c r="BJ523" i="3"/>
  <c r="BK523" i="3"/>
  <c r="H524" i="3"/>
  <c r="AC524" i="3"/>
  <c r="BB524" i="3"/>
  <c r="BC524" i="3"/>
  <c r="BD524" i="3"/>
  <c r="BE524" i="3"/>
  <c r="BF524" i="3"/>
  <c r="BG524" i="3"/>
  <c r="BH524" i="3"/>
  <c r="BI524" i="3"/>
  <c r="BJ524" i="3"/>
  <c r="BK524" i="3"/>
  <c r="H525" i="3"/>
  <c r="AC525" i="3"/>
  <c r="BB525" i="3"/>
  <c r="BC525" i="3"/>
  <c r="BD525" i="3"/>
  <c r="BE525" i="3"/>
  <c r="BF525" i="3"/>
  <c r="BG525" i="3"/>
  <c r="BH525" i="3"/>
  <c r="BI525" i="3"/>
  <c r="BJ525" i="3"/>
  <c r="BK525" i="3"/>
  <c r="H526" i="3"/>
  <c r="AC526" i="3"/>
  <c r="G526" i="3"/>
  <c r="BB526" i="3"/>
  <c r="BC526" i="3"/>
  <c r="BD526" i="3"/>
  <c r="BE526" i="3"/>
  <c r="BF526" i="3"/>
  <c r="BG526" i="3"/>
  <c r="BH526" i="3"/>
  <c r="BI526" i="3"/>
  <c r="BJ526" i="3"/>
  <c r="BK526" i="3"/>
  <c r="H527" i="3"/>
  <c r="AC527" i="3"/>
  <c r="BB527" i="3"/>
  <c r="BC527" i="3"/>
  <c r="BD527" i="3"/>
  <c r="BE527" i="3"/>
  <c r="BF527" i="3"/>
  <c r="BG527" i="3"/>
  <c r="BH527" i="3"/>
  <c r="BI527" i="3"/>
  <c r="BJ527" i="3"/>
  <c r="BK527" i="3"/>
  <c r="H528" i="3"/>
  <c r="AC528" i="3"/>
  <c r="BB528" i="3"/>
  <c r="BC528" i="3"/>
  <c r="BD528" i="3"/>
  <c r="BE528" i="3"/>
  <c r="BF528" i="3"/>
  <c r="BG528" i="3"/>
  <c r="BH528" i="3"/>
  <c r="BI528" i="3"/>
  <c r="BJ528" i="3"/>
  <c r="BK528" i="3"/>
  <c r="H529" i="3"/>
  <c r="AC529" i="3"/>
  <c r="BB529" i="3"/>
  <c r="BC529" i="3"/>
  <c r="BD529" i="3"/>
  <c r="BE529" i="3"/>
  <c r="BF529" i="3"/>
  <c r="BG529" i="3"/>
  <c r="BH529" i="3"/>
  <c r="BI529" i="3"/>
  <c r="BJ529" i="3"/>
  <c r="BK529" i="3"/>
  <c r="H530" i="3"/>
  <c r="AC530" i="3"/>
  <c r="BB530" i="3"/>
  <c r="BC530" i="3"/>
  <c r="BD530" i="3"/>
  <c r="BE530" i="3"/>
  <c r="BF530" i="3"/>
  <c r="BG530" i="3"/>
  <c r="BH530" i="3"/>
  <c r="BI530" i="3"/>
  <c r="BJ530" i="3"/>
  <c r="BK530" i="3"/>
  <c r="H531" i="3"/>
  <c r="AC531" i="3"/>
  <c r="BB531" i="3"/>
  <c r="BC531" i="3"/>
  <c r="BD531" i="3"/>
  <c r="BE531" i="3"/>
  <c r="BF531" i="3"/>
  <c r="BG531" i="3"/>
  <c r="BH531" i="3"/>
  <c r="BI531" i="3"/>
  <c r="BJ531" i="3"/>
  <c r="BK531" i="3"/>
  <c r="H532" i="3"/>
  <c r="AC532" i="3"/>
  <c r="BB532" i="3"/>
  <c r="BC532" i="3"/>
  <c r="BD532" i="3"/>
  <c r="BE532" i="3"/>
  <c r="BF532" i="3"/>
  <c r="BG532" i="3"/>
  <c r="BH532" i="3"/>
  <c r="BI532" i="3"/>
  <c r="BJ532" i="3"/>
  <c r="BK532" i="3"/>
  <c r="H533" i="3"/>
  <c r="AC533" i="3"/>
  <c r="BB533" i="3"/>
  <c r="BC533" i="3"/>
  <c r="BD533" i="3"/>
  <c r="BE533" i="3"/>
  <c r="BF533" i="3"/>
  <c r="BG533" i="3"/>
  <c r="BH533" i="3"/>
  <c r="BI533" i="3"/>
  <c r="BJ533" i="3"/>
  <c r="BK533" i="3"/>
  <c r="H534" i="3"/>
  <c r="AC534" i="3"/>
  <c r="BB534" i="3"/>
  <c r="BC534" i="3"/>
  <c r="BD534" i="3"/>
  <c r="BE534" i="3"/>
  <c r="BF534" i="3"/>
  <c r="BG534" i="3"/>
  <c r="BH534" i="3"/>
  <c r="BI534" i="3"/>
  <c r="BJ534" i="3"/>
  <c r="BK534" i="3"/>
  <c r="H535" i="3"/>
  <c r="AC535" i="3"/>
  <c r="BB535" i="3"/>
  <c r="BC535" i="3"/>
  <c r="BD535" i="3"/>
  <c r="BE535" i="3"/>
  <c r="BF535" i="3"/>
  <c r="BG535" i="3"/>
  <c r="BH535" i="3"/>
  <c r="BI535" i="3"/>
  <c r="BJ535" i="3"/>
  <c r="BK535" i="3"/>
  <c r="H536" i="3"/>
  <c r="AC536" i="3"/>
  <c r="BB536" i="3"/>
  <c r="BC536" i="3"/>
  <c r="BD536" i="3"/>
  <c r="BE536" i="3"/>
  <c r="BF536" i="3"/>
  <c r="BG536" i="3"/>
  <c r="BH536" i="3"/>
  <c r="BI536" i="3"/>
  <c r="BJ536" i="3"/>
  <c r="BK536" i="3"/>
  <c r="H537" i="3"/>
  <c r="AC537" i="3"/>
  <c r="BB537" i="3"/>
  <c r="BC537" i="3"/>
  <c r="BD537" i="3"/>
  <c r="BE537" i="3"/>
  <c r="BF537" i="3"/>
  <c r="BG537" i="3"/>
  <c r="BH537" i="3"/>
  <c r="BI537" i="3"/>
  <c r="BJ537" i="3"/>
  <c r="BK537" i="3"/>
  <c r="H538" i="3"/>
  <c r="AC538" i="3"/>
  <c r="BB538" i="3"/>
  <c r="BC538" i="3"/>
  <c r="BD538" i="3"/>
  <c r="BE538" i="3"/>
  <c r="BF538" i="3"/>
  <c r="BG538" i="3"/>
  <c r="BH538" i="3"/>
  <c r="BI538" i="3"/>
  <c r="BJ538" i="3"/>
  <c r="BK538" i="3"/>
  <c r="H539" i="3"/>
  <c r="AC539" i="3"/>
  <c r="BB539" i="3"/>
  <c r="BC539" i="3"/>
  <c r="BD539" i="3"/>
  <c r="BE539" i="3"/>
  <c r="BF539" i="3"/>
  <c r="BG539" i="3"/>
  <c r="BH539" i="3"/>
  <c r="BI539" i="3"/>
  <c r="BJ539" i="3"/>
  <c r="BK539" i="3"/>
  <c r="H540" i="3"/>
  <c r="AC540" i="3"/>
  <c r="BB540" i="3"/>
  <c r="BC540" i="3"/>
  <c r="BD540" i="3"/>
  <c r="BE540" i="3"/>
  <c r="BF540" i="3"/>
  <c r="BG540" i="3"/>
  <c r="BH540" i="3"/>
  <c r="BI540" i="3"/>
  <c r="BJ540" i="3"/>
  <c r="BK540" i="3"/>
  <c r="H541" i="3"/>
  <c r="AC541" i="3"/>
  <c r="BB541" i="3"/>
  <c r="BC541" i="3"/>
  <c r="BD541" i="3"/>
  <c r="BE541" i="3"/>
  <c r="BF541" i="3"/>
  <c r="BG541" i="3"/>
  <c r="BH541" i="3"/>
  <c r="BI541" i="3"/>
  <c r="BJ541" i="3"/>
  <c r="BK541" i="3"/>
  <c r="H542" i="3"/>
  <c r="AC542" i="3"/>
  <c r="G542" i="3"/>
  <c r="BB542" i="3"/>
  <c r="BC542" i="3"/>
  <c r="BD542" i="3"/>
  <c r="BE542" i="3"/>
  <c r="BF542" i="3"/>
  <c r="BG542" i="3"/>
  <c r="BH542" i="3"/>
  <c r="BI542" i="3"/>
  <c r="BJ542" i="3"/>
  <c r="BK542" i="3"/>
  <c r="H543" i="3"/>
  <c r="AC543" i="3"/>
  <c r="BB543" i="3"/>
  <c r="BC543" i="3"/>
  <c r="BD543" i="3"/>
  <c r="BE543" i="3"/>
  <c r="BF543" i="3"/>
  <c r="BG543" i="3"/>
  <c r="BH543" i="3"/>
  <c r="BI543" i="3"/>
  <c r="BJ543" i="3"/>
  <c r="BK543" i="3"/>
  <c r="H544" i="3"/>
  <c r="AC544" i="3"/>
  <c r="BB544" i="3"/>
  <c r="BC544" i="3"/>
  <c r="BD544" i="3"/>
  <c r="BE544" i="3"/>
  <c r="BF544" i="3"/>
  <c r="BG544" i="3"/>
  <c r="BH544" i="3"/>
  <c r="BI544" i="3"/>
  <c r="BJ544" i="3"/>
  <c r="BK544" i="3"/>
  <c r="H545" i="3"/>
  <c r="AC545" i="3"/>
  <c r="BB545" i="3"/>
  <c r="BC545" i="3"/>
  <c r="BD545" i="3"/>
  <c r="BE545" i="3"/>
  <c r="BF545" i="3"/>
  <c r="BG545" i="3"/>
  <c r="BH545" i="3"/>
  <c r="BI545" i="3"/>
  <c r="BJ545" i="3"/>
  <c r="BK545" i="3"/>
  <c r="H546" i="3"/>
  <c r="AC546" i="3"/>
  <c r="BB546" i="3"/>
  <c r="BC546" i="3"/>
  <c r="BD546" i="3"/>
  <c r="BE546" i="3"/>
  <c r="BF546" i="3"/>
  <c r="BG546" i="3"/>
  <c r="BH546" i="3"/>
  <c r="BI546" i="3"/>
  <c r="BJ546" i="3"/>
  <c r="BK546" i="3"/>
  <c r="H547" i="3"/>
  <c r="AC547" i="3"/>
  <c r="BB547" i="3"/>
  <c r="BC547" i="3"/>
  <c r="BD547" i="3"/>
  <c r="BE547" i="3"/>
  <c r="BF547" i="3"/>
  <c r="BG547" i="3"/>
  <c r="BH547" i="3"/>
  <c r="BI547" i="3"/>
  <c r="BJ547" i="3"/>
  <c r="BK547" i="3"/>
  <c r="H548" i="3"/>
  <c r="AC548" i="3"/>
  <c r="BB548" i="3"/>
  <c r="BC548" i="3"/>
  <c r="BD548" i="3"/>
  <c r="BE548" i="3"/>
  <c r="BF548" i="3"/>
  <c r="BG548" i="3"/>
  <c r="BH548" i="3"/>
  <c r="BI548" i="3"/>
  <c r="BJ548" i="3"/>
  <c r="BK548" i="3"/>
  <c r="BL548" i="3"/>
  <c r="BA548" i="3"/>
  <c r="AZ548" i="3"/>
  <c r="H549" i="3"/>
  <c r="AC549" i="3"/>
  <c r="BB549" i="3"/>
  <c r="BC549" i="3"/>
  <c r="BD549" i="3"/>
  <c r="BE549" i="3"/>
  <c r="BF549" i="3"/>
  <c r="BG549" i="3"/>
  <c r="BH549" i="3"/>
  <c r="BI549" i="3"/>
  <c r="BJ549" i="3"/>
  <c r="BK549" i="3"/>
  <c r="H550" i="3"/>
  <c r="AC550" i="3"/>
  <c r="BB550" i="3"/>
  <c r="BC550" i="3"/>
  <c r="BD550" i="3"/>
  <c r="BE550" i="3"/>
  <c r="BF550" i="3"/>
  <c r="BG550" i="3"/>
  <c r="BH550" i="3"/>
  <c r="BI550" i="3"/>
  <c r="BJ550" i="3"/>
  <c r="BK550" i="3"/>
  <c r="BA550" i="3"/>
  <c r="BL550" i="3"/>
  <c r="H551" i="3"/>
  <c r="AC551" i="3"/>
  <c r="G551" i="3"/>
  <c r="BB551" i="3"/>
  <c r="BC551" i="3"/>
  <c r="BD551" i="3"/>
  <c r="BE551" i="3"/>
  <c r="BF551" i="3"/>
  <c r="BG551" i="3"/>
  <c r="BH551" i="3"/>
  <c r="BI551" i="3"/>
  <c r="BJ551" i="3"/>
  <c r="BK551" i="3"/>
  <c r="BA551" i="3"/>
  <c r="H552" i="3"/>
  <c r="AC552" i="3"/>
  <c r="G552" i="3"/>
  <c r="BB552" i="3"/>
  <c r="BC552" i="3"/>
  <c r="BD552" i="3"/>
  <c r="BE552" i="3"/>
  <c r="BF552" i="3"/>
  <c r="BG552" i="3"/>
  <c r="BH552" i="3"/>
  <c r="BI552" i="3"/>
  <c r="BJ552" i="3"/>
  <c r="BK552" i="3"/>
  <c r="H553" i="3"/>
  <c r="AC553" i="3"/>
  <c r="BB553" i="3"/>
  <c r="BC553" i="3"/>
  <c r="BD553" i="3"/>
  <c r="BE553" i="3"/>
  <c r="BF553" i="3"/>
  <c r="BG553" i="3"/>
  <c r="BH553" i="3"/>
  <c r="BI553" i="3"/>
  <c r="BJ553" i="3"/>
  <c r="BK553" i="3"/>
  <c r="H554" i="3"/>
  <c r="AC554" i="3"/>
  <c r="BB554" i="3"/>
  <c r="BC554" i="3"/>
  <c r="BD554" i="3"/>
  <c r="BE554" i="3"/>
  <c r="BF554" i="3"/>
  <c r="BG554" i="3"/>
  <c r="BH554" i="3"/>
  <c r="BI554" i="3"/>
  <c r="BJ554" i="3"/>
  <c r="BK554" i="3"/>
  <c r="H555" i="3"/>
  <c r="AC555" i="3"/>
  <c r="BB555" i="3"/>
  <c r="BC555" i="3"/>
  <c r="BD555" i="3"/>
  <c r="BE555" i="3"/>
  <c r="BF555" i="3"/>
  <c r="BG555" i="3"/>
  <c r="BH555" i="3"/>
  <c r="BI555" i="3"/>
  <c r="BJ555" i="3"/>
  <c r="BK555" i="3"/>
  <c r="H556" i="3"/>
  <c r="AC556" i="3"/>
  <c r="G556" i="3"/>
  <c r="BB556" i="3"/>
  <c r="BC556" i="3"/>
  <c r="BD556" i="3"/>
  <c r="BE556" i="3"/>
  <c r="BF556" i="3"/>
  <c r="BG556" i="3"/>
  <c r="BH556" i="3"/>
  <c r="BI556" i="3"/>
  <c r="BJ556" i="3"/>
  <c r="BK556" i="3"/>
  <c r="H557" i="3"/>
  <c r="BB557" i="3"/>
  <c r="BC557" i="3"/>
  <c r="BD557" i="3"/>
  <c r="BE557" i="3"/>
  <c r="BF557" i="3"/>
  <c r="BG557" i="3"/>
  <c r="BH557" i="3"/>
  <c r="BI557" i="3"/>
  <c r="BJ557" i="3"/>
  <c r="BK557" i="3"/>
  <c r="H558" i="3"/>
  <c r="AC558" i="3"/>
  <c r="G558" i="3"/>
  <c r="BB558" i="3"/>
  <c r="BC558" i="3"/>
  <c r="BD558" i="3"/>
  <c r="BE558" i="3"/>
  <c r="BF558" i="3"/>
  <c r="BG558" i="3"/>
  <c r="BH558" i="3"/>
  <c r="BI558" i="3"/>
  <c r="BJ558" i="3"/>
  <c r="BK558" i="3"/>
  <c r="H559" i="3"/>
  <c r="AC559" i="3"/>
  <c r="BB559" i="3"/>
  <c r="BC559" i="3"/>
  <c r="BD559" i="3"/>
  <c r="BE559" i="3"/>
  <c r="BF559" i="3"/>
  <c r="BG559" i="3"/>
  <c r="BH559" i="3"/>
  <c r="BI559" i="3"/>
  <c r="BJ559" i="3"/>
  <c r="BK559" i="3"/>
  <c r="H560" i="3"/>
  <c r="AC560" i="3"/>
  <c r="BB560" i="3"/>
  <c r="BC560" i="3"/>
  <c r="BD560" i="3"/>
  <c r="BE560" i="3"/>
  <c r="BF560" i="3"/>
  <c r="BG560" i="3"/>
  <c r="BH560" i="3"/>
  <c r="BI560" i="3"/>
  <c r="BJ560" i="3"/>
  <c r="BK560" i="3"/>
  <c r="H561" i="3"/>
  <c r="AC561" i="3"/>
  <c r="BB561" i="3"/>
  <c r="BC561" i="3"/>
  <c r="BD561" i="3"/>
  <c r="BE561" i="3"/>
  <c r="BF561" i="3"/>
  <c r="BG561" i="3"/>
  <c r="BH561" i="3"/>
  <c r="BI561" i="3"/>
  <c r="BJ561" i="3"/>
  <c r="BK561" i="3"/>
  <c r="H562" i="3"/>
  <c r="AC562" i="3"/>
  <c r="G562" i="3"/>
  <c r="BB562" i="3"/>
  <c r="BC562" i="3"/>
  <c r="BD562" i="3"/>
  <c r="BE562" i="3"/>
  <c r="BF562" i="3"/>
  <c r="BG562" i="3"/>
  <c r="BH562" i="3"/>
  <c r="BI562" i="3"/>
  <c r="BJ562" i="3"/>
  <c r="BK562" i="3"/>
  <c r="H563" i="3"/>
  <c r="AC563" i="3"/>
  <c r="BB563" i="3"/>
  <c r="BC563" i="3"/>
  <c r="BD563" i="3"/>
  <c r="BE563" i="3"/>
  <c r="BF563" i="3"/>
  <c r="BG563" i="3"/>
  <c r="BH563" i="3"/>
  <c r="BI563" i="3"/>
  <c r="BJ563" i="3"/>
  <c r="BK563" i="3"/>
  <c r="H564" i="3"/>
  <c r="AC564" i="3"/>
  <c r="BB564" i="3"/>
  <c r="BC564" i="3"/>
  <c r="BD564" i="3"/>
  <c r="BE564" i="3"/>
  <c r="BF564" i="3"/>
  <c r="BG564" i="3"/>
  <c r="BH564" i="3"/>
  <c r="BI564" i="3"/>
  <c r="BJ564" i="3"/>
  <c r="BK564" i="3"/>
  <c r="H565" i="3"/>
  <c r="AC565" i="3"/>
  <c r="BB565" i="3"/>
  <c r="BC565" i="3"/>
  <c r="BD565" i="3"/>
  <c r="BE565" i="3"/>
  <c r="BF565" i="3"/>
  <c r="BG565" i="3"/>
  <c r="BH565" i="3"/>
  <c r="BI565" i="3"/>
  <c r="BJ565" i="3"/>
  <c r="BK565" i="3"/>
  <c r="H566" i="3"/>
  <c r="AC566" i="3"/>
  <c r="G566" i="3"/>
  <c r="BB566" i="3"/>
  <c r="BC566" i="3"/>
  <c r="BD566" i="3"/>
  <c r="BE566" i="3"/>
  <c r="BF566" i="3"/>
  <c r="BG566" i="3"/>
  <c r="BH566" i="3"/>
  <c r="BI566" i="3"/>
  <c r="BJ566" i="3"/>
  <c r="BK566" i="3"/>
  <c r="H567" i="3"/>
  <c r="AC567" i="3"/>
  <c r="BB567" i="3"/>
  <c r="BC567" i="3"/>
  <c r="BD567" i="3"/>
  <c r="BE567" i="3"/>
  <c r="BF567" i="3"/>
  <c r="BG567" i="3"/>
  <c r="BH567" i="3"/>
  <c r="BI567" i="3"/>
  <c r="BJ567" i="3"/>
  <c r="BK567" i="3"/>
  <c r="H568" i="3"/>
  <c r="AC568" i="3"/>
  <c r="BB568" i="3"/>
  <c r="BC568" i="3"/>
  <c r="BD568" i="3"/>
  <c r="BE568" i="3"/>
  <c r="BF568" i="3"/>
  <c r="BG568" i="3"/>
  <c r="BH568" i="3"/>
  <c r="BI568" i="3"/>
  <c r="BJ568" i="3"/>
  <c r="BK568" i="3"/>
  <c r="H569" i="3"/>
  <c r="AC569" i="3"/>
  <c r="BB569" i="3"/>
  <c r="BC569" i="3"/>
  <c r="BD569" i="3"/>
  <c r="BE569" i="3"/>
  <c r="BF569" i="3"/>
  <c r="BG569" i="3"/>
  <c r="BH569" i="3"/>
  <c r="BI569" i="3"/>
  <c r="BJ569" i="3"/>
  <c r="BK569" i="3"/>
  <c r="H570" i="3"/>
  <c r="AC570" i="3"/>
  <c r="G570" i="3"/>
  <c r="BB570" i="3"/>
  <c r="BC570" i="3"/>
  <c r="BD570" i="3"/>
  <c r="BE570" i="3"/>
  <c r="BF570" i="3"/>
  <c r="BG570" i="3"/>
  <c r="BH570" i="3"/>
  <c r="BI570" i="3"/>
  <c r="BJ570" i="3"/>
  <c r="BK570" i="3"/>
  <c r="H571" i="3"/>
  <c r="AC571" i="3"/>
  <c r="BB571" i="3"/>
  <c r="BC571" i="3"/>
  <c r="BD571" i="3"/>
  <c r="BE571" i="3"/>
  <c r="BF571" i="3"/>
  <c r="BG571" i="3"/>
  <c r="BH571" i="3"/>
  <c r="BI571" i="3"/>
  <c r="BJ571" i="3"/>
  <c r="BK571" i="3"/>
  <c r="H572" i="3"/>
  <c r="AC572" i="3"/>
  <c r="BB572" i="3"/>
  <c r="BC572" i="3"/>
  <c r="BD572" i="3"/>
  <c r="BE572" i="3"/>
  <c r="BF572" i="3"/>
  <c r="BG572" i="3"/>
  <c r="BH572" i="3"/>
  <c r="BI572" i="3"/>
  <c r="BJ572" i="3"/>
  <c r="BK572" i="3"/>
  <c r="H573" i="3"/>
  <c r="AC573" i="3"/>
  <c r="BB573" i="3"/>
  <c r="BC573" i="3"/>
  <c r="BD573" i="3"/>
  <c r="BE573" i="3"/>
  <c r="BF573" i="3"/>
  <c r="BG573" i="3"/>
  <c r="BH573" i="3"/>
  <c r="BI573" i="3"/>
  <c r="BJ573" i="3"/>
  <c r="BK573" i="3"/>
  <c r="H574" i="3"/>
  <c r="AC574" i="3"/>
  <c r="G574" i="3"/>
  <c r="BB574" i="3"/>
  <c r="BC574" i="3"/>
  <c r="BD574" i="3"/>
  <c r="BE574" i="3"/>
  <c r="BF574" i="3"/>
  <c r="BG574" i="3"/>
  <c r="BH574" i="3"/>
  <c r="BI574" i="3"/>
  <c r="BJ574" i="3"/>
  <c r="BK574" i="3"/>
  <c r="H575" i="3"/>
  <c r="AC575" i="3"/>
  <c r="BB575" i="3"/>
  <c r="BC575" i="3"/>
  <c r="BD575" i="3"/>
  <c r="BE575" i="3"/>
  <c r="BF575" i="3"/>
  <c r="BG575" i="3"/>
  <c r="BH575" i="3"/>
  <c r="BI575" i="3"/>
  <c r="BJ575" i="3"/>
  <c r="BK575" i="3"/>
  <c r="H576" i="3"/>
  <c r="AC576" i="3"/>
  <c r="BB576" i="3"/>
  <c r="BC576" i="3"/>
  <c r="BD576" i="3"/>
  <c r="BE576" i="3"/>
  <c r="BF576" i="3"/>
  <c r="BG576" i="3"/>
  <c r="BH576" i="3"/>
  <c r="BI576" i="3"/>
  <c r="BJ576" i="3"/>
  <c r="BK576" i="3"/>
  <c r="H577" i="3"/>
  <c r="AC577" i="3"/>
  <c r="BB577" i="3"/>
  <c r="BC577" i="3"/>
  <c r="BD577" i="3"/>
  <c r="BE577" i="3"/>
  <c r="BF577" i="3"/>
  <c r="BG577" i="3"/>
  <c r="BH577" i="3"/>
  <c r="BI577" i="3"/>
  <c r="BJ577" i="3"/>
  <c r="BK577" i="3"/>
  <c r="H578" i="3"/>
  <c r="AC578" i="3"/>
  <c r="G578" i="3"/>
  <c r="BB578" i="3"/>
  <c r="BC578" i="3"/>
  <c r="BD578" i="3"/>
  <c r="BE578" i="3"/>
  <c r="BF578" i="3"/>
  <c r="BG578" i="3"/>
  <c r="BH578" i="3"/>
  <c r="BI578" i="3"/>
  <c r="BJ578" i="3"/>
  <c r="BK578" i="3"/>
  <c r="H579" i="3"/>
  <c r="AC579" i="3"/>
  <c r="BB579" i="3"/>
  <c r="BC579" i="3"/>
  <c r="BD579" i="3"/>
  <c r="BE579" i="3"/>
  <c r="BF579" i="3"/>
  <c r="BG579" i="3"/>
  <c r="BH579" i="3"/>
  <c r="BI579" i="3"/>
  <c r="BJ579" i="3"/>
  <c r="BK579" i="3"/>
  <c r="H580" i="3"/>
  <c r="AC580" i="3"/>
  <c r="BB580" i="3"/>
  <c r="BC580" i="3"/>
  <c r="BD580" i="3"/>
  <c r="BE580" i="3"/>
  <c r="BF580" i="3"/>
  <c r="BG580" i="3"/>
  <c r="BH580" i="3"/>
  <c r="BI580" i="3"/>
  <c r="BJ580" i="3"/>
  <c r="BK580" i="3"/>
  <c r="H581" i="3"/>
  <c r="AC581" i="3"/>
  <c r="BB581" i="3"/>
  <c r="BC581" i="3"/>
  <c r="BD581" i="3"/>
  <c r="BE581" i="3"/>
  <c r="BF581" i="3"/>
  <c r="BG581" i="3"/>
  <c r="BH581" i="3"/>
  <c r="BI581" i="3"/>
  <c r="BJ581" i="3"/>
  <c r="BK581" i="3"/>
  <c r="H582" i="3"/>
  <c r="AC582" i="3"/>
  <c r="G582" i="3"/>
  <c r="BB582" i="3"/>
  <c r="BC582" i="3"/>
  <c r="BD582" i="3"/>
  <c r="BE582" i="3"/>
  <c r="BF582" i="3"/>
  <c r="BG582" i="3"/>
  <c r="BH582" i="3"/>
  <c r="BI582" i="3"/>
  <c r="BJ582" i="3"/>
  <c r="BK582" i="3"/>
  <c r="H583" i="3"/>
  <c r="AC583" i="3"/>
  <c r="BB583" i="3"/>
  <c r="BC583" i="3"/>
  <c r="BD583" i="3"/>
  <c r="BE583" i="3"/>
  <c r="BF583" i="3"/>
  <c r="BG583" i="3"/>
  <c r="BH583" i="3"/>
  <c r="BI583" i="3"/>
  <c r="BJ583" i="3"/>
  <c r="BK583" i="3"/>
  <c r="H584" i="3"/>
  <c r="AC584" i="3"/>
  <c r="BB584" i="3"/>
  <c r="BC584" i="3"/>
  <c r="BD584" i="3"/>
  <c r="BE584" i="3"/>
  <c r="BF584" i="3"/>
  <c r="BG584" i="3"/>
  <c r="BH584" i="3"/>
  <c r="BI584" i="3"/>
  <c r="BJ584" i="3"/>
  <c r="BK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D119" i="21"/>
  <c r="F40" i="21"/>
  <c r="AA40" i="21"/>
  <c r="D117" i="21"/>
  <c r="E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F77" i="21"/>
  <c r="G77" i="21"/>
  <c r="B130" i="21"/>
  <c r="B128" i="21"/>
  <c r="J45" i="21"/>
  <c r="W45" i="21"/>
  <c r="B126" i="21"/>
  <c r="B98" i="21"/>
  <c r="H31" i="21"/>
  <c r="B96" i="21"/>
  <c r="B94" i="21"/>
  <c r="J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L585" i="3"/>
  <c r="BA585" i="3"/>
  <c r="AZ585" i="3"/>
  <c r="BB586" i="3"/>
  <c r="BC586" i="3"/>
  <c r="BD586" i="3"/>
  <c r="BE586" i="3"/>
  <c r="BF586" i="3"/>
  <c r="BG586" i="3"/>
  <c r="BH586" i="3"/>
  <c r="BI586" i="3"/>
  <c r="BJ586" i="3"/>
  <c r="BK586" i="3"/>
  <c r="BL586" i="3"/>
  <c r="BB587" i="3"/>
  <c r="BC587" i="3"/>
  <c r="BD587" i="3"/>
  <c r="BE587" i="3"/>
  <c r="BF587" i="3"/>
  <c r="BG587" i="3"/>
  <c r="BH587" i="3"/>
  <c r="BI587" i="3"/>
  <c r="BJ587" i="3"/>
  <c r="BK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J40" i="21"/>
  <c r="W40" i="21"/>
  <c r="H35" i="21"/>
  <c r="AB35" i="21"/>
  <c r="J8" i="21"/>
  <c r="AC8" i="21"/>
  <c r="H8" i="21"/>
  <c r="U8" i="21"/>
  <c r="H10" i="21"/>
  <c r="AB10" i="21"/>
  <c r="J34" i="21"/>
  <c r="W34" i="21"/>
  <c r="H36" i="21"/>
  <c r="U36" i="21"/>
  <c r="F35" i="21"/>
  <c r="AA35"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W17" i="39"/>
  <c r="J27" i="39"/>
  <c r="AC27" i="39"/>
  <c r="F27" i="39"/>
  <c r="F11" i="21"/>
  <c r="S11"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L557" i="3"/>
  <c r="AZ557" i="3"/>
  <c r="AC557" i="3"/>
  <c r="G557" i="3"/>
  <c r="BL583" i="3"/>
  <c r="AZ583" i="3"/>
  <c r="BL579" i="3"/>
  <c r="AZ579" i="3"/>
  <c r="BL577" i="3"/>
  <c r="AZ577" i="3"/>
  <c r="BL575" i="3"/>
  <c r="AZ575" i="3"/>
  <c r="BL573" i="3"/>
  <c r="AZ573" i="3"/>
  <c r="BL571" i="3"/>
  <c r="AZ571" i="3"/>
  <c r="BL569" i="3"/>
  <c r="AZ569" i="3"/>
  <c r="BL567" i="3"/>
  <c r="AZ567" i="3"/>
  <c r="BL565" i="3"/>
  <c r="AZ565" i="3"/>
  <c r="BL563" i="3"/>
  <c r="BL561" i="3"/>
  <c r="AZ561" i="3"/>
  <c r="BL559" i="3"/>
  <c r="AZ559" i="3"/>
  <c r="G559" i="3"/>
  <c r="G555" i="3"/>
  <c r="G553" i="3"/>
  <c r="G549" i="3"/>
  <c r="G547" i="3"/>
  <c r="G545" i="3"/>
  <c r="G543" i="3"/>
  <c r="G541" i="3"/>
  <c r="G539" i="3"/>
  <c r="G537" i="3"/>
  <c r="BL555" i="3"/>
  <c r="AZ555" i="3"/>
  <c r="BL553" i="3"/>
  <c r="AZ553" i="3"/>
  <c r="BL551" i="3"/>
  <c r="BL547" i="3"/>
  <c r="AZ547" i="3"/>
  <c r="BL545" i="3"/>
  <c r="AZ545" i="3"/>
  <c r="BL543" i="3"/>
  <c r="AZ543" i="3"/>
  <c r="BL541" i="3"/>
  <c r="AZ541" i="3"/>
  <c r="BL539" i="3"/>
  <c r="AZ539" i="3"/>
  <c r="BL537" i="3"/>
  <c r="AZ537" i="3"/>
  <c r="BL535" i="3"/>
  <c r="AZ535" i="3"/>
  <c r="BL533" i="3"/>
  <c r="AZ533" i="3"/>
  <c r="BL531" i="3"/>
  <c r="AZ531" i="3"/>
  <c r="BL529" i="3"/>
  <c r="AZ529" i="3"/>
  <c r="BL527" i="3"/>
  <c r="AZ527" i="3"/>
  <c r="BL525" i="3"/>
  <c r="AZ525" i="3"/>
  <c r="BL523" i="3"/>
  <c r="AZ523" i="3"/>
  <c r="BA521" i="3"/>
  <c r="BL521" i="3"/>
  <c r="AZ521" i="3"/>
  <c r="AC521" i="3"/>
  <c r="G521" i="3"/>
  <c r="BL520" i="3"/>
  <c r="AZ520" i="3"/>
  <c r="G519" i="3"/>
  <c r="G517" i="3"/>
  <c r="G515" i="3"/>
  <c r="G513" i="3"/>
  <c r="G511" i="3"/>
  <c r="BL519" i="3"/>
  <c r="AZ519" i="3"/>
  <c r="BL517" i="3"/>
  <c r="AZ517" i="3"/>
  <c r="BL515" i="3"/>
  <c r="AZ515" i="3"/>
  <c r="BL513" i="3"/>
  <c r="AZ513" i="3"/>
  <c r="BL511" i="3"/>
  <c r="AZ511" i="3"/>
  <c r="BA509" i="3"/>
  <c r="AC509" i="3"/>
  <c r="BL509" i="3"/>
  <c r="BL508" i="3"/>
  <c r="AZ508" i="3"/>
  <c r="G507" i="3"/>
  <c r="G505" i="3"/>
  <c r="G503" i="3"/>
  <c r="G501" i="3"/>
  <c r="G499" i="3"/>
  <c r="G497" i="3"/>
  <c r="G495" i="3"/>
  <c r="BL507" i="3"/>
  <c r="AZ507" i="3"/>
  <c r="BL505" i="3"/>
  <c r="AZ505" i="3"/>
  <c r="BL503" i="3"/>
  <c r="AZ503" i="3"/>
  <c r="BL501" i="3"/>
  <c r="BL499" i="3"/>
  <c r="BL497" i="3"/>
  <c r="BL495" i="3"/>
  <c r="AZ495"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37" i="21"/>
  <c r="U37"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AC43" i="39"/>
  <c r="W43" i="39"/>
  <c r="U45" i="39"/>
  <c r="AB45" i="39"/>
  <c r="AB44" i="39"/>
  <c r="U44" i="39"/>
  <c r="G101" i="39"/>
  <c r="H37" i="39"/>
  <c r="AB37" i="39"/>
  <c r="AC37" i="39"/>
  <c r="W37" i="39"/>
  <c r="H25" i="39"/>
  <c r="AB25" i="39"/>
  <c r="J25" i="39"/>
  <c r="F25" i="39"/>
  <c r="AA25" i="39"/>
  <c r="F15" i="39"/>
  <c r="AA15" i="39"/>
  <c r="H15" i="39"/>
  <c r="U15" i="39"/>
  <c r="J15" i="39"/>
  <c r="W15" i="39"/>
  <c r="H41"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G17" i="3"/>
  <c r="BA17" i="3"/>
  <c r="AZ350" i="3"/>
  <c r="AZ352" i="3"/>
  <c r="AZ356" i="3"/>
  <c r="AZ360" i="3"/>
  <c r="AZ364" i="3"/>
  <c r="AZ368" i="3"/>
  <c r="BA15" i="3"/>
  <c r="AZ15" i="3"/>
  <c r="BB5" i="3"/>
  <c r="E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F35" i="43"/>
  <c r="F6" i="1"/>
  <c r="U17" i="39"/>
  <c r="S14" i="35"/>
  <c r="U43"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AE9" i="1"/>
  <c r="D93" i="9"/>
  <c r="E12" i="6"/>
  <c r="E15" i="6"/>
  <c r="E60" i="40"/>
  <c r="E13" i="6"/>
  <c r="E58" i="40"/>
  <c r="E30"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C42" i="1"/>
  <c r="C77" i="9"/>
  <c r="C74" i="9"/>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S21" i="39"/>
  <c r="G95" i="39"/>
  <c r="H21" i="39"/>
  <c r="U21"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6" i="21"/>
  <c r="AC40" i="21"/>
  <c r="J15" i="21"/>
  <c r="W15" i="21"/>
  <c r="E85" i="21"/>
  <c r="F23" i="21"/>
  <c r="AC11" i="21"/>
  <c r="AA14" i="21"/>
  <c r="AB8" i="21"/>
  <c r="S8" i="21"/>
  <c r="M3" i="43"/>
  <c r="N10" i="43"/>
  <c r="M1" i="43"/>
  <c r="M8" i="43"/>
  <c r="N8" i="43"/>
  <c r="N9" i="43"/>
  <c r="D120" i="9"/>
  <c r="C18" i="9"/>
  <c r="D18" i="9"/>
  <c r="F34" i="67"/>
  <c r="F62" i="67"/>
  <c r="M20" i="67"/>
  <c r="F34" i="15"/>
  <c r="F62" i="15"/>
  <c r="G13" i="3"/>
  <c r="G5" i="3"/>
  <c r="B3" i="3"/>
  <c r="BA13" i="3"/>
  <c r="E10" i="6"/>
  <c r="BA5" i="3"/>
  <c r="E11" i="6"/>
  <c r="E61" i="39"/>
  <c r="BL17" i="3"/>
  <c r="AZ17" i="3"/>
  <c r="BL13" i="3"/>
  <c r="E65" i="39"/>
  <c r="G30" i="6"/>
  <c r="G31" i="6"/>
  <c r="J56" i="9"/>
  <c r="J57" i="9"/>
  <c r="A24" i="51"/>
  <c r="B18" i="72"/>
  <c r="U29" i="34"/>
  <c r="E14" i="6"/>
  <c r="E64" i="39"/>
  <c r="E5" i="6"/>
  <c r="D19" i="12"/>
  <c r="C19" i="12"/>
  <c r="L101" i="43"/>
  <c r="H101" i="43"/>
  <c r="M101" i="43"/>
  <c r="E101" i="43"/>
  <c r="E32" i="6"/>
  <c r="L19" i="6"/>
  <c r="G1" i="68"/>
  <c r="K1" i="12"/>
  <c r="F30"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AJ11" i="43"/>
  <c r="AJ13" i="43"/>
  <c r="AF11" i="43"/>
  <c r="AF13" i="43"/>
  <c r="AB11" i="43"/>
  <c r="AB13" i="43"/>
  <c r="Z7" i="43"/>
  <c r="AI11" i="43"/>
  <c r="AI13" i="43"/>
  <c r="AE11" i="43"/>
  <c r="AE13" i="43"/>
  <c r="AA11" i="43"/>
  <c r="AA13" i="43"/>
  <c r="E48" i="43"/>
  <c r="B46" i="43"/>
  <c r="E70" i="43"/>
  <c r="B68" i="43"/>
  <c r="F100" i="43"/>
  <c r="D9" i="53"/>
  <c r="B25" i="72"/>
  <c r="B24" i="72"/>
  <c r="G6" i="1"/>
  <c r="H85" i="43"/>
  <c r="H81" i="43"/>
  <c r="H84" i="43"/>
  <c r="H88" i="43"/>
  <c r="H53" i="43"/>
  <c r="H54" i="43"/>
  <c r="H78" i="43"/>
  <c r="H70" i="43"/>
  <c r="H71" i="43"/>
  <c r="C17" i="43"/>
  <c r="F33" i="43"/>
  <c r="F34" i="43"/>
  <c r="M7" i="43"/>
  <c r="N6" i="43"/>
  <c r="M2"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C46" i="36"/>
  <c r="D46" i="36"/>
  <c r="C59" i="34"/>
  <c r="D59" i="34"/>
  <c r="C52" i="37"/>
  <c r="D52" i="37"/>
  <c r="A4" i="51"/>
  <c r="B6" i="72"/>
  <c r="C48" i="35"/>
  <c r="D48" i="35"/>
  <c r="E48" i="35"/>
  <c r="C4" i="12"/>
  <c r="H62" i="43"/>
  <c r="H66" i="43"/>
  <c r="H61" i="43"/>
  <c r="H65" i="43"/>
  <c r="H60" i="43"/>
  <c r="H64" i="43"/>
  <c r="H59" i="43"/>
  <c r="H63" i="43"/>
  <c r="H67" i="43"/>
  <c r="H55" i="43"/>
  <c r="H51" i="43"/>
  <c r="H56" i="43"/>
  <c r="H76" i="43"/>
  <c r="H72" i="43"/>
  <c r="H77" i="43"/>
  <c r="L20" i="6"/>
  <c r="E62" i="39"/>
  <c r="B6" i="1"/>
  <c r="E6" i="1"/>
  <c r="S8" i="1"/>
  <c r="AR8" i="1"/>
  <c r="M11" i="1"/>
  <c r="O11" i="1"/>
  <c r="P11" i="1"/>
  <c r="AP6" i="1"/>
  <c r="B9" i="1"/>
  <c r="E9" i="1"/>
  <c r="M7" i="1"/>
  <c r="O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3" i="21"/>
  <c r="S33" i="21"/>
  <c r="J33" i="21"/>
  <c r="AC33" i="21"/>
  <c r="H33" i="21"/>
  <c r="AB33" i="21"/>
  <c r="F37" i="21"/>
  <c r="AA37" i="21"/>
  <c r="AA26" i="21"/>
  <c r="AB14" i="21"/>
  <c r="AB46" i="21"/>
  <c r="U40" i="21"/>
  <c r="AB31" i="21"/>
  <c r="U31" i="21"/>
  <c r="AC15" i="21"/>
  <c r="U13" i="21"/>
  <c r="AB13" i="21"/>
  <c r="W8" i="21"/>
  <c r="AB37" i="21"/>
  <c r="J37" i="21"/>
  <c r="W37" i="21"/>
  <c r="H15" i="21"/>
  <c r="U15" i="21"/>
  <c r="J17" i="21"/>
  <c r="AC17" i="21"/>
  <c r="AC19" i="21"/>
  <c r="AC14" i="21"/>
  <c r="W30" i="21"/>
  <c r="S46" i="21"/>
  <c r="H45" i="21"/>
  <c r="U45" i="21"/>
  <c r="F29" i="21"/>
  <c r="S29" i="21"/>
  <c r="F13" i="21"/>
  <c r="AA13" i="21"/>
  <c r="AC38" i="21"/>
  <c r="H32" i="21"/>
  <c r="U32" i="21"/>
  <c r="H9" i="21"/>
  <c r="AB9" i="21"/>
  <c r="J9" i="21"/>
  <c r="W9" i="21"/>
  <c r="J32" i="21"/>
  <c r="AC32" i="21"/>
  <c r="F32" i="21"/>
  <c r="S32" i="21"/>
  <c r="AA31" i="21"/>
  <c r="U17" i="21"/>
  <c r="S19" i="21"/>
  <c r="S9" i="21"/>
  <c r="K141" i="21"/>
  <c r="K144" i="21"/>
  <c r="K143" i="21"/>
  <c r="AB25" i="21"/>
  <c r="AB44" i="21"/>
  <c r="AA30" i="21"/>
  <c r="W13" i="21"/>
  <c r="AC45" i="21"/>
  <c r="F10" i="21"/>
  <c r="S10" i="21"/>
  <c r="K145" i="21"/>
  <c r="W25" i="21"/>
  <c r="AA29" i="21"/>
  <c r="W31" i="21"/>
  <c r="S17" i="21"/>
  <c r="AA15" i="21"/>
  <c r="AC27" i="21"/>
  <c r="AC26" i="21"/>
  <c r="AB29" i="21"/>
  <c r="S28" i="21"/>
  <c r="W12" i="21"/>
  <c r="AB36" i="21"/>
  <c r="W30" i="40"/>
  <c r="C19" i="39"/>
  <c r="C15" i="40"/>
  <c r="C17" i="40"/>
  <c r="C23" i="40"/>
  <c r="C21" i="40"/>
  <c r="U30" i="40"/>
  <c r="B54" i="43"/>
  <c r="B65" i="43"/>
  <c r="B49" i="43"/>
  <c r="B52" i="43"/>
  <c r="B56" i="43"/>
  <c r="B60" i="43"/>
  <c r="B63" i="43"/>
  <c r="B67" i="43"/>
  <c r="D23" i="15"/>
  <c r="D22" i="15"/>
  <c r="E4" i="4"/>
  <c r="C4" i="4"/>
  <c r="K4" i="4"/>
  <c r="B46" i="48"/>
  <c r="B4" i="72"/>
  <c r="AZ13" i="3"/>
  <c r="M6" i="1"/>
  <c r="O6" i="1"/>
  <c r="P6" i="1"/>
  <c r="F52" i="9"/>
  <c r="E63" i="39"/>
  <c r="AQ9" i="1"/>
  <c r="T9" i="1"/>
  <c r="T13" i="1"/>
  <c r="E53" i="3"/>
  <c r="E125" i="3"/>
  <c r="E175" i="3"/>
  <c r="E217" i="3"/>
  <c r="E319" i="3"/>
  <c r="E366" i="3"/>
  <c r="E530" i="3"/>
  <c r="E526" i="3"/>
  <c r="E501" i="3"/>
  <c r="E553" i="3"/>
  <c r="E343" i="3"/>
  <c r="E268" i="3"/>
  <c r="E153" i="3"/>
  <c r="E282" i="3"/>
  <c r="E305" i="3"/>
  <c r="E322" i="3"/>
  <c r="E426" i="3"/>
  <c r="N6" i="3"/>
  <c r="E508" i="3"/>
  <c r="AJ6" i="3"/>
  <c r="E328" i="3"/>
  <c r="S7" i="1"/>
  <c r="T7" i="1"/>
  <c r="E7" i="70"/>
  <c r="C24" i="12"/>
  <c r="AA39" i="40"/>
  <c r="S39" i="40"/>
  <c r="S12" i="33"/>
  <c r="AA12" i="33"/>
  <c r="J32" i="39"/>
  <c r="H107" i="39"/>
  <c r="I107" i="39"/>
  <c r="J107" i="39"/>
  <c r="K107" i="39"/>
  <c r="L107" i="39"/>
  <c r="M107" i="39"/>
  <c r="H32" i="39"/>
  <c r="AA32" i="39"/>
  <c r="S32" i="39"/>
  <c r="AB21" i="39"/>
  <c r="AA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AB15" i="21"/>
  <c r="J23" i="21"/>
  <c r="F85" i="21"/>
  <c r="G85" i="21"/>
  <c r="H23" i="21"/>
  <c r="U23" i="21"/>
  <c r="S13" i="21"/>
  <c r="D6" i="52"/>
  <c r="D121" i="9"/>
  <c r="D7" i="52"/>
  <c r="K120" i="9"/>
  <c r="S6" i="43"/>
  <c r="S3" i="43"/>
  <c r="AZ5" i="3"/>
  <c r="E329" i="3"/>
  <c r="E347" i="3"/>
  <c r="E539" i="3"/>
  <c r="E583" i="3"/>
  <c r="E545" i="3"/>
  <c r="AA6" i="3"/>
  <c r="E567" i="3"/>
  <c r="X6" i="3"/>
  <c r="E510" i="3"/>
  <c r="E399" i="3"/>
  <c r="E461" i="3"/>
  <c r="E336" i="3"/>
  <c r="E352" i="3"/>
  <c r="E280" i="3"/>
  <c r="E227" i="3"/>
  <c r="E246" i="3"/>
  <c r="E205" i="3"/>
  <c r="E124" i="3"/>
  <c r="E165" i="3"/>
  <c r="E293" i="3"/>
  <c r="E128" i="3"/>
  <c r="M14" i="1"/>
  <c r="BL5" i="3"/>
  <c r="J59" i="9"/>
  <c r="J61" i="9"/>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6" i="43"/>
  <c r="E103" i="43"/>
  <c r="M102" i="43"/>
  <c r="M106" i="43"/>
  <c r="M103" i="43"/>
  <c r="H102" i="43"/>
  <c r="H103" i="43"/>
  <c r="H104" i="43"/>
  <c r="E27" i="6"/>
  <c r="K19" i="6"/>
  <c r="S6" i="1"/>
  <c r="S16" i="1"/>
  <c r="E109" i="43"/>
  <c r="L102" i="43"/>
  <c r="L105"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B21" i="31"/>
  <c r="E52" i="37"/>
  <c r="F52" i="37"/>
  <c r="E59" i="34"/>
  <c r="F59" i="34"/>
  <c r="C65" i="40"/>
  <c r="D63" i="40"/>
  <c r="B5" i="62"/>
  <c r="B73" i="72"/>
  <c r="L27" i="6"/>
  <c r="AP7" i="1"/>
  <c r="AB45" i="21"/>
  <c r="AA33" i="21"/>
  <c r="W32" i="21"/>
  <c r="U9" i="21"/>
  <c r="AB32" i="21"/>
  <c r="AA10" i="21"/>
  <c r="AR7" i="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B23" i="21"/>
  <c r="AC23" i="21"/>
  <c r="W23" i="21"/>
  <c r="E63" i="40"/>
  <c r="D65" i="40"/>
  <c r="M16" i="1"/>
  <c r="N16" i="1"/>
  <c r="F1" i="67"/>
  <c r="Q52" i="67"/>
  <c r="AC11" i="37"/>
  <c r="W11" i="37"/>
  <c r="W11" i="34"/>
  <c r="AC11" i="34"/>
  <c r="R7" i="1"/>
  <c r="F34" i="11"/>
  <c r="F11" i="12"/>
  <c r="F34" i="68"/>
  <c r="F63" i="40"/>
  <c r="E65" i="40"/>
  <c r="R8" i="1"/>
  <c r="G63" i="40"/>
  <c r="F65" i="40"/>
  <c r="H63" i="40"/>
  <c r="G65" i="40"/>
  <c r="I63" i="40"/>
  <c r="H65" i="40"/>
  <c r="J63" i="40"/>
  <c r="I65" i="40"/>
  <c r="K63" i="40"/>
  <c r="L63" i="40"/>
  <c r="J65" i="40"/>
  <c r="K65" i="40"/>
  <c r="C34" i="69"/>
  <c r="C38" i="69"/>
  <c r="AE7"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J7" i="33"/>
  <c r="W7" i="33"/>
  <c r="F7" i="33"/>
  <c r="S7" i="33"/>
  <c r="H7" i="33"/>
  <c r="AB7" i="33"/>
  <c r="T48" i="33"/>
  <c r="G48" i="33"/>
  <c r="AA7" i="33"/>
  <c r="R48" i="33"/>
  <c r="U7" i="33"/>
  <c r="H112" i="9"/>
  <c r="D21" i="53"/>
  <c r="B39" i="72"/>
  <c r="H111" i="9"/>
  <c r="D126" i="9"/>
  <c r="D19" i="53"/>
  <c r="D59" i="9"/>
  <c r="M55" i="9"/>
  <c r="B38" i="72"/>
  <c r="D20" i="53"/>
  <c r="B40" i="72"/>
  <c r="I14" i="74"/>
  <c r="B8" i="74"/>
  <c r="D127" i="9"/>
  <c r="D13" i="52"/>
  <c r="D12" i="52"/>
  <c r="AD3" i="71"/>
  <c r="B4" i="62"/>
  <c r="B71" i="72"/>
  <c r="L47" i="67"/>
  <c r="D2" i="21"/>
  <c r="AO13" i="1"/>
  <c r="M9" i="15"/>
  <c r="M29" i="67"/>
  <c r="D4" i="73"/>
  <c r="D2" i="33"/>
  <c r="B7" i="76"/>
  <c r="E2" i="68"/>
  <c r="E10" i="76"/>
  <c r="C76" i="15"/>
  <c r="F36" i="67"/>
  <c r="L48" i="15"/>
  <c r="AO12" i="1"/>
  <c r="AO11" i="1"/>
  <c r="M9" i="67"/>
  <c r="F3" i="73"/>
  <c r="F7" i="73"/>
  <c r="E9" i="76"/>
  <c r="F43" i="15"/>
  <c r="M28" i="67"/>
  <c r="F6" i="67"/>
  <c r="F9" i="67"/>
  <c r="M26" i="15"/>
  <c r="M6" i="15"/>
  <c r="M6" i="67"/>
  <c r="L48" i="67"/>
  <c r="C76" i="67"/>
  <c r="M29" i="15"/>
  <c r="M27" i="67"/>
  <c r="F20" i="31"/>
  <c r="F8" i="67"/>
  <c r="J15" i="67"/>
  <c r="F37" i="15"/>
  <c r="F40" i="15"/>
  <c r="F13" i="15"/>
  <c r="F41" i="67"/>
  <c r="D2" i="36"/>
  <c r="F36" i="15"/>
  <c r="D3" i="73"/>
  <c r="F37" i="67"/>
  <c r="D2" i="34"/>
  <c r="M23" i="15"/>
  <c r="B10" i="76"/>
  <c r="AO9" i="1"/>
  <c r="F16" i="67"/>
  <c r="AO7" i="1"/>
  <c r="F6" i="73"/>
  <c r="AO10" i="1"/>
  <c r="M22" i="67"/>
  <c r="E11" i="76"/>
  <c r="F42" i="15"/>
  <c r="M24" i="67"/>
  <c r="D2" i="35"/>
  <c r="D5" i="73"/>
  <c r="F40" i="67"/>
  <c r="M8" i="67"/>
  <c r="D7" i="73"/>
  <c r="M21" i="67"/>
  <c r="M27" i="15"/>
  <c r="F43" i="67"/>
  <c r="F16" i="15"/>
  <c r="E12" i="76"/>
  <c r="E8" i="76"/>
  <c r="B9" i="76"/>
  <c r="F13" i="67"/>
  <c r="D2" i="37"/>
  <c r="M8" i="15"/>
  <c r="F26" i="15"/>
  <c r="B13" i="76"/>
  <c r="E13" i="76"/>
  <c r="L47" i="15"/>
  <c r="F5" i="73"/>
  <c r="E7" i="76"/>
  <c r="D6" i="73"/>
  <c r="B11" i="76"/>
  <c r="M26" i="67"/>
  <c r="J15" i="15"/>
  <c r="B8" i="76"/>
  <c r="B12" i="76"/>
  <c r="M22" i="15"/>
  <c r="F26" i="67"/>
  <c r="F42" i="67"/>
  <c r="F7" i="67"/>
  <c r="M23" i="67"/>
  <c r="F38" i="67"/>
  <c r="F35" i="67"/>
  <c r="AO8" i="1"/>
  <c r="M24" i="15"/>
  <c r="F38" i="15"/>
  <c r="E2" i="69"/>
  <c r="M28" i="15"/>
  <c r="S40" i="21"/>
  <c r="W29" i="21"/>
  <c r="AC29" i="21"/>
  <c r="S27" i="21"/>
  <c r="F123" i="21"/>
  <c r="G123" i="21"/>
  <c r="H123" i="21"/>
  <c r="I123" i="21"/>
  <c r="J123" i="21"/>
  <c r="K123" i="21"/>
  <c r="L123" i="21"/>
  <c r="M123" i="21"/>
  <c r="H42" i="21"/>
  <c r="U42" i="21"/>
  <c r="F42" i="21"/>
  <c r="J42" i="21"/>
  <c r="AC42" i="21"/>
  <c r="F39" i="21"/>
  <c r="AA39" i="21"/>
  <c r="H39" i="21"/>
  <c r="F117" i="21"/>
  <c r="G117" i="21"/>
  <c r="J39" i="21"/>
  <c r="S37" i="21"/>
  <c r="U33" i="21"/>
  <c r="U27" i="21"/>
  <c r="AA25" i="21"/>
  <c r="AA23" i="21"/>
  <c r="S23" i="21"/>
  <c r="AC21" i="21"/>
  <c r="J10" i="21"/>
  <c r="AC9" i="21"/>
  <c r="S21" i="21"/>
  <c r="AB38" i="21"/>
  <c r="AA38" i="21"/>
  <c r="S39" i="21"/>
  <c r="W42" i="21"/>
  <c r="AB42" i="21"/>
  <c r="S35" i="21"/>
  <c r="U35" i="21"/>
  <c r="AC34" i="21"/>
  <c r="AA32" i="21"/>
  <c r="W17" i="21"/>
  <c r="C29" i="39"/>
  <c r="B66" i="43"/>
  <c r="U29" i="39"/>
  <c r="S29" i="39"/>
  <c r="W27" i="39"/>
  <c r="W23" i="39"/>
  <c r="S17" i="39"/>
  <c r="W19" i="39"/>
  <c r="S19" i="39"/>
  <c r="J53" i="15"/>
  <c r="L56" i="15"/>
  <c r="C36" i="69"/>
  <c r="C34" i="11"/>
  <c r="C35" i="11"/>
  <c r="C13" i="12"/>
  <c r="M18" i="15"/>
  <c r="F30" i="69"/>
  <c r="F54" i="9"/>
  <c r="F32" i="15"/>
  <c r="F60" i="15"/>
  <c r="F32" i="67"/>
  <c r="F60" i="67"/>
  <c r="D68" i="9"/>
  <c r="F28" i="15"/>
  <c r="C28" i="15"/>
  <c r="M18" i="67"/>
  <c r="F31" i="12"/>
  <c r="C31" i="12"/>
  <c r="F28" i="67"/>
  <c r="C28" i="67"/>
  <c r="F30" i="11"/>
  <c r="F30" i="68"/>
  <c r="C30" i="68"/>
  <c r="C94" i="9"/>
  <c r="C92" i="9"/>
  <c r="AR6" i="1"/>
  <c r="C36" i="68"/>
  <c r="C36" i="11"/>
  <c r="E2" i="70"/>
  <c r="W33" i="2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c r="AN6" i="3"/>
  <c r="AC6" i="3"/>
  <c r="E6" i="3"/>
  <c r="E16" i="3"/>
  <c r="AI6" i="3"/>
  <c r="E536" i="3"/>
  <c r="E586" i="3"/>
  <c r="AK6" i="3"/>
  <c r="E578" i="3"/>
  <c r="E549" i="3"/>
  <c r="E402" i="3"/>
  <c r="E434" i="3"/>
  <c r="E423" i="3"/>
  <c r="E453" i="3"/>
  <c r="E350" i="3"/>
  <c r="E306" i="3"/>
  <c r="E382" i="3"/>
  <c r="E368" i="3"/>
  <c r="E303" i="3"/>
  <c r="E296" i="3"/>
  <c r="E263" i="3"/>
  <c r="E244" i="3"/>
  <c r="E301" i="3"/>
  <c r="E262" i="3"/>
  <c r="E245" i="3"/>
  <c r="E196" i="3"/>
  <c r="E159" i="3"/>
  <c r="C38" i="11"/>
  <c r="F27" i="6"/>
  <c r="F31" i="6"/>
  <c r="E56" i="39"/>
  <c r="E51" i="40"/>
  <c r="E59" i="40"/>
  <c r="E66" i="39"/>
  <c r="D9" i="69"/>
  <c r="C9" i="69"/>
  <c r="E56" i="40"/>
  <c r="D9" i="11"/>
  <c r="C9" i="11"/>
  <c r="D9" i="68"/>
  <c r="C9" i="68"/>
  <c r="E16" i="6"/>
  <c r="L16" i="1"/>
  <c r="P7" i="1"/>
  <c r="T8" i="1"/>
  <c r="M109" i="43"/>
  <c r="M104" i="43"/>
  <c r="M107" i="43"/>
  <c r="M105" i="43"/>
  <c r="L109" i="43"/>
  <c r="L106" i="43"/>
  <c r="L107" i="43"/>
  <c r="L103" i="43"/>
  <c r="F22" i="43"/>
  <c r="F101" i="43"/>
  <c r="E22" i="43"/>
  <c r="B113" i="43"/>
  <c r="K101" i="43"/>
  <c r="N101" i="43"/>
  <c r="G101" i="43"/>
  <c r="C101" i="43"/>
  <c r="J101" i="43"/>
  <c r="N104" i="46"/>
  <c r="H22" i="43"/>
  <c r="D101" i="43"/>
  <c r="I101" i="43"/>
  <c r="G22" i="43"/>
  <c r="S2" i="43"/>
  <c r="AH11" i="43"/>
  <c r="AH13" i="43"/>
  <c r="AD11" i="43"/>
  <c r="AD13" i="43"/>
  <c r="Z11" i="43"/>
  <c r="Z13" i="43"/>
  <c r="S5" i="43"/>
  <c r="AG11" i="43"/>
  <c r="AG13" i="43"/>
  <c r="AC11" i="43"/>
  <c r="AC13" i="43"/>
  <c r="Y11" i="43"/>
  <c r="Y13" i="43"/>
  <c r="C23" i="43"/>
  <c r="C21" i="43"/>
  <c r="S4" i="43"/>
  <c r="S7" i="43"/>
  <c r="J22" i="43"/>
  <c r="E104" i="43"/>
  <c r="E107" i="43"/>
  <c r="E105" i="43"/>
  <c r="H107" i="43"/>
  <c r="H106" i="43"/>
  <c r="H105" i="43"/>
  <c r="H109" i="43"/>
  <c r="AR11" i="1"/>
  <c r="T11" i="1"/>
  <c r="AQ13" i="1"/>
  <c r="F50" i="11"/>
  <c r="F50" i="68"/>
  <c r="F50" i="69"/>
  <c r="AQ6" i="1"/>
  <c r="T6" i="1"/>
  <c r="O14" i="1"/>
  <c r="P14" i="1"/>
  <c r="AY6" i="3"/>
  <c r="E3" i="6"/>
  <c r="O8" i="1"/>
  <c r="P9" i="1"/>
  <c r="O9" i="1"/>
  <c r="H16" i="1"/>
  <c r="Q16" i="1"/>
  <c r="G16" i="1"/>
  <c r="F10" i="39"/>
  <c r="T35" i="4"/>
  <c r="A19" i="51"/>
  <c r="B14" i="72"/>
  <c r="R49" i="33"/>
  <c r="E48" i="33"/>
  <c r="L65" i="40"/>
  <c r="M63" i="40"/>
  <c r="G52" i="33"/>
  <c r="H52" i="33"/>
  <c r="AC7" i="33"/>
  <c r="V48" i="33"/>
  <c r="I48" i="33"/>
  <c r="G53" i="33"/>
  <c r="H53" i="33"/>
  <c r="G52" i="37"/>
  <c r="H52" i="37"/>
  <c r="I52" i="37"/>
  <c r="J52" i="37"/>
  <c r="K52" i="37"/>
  <c r="L52" i="37"/>
  <c r="M52" i="37"/>
  <c r="N52" i="37"/>
  <c r="O52" i="37"/>
  <c r="H7" i="37"/>
  <c r="F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F7" i="36"/>
  <c r="J7" i="36"/>
  <c r="H7" i="36"/>
  <c r="D58" i="21"/>
  <c r="G59" i="34"/>
  <c r="C70" i="39"/>
  <c r="D68" i="39"/>
  <c r="H10" i="40"/>
  <c r="C48" i="68"/>
  <c r="C20" i="43"/>
  <c r="F7" i="71"/>
  <c r="F6" i="71"/>
  <c r="F5" i="71"/>
  <c r="Y6" i="71"/>
  <c r="Z6" i="71"/>
  <c r="B7" i="49"/>
  <c r="E7" i="49"/>
  <c r="B15" i="49"/>
  <c r="AB3" i="71"/>
  <c r="X3" i="71"/>
  <c r="E5" i="71"/>
  <c r="E10" i="49"/>
  <c r="B6" i="49"/>
  <c r="E14" i="49"/>
  <c r="AF3" i="71"/>
  <c r="P24" i="43"/>
  <c r="B66" i="40"/>
  <c r="P21" i="43"/>
  <c r="P22" i="43"/>
  <c r="C23" i="12"/>
  <c r="B13" i="49"/>
  <c r="B4" i="49"/>
  <c r="B9" i="49"/>
  <c r="E22" i="49"/>
  <c r="E16" i="49"/>
  <c r="E11" i="49"/>
  <c r="B10" i="49"/>
  <c r="E6" i="49"/>
  <c r="E8" i="49"/>
  <c r="E5" i="49"/>
  <c r="B8" i="49"/>
  <c r="B5" i="49"/>
  <c r="E21" i="49"/>
  <c r="E4" i="49"/>
  <c r="B11" i="49"/>
  <c r="B14" i="49"/>
  <c r="B16" i="49"/>
  <c r="E13" i="49"/>
  <c r="E15" i="49"/>
  <c r="E9" i="49"/>
  <c r="B22" i="49"/>
  <c r="C35" i="69"/>
  <c r="C34" i="68"/>
  <c r="F70" i="67"/>
  <c r="F64" i="67"/>
  <c r="J57" i="15"/>
  <c r="J55" i="15"/>
  <c r="J58" i="15"/>
  <c r="Q50" i="15"/>
  <c r="I54" i="15"/>
  <c r="F71" i="67"/>
  <c r="F66" i="15"/>
  <c r="F50" i="15"/>
  <c r="M7" i="15"/>
  <c r="J6" i="15"/>
  <c r="B10" i="70"/>
  <c r="F68" i="67"/>
  <c r="F66" i="67"/>
  <c r="L59" i="67"/>
  <c r="M59" i="67"/>
  <c r="N59" i="67"/>
  <c r="L58" i="67"/>
  <c r="F68" i="15"/>
  <c r="N59" i="15"/>
  <c r="L59" i="15"/>
  <c r="M59" i="15"/>
  <c r="L58" i="15"/>
  <c r="F65" i="15"/>
  <c r="Q71" i="67"/>
  <c r="B13" i="70"/>
  <c r="E20" i="43"/>
  <c r="B8" i="70"/>
  <c r="C34" i="67"/>
  <c r="F63" i="67"/>
  <c r="C62" i="67"/>
  <c r="B20" i="31"/>
  <c r="B7" i="70"/>
  <c r="F69" i="67"/>
  <c r="J20" i="67"/>
  <c r="F71" i="15"/>
  <c r="F65" i="67"/>
  <c r="Q71" i="15"/>
  <c r="M7" i="67"/>
  <c r="J6" i="67"/>
  <c r="F50" i="67"/>
  <c r="F51" i="67"/>
  <c r="C6" i="67"/>
  <c r="B11" i="70"/>
  <c r="C27" i="15"/>
  <c r="F51" i="15"/>
  <c r="F64" i="15"/>
  <c r="I54" i="67"/>
  <c r="J57" i="67"/>
  <c r="J55" i="67"/>
  <c r="J58" i="67"/>
  <c r="Q50" i="67"/>
  <c r="L56" i="67"/>
  <c r="C27" i="67"/>
  <c r="B12" i="70"/>
  <c r="B9" i="70"/>
  <c r="K1" i="73"/>
  <c r="C14" i="15"/>
  <c r="C17" i="15"/>
  <c r="C14" i="67"/>
  <c r="G1" i="73"/>
  <c r="M17" i="67"/>
  <c r="F59" i="15"/>
  <c r="C16" i="67"/>
  <c r="C17" i="67"/>
  <c r="F31" i="67"/>
  <c r="C16" i="15"/>
  <c r="F59" i="67"/>
  <c r="F31" i="15"/>
  <c r="M17" i="15"/>
  <c r="AA42" i="21"/>
  <c r="S42" i="21"/>
  <c r="AC39" i="21"/>
  <c r="W39" i="21"/>
  <c r="U39" i="21"/>
  <c r="AB39" i="21"/>
  <c r="AC10" i="21"/>
  <c r="W10" i="21"/>
  <c r="Q52" i="15"/>
  <c r="F1" i="15"/>
  <c r="C48" i="69"/>
  <c r="C30" i="69"/>
  <c r="C30" i="11"/>
  <c r="C48" i="11"/>
  <c r="F10" i="40"/>
  <c r="D109" i="43"/>
  <c r="D105" i="43"/>
  <c r="D106" i="43"/>
  <c r="D102" i="43"/>
  <c r="D104" i="43"/>
  <c r="D103" i="43"/>
  <c r="D107" i="43"/>
  <c r="J10" i="40"/>
  <c r="O16" i="1"/>
  <c r="I109" i="43"/>
  <c r="I104" i="43"/>
  <c r="I107" i="43"/>
  <c r="I105" i="43"/>
  <c r="I106" i="43"/>
  <c r="I102" i="43"/>
  <c r="I103" i="43"/>
  <c r="J104" i="43"/>
  <c r="J105" i="43"/>
  <c r="J103" i="43"/>
  <c r="J109" i="43"/>
  <c r="J102" i="43"/>
  <c r="J106" i="43"/>
  <c r="J107" i="43"/>
  <c r="G105" i="43"/>
  <c r="G103" i="43"/>
  <c r="G106" i="43"/>
  <c r="G102" i="43"/>
  <c r="G104" i="43"/>
  <c r="G107" i="43"/>
  <c r="G109" i="43"/>
  <c r="K103" i="43"/>
  <c r="K107" i="43"/>
  <c r="K104" i="43"/>
  <c r="K105" i="43"/>
  <c r="K109" i="43"/>
  <c r="K102" i="43"/>
  <c r="K106" i="43"/>
  <c r="D22" i="43"/>
  <c r="C104" i="43"/>
  <c r="C105" i="43"/>
  <c r="C106" i="43"/>
  <c r="C107" i="43"/>
  <c r="C102" i="43"/>
  <c r="C103" i="43"/>
  <c r="C109" i="43"/>
  <c r="N102" i="43"/>
  <c r="N103" i="43"/>
  <c r="N106" i="43"/>
  <c r="N104" i="43"/>
  <c r="N109" i="43"/>
  <c r="N105" i="43"/>
  <c r="N107" i="43"/>
  <c r="B115" i="43"/>
  <c r="I118" i="43"/>
  <c r="J118" i="43"/>
  <c r="K118" i="43"/>
  <c r="L118" i="43"/>
  <c r="M118" i="43"/>
  <c r="G118" i="43"/>
  <c r="H118" i="43"/>
  <c r="B116" i="43"/>
  <c r="C116" i="43"/>
  <c r="B118" i="43"/>
  <c r="C118" i="43"/>
  <c r="I117" i="43"/>
  <c r="J117" i="43"/>
  <c r="K117" i="43"/>
  <c r="L117" i="43"/>
  <c r="M117" i="43"/>
  <c r="D117" i="43"/>
  <c r="E117" i="43"/>
  <c r="F117" i="43"/>
  <c r="G117" i="43"/>
  <c r="H117" i="43"/>
  <c r="D118" i="43"/>
  <c r="E118" i="43"/>
  <c r="F118" i="43"/>
  <c r="B117" i="43"/>
  <c r="C117" i="43"/>
  <c r="D115" i="43"/>
  <c r="E115" i="43"/>
  <c r="F115" i="43"/>
  <c r="G115" i="43"/>
  <c r="H115" i="43"/>
  <c r="I115" i="43"/>
  <c r="J115" i="43"/>
  <c r="K115" i="43"/>
  <c r="L115" i="43"/>
  <c r="M115" i="43"/>
  <c r="D116" i="43"/>
  <c r="E116" i="43"/>
  <c r="F116" i="43"/>
  <c r="G116" i="43"/>
  <c r="H116" i="43"/>
  <c r="I116" i="43"/>
  <c r="J116" i="43"/>
  <c r="K116" i="43"/>
  <c r="L116" i="43"/>
  <c r="M116" i="43"/>
  <c r="F104" i="43"/>
  <c r="F107" i="43"/>
  <c r="F106" i="43"/>
  <c r="F105" i="43"/>
  <c r="F109" i="43"/>
  <c r="F102" i="43"/>
  <c r="F103" i="43"/>
  <c r="C18" i="15"/>
  <c r="C15" i="15"/>
  <c r="AY103" i="3"/>
  <c r="AY98" i="3"/>
  <c r="AY67" i="3"/>
  <c r="AY82" i="3"/>
  <c r="AY50" i="3"/>
  <c r="AY18" i="3"/>
  <c r="AY196" i="3"/>
  <c r="AY191" i="3"/>
  <c r="AY160" i="3"/>
  <c r="AY83" i="3"/>
  <c r="AY66" i="3"/>
  <c r="AY23" i="3"/>
  <c r="AY176"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1" i="3"/>
  <c r="AY207"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87" i="3"/>
  <c r="AY34"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AY501"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BG6"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J10" i="39"/>
  <c r="AC10" i="39"/>
  <c r="H10" i="39"/>
  <c r="U10" i="39"/>
  <c r="F27" i="69"/>
  <c r="F28" i="12"/>
  <c r="C29" i="12"/>
  <c r="D28" i="12"/>
  <c r="F27" i="68"/>
  <c r="F27" i="11"/>
  <c r="P8" i="1"/>
  <c r="P16" i="1"/>
  <c r="C11" i="12"/>
  <c r="D3" i="21"/>
  <c r="D19" i="11"/>
  <c r="C19" i="11"/>
  <c r="D37" i="11"/>
  <c r="C37" i="11"/>
  <c r="C33" i="11"/>
  <c r="C39" i="11"/>
  <c r="C46" i="11"/>
  <c r="C45" i="11"/>
  <c r="D14" i="12"/>
  <c r="M18" i="9"/>
  <c r="B118" i="9"/>
  <c r="B14" i="74"/>
  <c r="B1" i="74"/>
  <c r="D3" i="34"/>
  <c r="E6" i="6"/>
  <c r="C17" i="4"/>
  <c r="B4" i="52"/>
  <c r="B43" i="72"/>
  <c r="L18" i="9"/>
  <c r="D3" i="37"/>
  <c r="D3" i="33"/>
  <c r="T16" i="1"/>
  <c r="AA10" i="40"/>
  <c r="S10" i="40"/>
  <c r="W10" i="40"/>
  <c r="AC10" i="40"/>
  <c r="U10" i="40"/>
  <c r="AB10" i="40"/>
  <c r="E58" i="21"/>
  <c r="W7" i="36"/>
  <c r="AC7" i="36"/>
  <c r="V36" i="36"/>
  <c r="I36" i="36"/>
  <c r="AB7" i="35"/>
  <c r="T38" i="35"/>
  <c r="G38" i="35"/>
  <c r="U7" i="35"/>
  <c r="S7" i="37"/>
  <c r="AA7" i="37"/>
  <c r="R42" i="37"/>
  <c r="M65" i="40"/>
  <c r="N63" i="40"/>
  <c r="E53" i="33"/>
  <c r="F53" i="33"/>
  <c r="E52" i="33"/>
  <c r="F52" i="33"/>
  <c r="W10" i="39"/>
  <c r="AB10" i="39"/>
  <c r="AA10" i="39"/>
  <c r="S10" i="39"/>
  <c r="D70" i="39"/>
  <c r="E68" i="39"/>
  <c r="H59" i="34"/>
  <c r="U7" i="36"/>
  <c r="AB7" i="36"/>
  <c r="T36" i="36"/>
  <c r="G36" i="36"/>
  <c r="S7" i="36"/>
  <c r="AA7" i="36"/>
  <c r="R36" i="36"/>
  <c r="S7" i="35"/>
  <c r="AA7" i="35"/>
  <c r="R38" i="35"/>
  <c r="AC7" i="35"/>
  <c r="V38" i="35"/>
  <c r="I38" i="35"/>
  <c r="W7" i="35"/>
  <c r="W7" i="37"/>
  <c r="AC7" i="37"/>
  <c r="V42" i="37"/>
  <c r="I42" i="37"/>
  <c r="AB7" i="37"/>
  <c r="T42" i="37"/>
  <c r="G42" i="37"/>
  <c r="U7" i="37"/>
  <c r="I52" i="33"/>
  <c r="J52" i="33"/>
  <c r="I53" i="33"/>
  <c r="J53" i="33"/>
  <c r="C49" i="33"/>
  <c r="C48" i="33"/>
  <c r="P23" i="43"/>
  <c r="B71" i="39"/>
  <c r="C5" i="71"/>
  <c r="D5" i="71"/>
  <c r="P25" i="43"/>
  <c r="C49" i="67"/>
  <c r="C49" i="15"/>
  <c r="C38" i="68"/>
  <c r="C35" i="68"/>
  <c r="B40" i="1"/>
  <c r="C18" i="67"/>
  <c r="C15" i="67"/>
  <c r="M11" i="15"/>
  <c r="J10" i="15"/>
  <c r="J5" i="15"/>
  <c r="F11" i="67"/>
  <c r="M11" i="67"/>
  <c r="J10" i="67"/>
  <c r="J5" i="67"/>
  <c r="Q73" i="67"/>
  <c r="Q60" i="67"/>
  <c r="P28" i="43"/>
  <c r="M28" i="43"/>
  <c r="N28" i="43"/>
  <c r="O28" i="43"/>
  <c r="Q60" i="15"/>
  <c r="Q73" i="15"/>
  <c r="Q74" i="15"/>
  <c r="Q61" i="15"/>
  <c r="Q61" i="67"/>
  <c r="Q74" i="67"/>
  <c r="AE6" i="1"/>
  <c r="C19" i="15"/>
  <c r="C20" i="15"/>
  <c r="C26" i="15"/>
  <c r="K24" i="6"/>
  <c r="M24" i="6"/>
  <c r="I24" i="6"/>
  <c r="S24" i="6"/>
  <c r="K21" i="6"/>
  <c r="M21" i="6"/>
  <c r="I21" i="6"/>
  <c r="S21" i="6"/>
  <c r="K22" i="6"/>
  <c r="M22" i="6"/>
  <c r="I22" i="6"/>
  <c r="S22" i="6"/>
  <c r="K25" i="6"/>
  <c r="M25" i="6"/>
  <c r="I25" i="6"/>
  <c r="S25" i="6"/>
  <c r="K26" i="6"/>
  <c r="M26" i="6"/>
  <c r="I26" i="6"/>
  <c r="S26" i="6"/>
  <c r="K23" i="6"/>
  <c r="M23" i="6"/>
  <c r="I23" i="6"/>
  <c r="S23" i="6"/>
  <c r="E31" i="6"/>
  <c r="K20" i="6"/>
  <c r="M20" i="6"/>
  <c r="I20" i="6"/>
  <c r="S20" i="6"/>
  <c r="C115" i="43"/>
  <c r="D113" i="43"/>
  <c r="C47" i="11"/>
  <c r="D45" i="11"/>
  <c r="C29" i="11"/>
  <c r="D27" i="11"/>
  <c r="D10" i="11"/>
  <c r="C10" i="11"/>
  <c r="D20" i="12"/>
  <c r="C20" i="12"/>
  <c r="C18" i="12"/>
  <c r="D10" i="69"/>
  <c r="D10" i="68"/>
  <c r="C8" i="74"/>
  <c r="C7" i="74"/>
  <c r="B2" i="33"/>
  <c r="B3" i="33"/>
  <c r="D17" i="12"/>
  <c r="C17" i="12"/>
  <c r="C14" i="12"/>
  <c r="C20" i="11"/>
  <c r="C28" i="11"/>
  <c r="C27" i="11"/>
  <c r="C15" i="12"/>
  <c r="C12" i="12"/>
  <c r="C29" i="68"/>
  <c r="D27" i="68"/>
  <c r="C47" i="68"/>
  <c r="D45" i="68"/>
  <c r="C47" i="69"/>
  <c r="D45" i="69"/>
  <c r="C29" i="69"/>
  <c r="D27" i="69"/>
  <c r="H20" i="6"/>
  <c r="D25" i="6"/>
  <c r="D15" i="6"/>
  <c r="D22" i="6"/>
  <c r="D21" i="6"/>
  <c r="D24" i="6"/>
  <c r="D20" i="6"/>
  <c r="R20" i="6"/>
  <c r="D6" i="6"/>
  <c r="D9" i="6"/>
  <c r="D10" i="6"/>
  <c r="L19" i="9"/>
  <c r="D29" i="6"/>
  <c r="H25" i="6"/>
  <c r="H22" i="6"/>
  <c r="H21" i="6"/>
  <c r="H24" i="6"/>
  <c r="M19" i="9"/>
  <c r="C118" i="9"/>
  <c r="C14" i="74"/>
  <c r="B2" i="74"/>
  <c r="D19" i="6"/>
  <c r="D26" i="6"/>
  <c r="C18" i="4"/>
  <c r="D8" i="6"/>
  <c r="D23" i="6"/>
  <c r="D14" i="6"/>
  <c r="D5" i="6"/>
  <c r="D12" i="6"/>
  <c r="D11" i="6"/>
  <c r="D13" i="6"/>
  <c r="D28" i="6"/>
  <c r="E61" i="40"/>
  <c r="H23" i="6"/>
  <c r="H26" i="6"/>
  <c r="I46" i="37"/>
  <c r="J46" i="37"/>
  <c r="R39" i="35"/>
  <c r="E38" i="35"/>
  <c r="E36" i="36"/>
  <c r="R37" i="36"/>
  <c r="G40" i="36"/>
  <c r="H40" i="36"/>
  <c r="G41" i="36"/>
  <c r="H41" i="36"/>
  <c r="F68" i="39"/>
  <c r="E70" i="39"/>
  <c r="O63" i="40"/>
  <c r="O65" i="40"/>
  <c r="N65" i="40"/>
  <c r="R43" i="37"/>
  <c r="E42" i="37"/>
  <c r="I47" i="37"/>
  <c r="J47" i="37"/>
  <c r="I41" i="36"/>
  <c r="J41" i="36"/>
  <c r="I40" i="36"/>
  <c r="J40" i="36"/>
  <c r="G46" i="37"/>
  <c r="H46" i="37"/>
  <c r="G47" i="37"/>
  <c r="H47" i="37"/>
  <c r="I42" i="35"/>
  <c r="J42" i="35"/>
  <c r="I43" i="35"/>
  <c r="J43" i="35"/>
  <c r="I59" i="34"/>
  <c r="G43" i="35"/>
  <c r="H43" i="35"/>
  <c r="G42" i="35"/>
  <c r="H42" i="35"/>
  <c r="F58" i="21"/>
  <c r="M20" i="43"/>
  <c r="C19" i="43"/>
  <c r="C19" i="67"/>
  <c r="C20" i="67"/>
  <c r="C26" i="67"/>
  <c r="J24" i="67"/>
  <c r="J26" i="67"/>
  <c r="J29" i="67"/>
  <c r="J18" i="67"/>
  <c r="C53" i="67"/>
  <c r="C48" i="67"/>
  <c r="C10" i="67"/>
  <c r="C5" i="67"/>
  <c r="J24" i="15"/>
  <c r="J18" i="15"/>
  <c r="J26" i="15"/>
  <c r="C53" i="15"/>
  <c r="C48" i="15"/>
  <c r="F24" i="67"/>
  <c r="C24" i="67"/>
  <c r="F22" i="68"/>
  <c r="F22" i="11"/>
  <c r="F22" i="69"/>
  <c r="F25" i="12"/>
  <c r="F24" i="15"/>
  <c r="C24" i="15"/>
  <c r="F41" i="15"/>
  <c r="F69" i="15"/>
  <c r="J29" i="15"/>
  <c r="D30" i="6"/>
  <c r="M19" i="6"/>
  <c r="K27" i="6"/>
  <c r="D16" i="6"/>
  <c r="R23" i="6"/>
  <c r="C4" i="52"/>
  <c r="B45" i="72"/>
  <c r="A10" i="51"/>
  <c r="B9" i="72"/>
  <c r="A7" i="51"/>
  <c r="B7" i="72"/>
  <c r="D27" i="6"/>
  <c r="D31" i="6"/>
  <c r="R21" i="6"/>
  <c r="C10" i="68"/>
  <c r="D19" i="68"/>
  <c r="R26" i="6"/>
  <c r="D7" i="74"/>
  <c r="D8" i="74"/>
  <c r="R24" i="6"/>
  <c r="R22" i="6"/>
  <c r="R25" i="6"/>
  <c r="C16" i="12"/>
  <c r="C21" i="12"/>
  <c r="C22" i="12"/>
  <c r="C30" i="12"/>
  <c r="C28" i="12"/>
  <c r="C10" i="69"/>
  <c r="C8" i="69"/>
  <c r="C5" i="69"/>
  <c r="C23" i="69"/>
  <c r="D19" i="69"/>
  <c r="G58" i="21"/>
  <c r="J59" i="34"/>
  <c r="C43" i="37"/>
  <c r="B2" i="37"/>
  <c r="B3" i="37"/>
  <c r="C42" i="37"/>
  <c r="G68" i="39"/>
  <c r="F70" i="39"/>
  <c r="E40" i="36"/>
  <c r="F40" i="36"/>
  <c r="E41" i="36"/>
  <c r="F41" i="36"/>
  <c r="C39" i="35"/>
  <c r="B2" i="35"/>
  <c r="B3" i="35"/>
  <c r="C38" i="35"/>
  <c r="E47" i="37"/>
  <c r="F47" i="37"/>
  <c r="E46" i="37"/>
  <c r="F46" i="37"/>
  <c r="F7" i="40"/>
  <c r="H7" i="40"/>
  <c r="J7" i="40"/>
  <c r="C37" i="36"/>
  <c r="B2" i="36"/>
  <c r="B3" i="36"/>
  <c r="C36" i="36"/>
  <c r="E43" i="35"/>
  <c r="F43" i="35"/>
  <c r="E42" i="35"/>
  <c r="F42" i="35"/>
  <c r="C26" i="68"/>
  <c r="D22" i="68"/>
  <c r="C44" i="68"/>
  <c r="D41" i="68"/>
  <c r="C38" i="15"/>
  <c r="C26" i="12"/>
  <c r="D25" i="12"/>
  <c r="C42" i="11"/>
  <c r="C44" i="11"/>
  <c r="D41" i="11"/>
  <c r="C23" i="11"/>
  <c r="C43" i="11"/>
  <c r="C26" i="11"/>
  <c r="D22" i="11"/>
  <c r="C24" i="11"/>
  <c r="C25" i="11"/>
  <c r="C23" i="67"/>
  <c r="C29" i="67"/>
  <c r="C66" i="15"/>
  <c r="C60" i="15"/>
  <c r="C60" i="67"/>
  <c r="C66" i="67"/>
  <c r="C44" i="69"/>
  <c r="D41" i="69"/>
  <c r="C26" i="69"/>
  <c r="D22" i="69"/>
  <c r="C23" i="15"/>
  <c r="C29" i="15"/>
  <c r="C38" i="67"/>
  <c r="C32" i="67"/>
  <c r="C27" i="12"/>
  <c r="C25" i="12"/>
  <c r="C32" i="12"/>
  <c r="B2" i="12"/>
  <c r="B3" i="12"/>
  <c r="M27" i="6"/>
  <c r="I19" i="6"/>
  <c r="C19" i="68"/>
  <c r="D37" i="68"/>
  <c r="C37" i="68"/>
  <c r="C33" i="68"/>
  <c r="C19" i="69"/>
  <c r="C24" i="69"/>
  <c r="D37" i="69"/>
  <c r="C37" i="69"/>
  <c r="C33" i="69"/>
  <c r="I5" i="6"/>
  <c r="I6" i="6"/>
  <c r="W7" i="40"/>
  <c r="AC7" i="40"/>
  <c r="V42" i="40"/>
  <c r="I42" i="40"/>
  <c r="U7" i="40"/>
  <c r="AB7" i="40"/>
  <c r="T42" i="40"/>
  <c r="G42" i="40"/>
  <c r="K59" i="34"/>
  <c r="H58" i="21"/>
  <c r="S7" i="40"/>
  <c r="AA7" i="40"/>
  <c r="R42" i="40"/>
  <c r="H68" i="39"/>
  <c r="G70" i="39"/>
  <c r="J19" i="15"/>
  <c r="Q49" i="15"/>
  <c r="C36" i="15"/>
  <c r="C57" i="15"/>
  <c r="J14" i="15"/>
  <c r="C13" i="15"/>
  <c r="J59" i="15"/>
  <c r="J60" i="15"/>
  <c r="C22" i="11"/>
  <c r="C31" i="11"/>
  <c r="C41" i="11"/>
  <c r="C49" i="11"/>
  <c r="C51" i="11"/>
  <c r="C33" i="67"/>
  <c r="C31" i="67"/>
  <c r="J14" i="67"/>
  <c r="C57" i="67"/>
  <c r="C13" i="67"/>
  <c r="J19" i="67"/>
  <c r="J17" i="67"/>
  <c r="Q49" i="67"/>
  <c r="C36" i="67"/>
  <c r="J59" i="67"/>
  <c r="J60" i="67"/>
  <c r="S19" i="6"/>
  <c r="S27" i="6"/>
  <c r="I27" i="6"/>
  <c r="H19" i="6"/>
  <c r="C24" i="68"/>
  <c r="C39" i="69"/>
  <c r="C42" i="69"/>
  <c r="C39" i="68"/>
  <c r="C43" i="68"/>
  <c r="C42" i="68"/>
  <c r="C20" i="69"/>
  <c r="E42" i="40"/>
  <c r="R43" i="40"/>
  <c r="I58" i="21"/>
  <c r="G46" i="40"/>
  <c r="H46" i="40"/>
  <c r="G47" i="40"/>
  <c r="H47" i="40"/>
  <c r="I46" i="40"/>
  <c r="J46" i="40"/>
  <c r="I47" i="40"/>
  <c r="J47" i="40"/>
  <c r="I68" i="39"/>
  <c r="H70" i="39"/>
  <c r="L59" i="34"/>
  <c r="C52" i="11"/>
  <c r="B2" i="11"/>
  <c r="B3" i="11"/>
  <c r="Q48" i="67"/>
  <c r="L46" i="67"/>
  <c r="C75" i="67"/>
  <c r="C37" i="67"/>
  <c r="C30" i="67"/>
  <c r="C39" i="67"/>
  <c r="Q70" i="67"/>
  <c r="C56" i="67"/>
  <c r="C65" i="67"/>
  <c r="J13" i="67"/>
  <c r="J23" i="67"/>
  <c r="J22" i="67"/>
  <c r="Q48" i="15"/>
  <c r="L46" i="15"/>
  <c r="J13" i="15"/>
  <c r="J23" i="15"/>
  <c r="J22" i="15"/>
  <c r="C61" i="67"/>
  <c r="C59" i="67"/>
  <c r="C64" i="67"/>
  <c r="Q70" i="15"/>
  <c r="C56" i="15"/>
  <c r="C65" i="15"/>
  <c r="C37" i="15"/>
  <c r="C75" i="15"/>
  <c r="C61" i="15"/>
  <c r="C64" i="15"/>
  <c r="C41" i="68"/>
  <c r="H27" i="6"/>
  <c r="R19" i="6"/>
  <c r="C56" i="11"/>
  <c r="C57" i="11"/>
  <c r="C46" i="68"/>
  <c r="C45" i="68"/>
  <c r="C28" i="69"/>
  <c r="C27" i="69"/>
  <c r="C25" i="69"/>
  <c r="C22" i="69"/>
  <c r="C46" i="69"/>
  <c r="C45" i="69"/>
  <c r="C43" i="69"/>
  <c r="C41" i="69"/>
  <c r="J68" i="39"/>
  <c r="I70" i="39"/>
  <c r="J58" i="21"/>
  <c r="E46" i="40"/>
  <c r="F46" i="40"/>
  <c r="E47" i="40"/>
  <c r="F47" i="40"/>
  <c r="M59" i="34"/>
  <c r="N59" i="34"/>
  <c r="O59" i="34"/>
  <c r="J7" i="34"/>
  <c r="C42" i="40"/>
  <c r="C43" i="40"/>
  <c r="J16" i="67"/>
  <c r="J25" i="67"/>
  <c r="C40" i="67"/>
  <c r="Q69" i="67"/>
  <c r="Q68" i="67"/>
  <c r="C58" i="67"/>
  <c r="C67" i="67"/>
  <c r="C68" i="67"/>
  <c r="C80" i="67"/>
  <c r="C79" i="67"/>
  <c r="L51" i="67"/>
  <c r="C49" i="68"/>
  <c r="C51" i="68"/>
  <c r="C31" i="69"/>
  <c r="C49" i="69"/>
  <c r="C51" i="69"/>
  <c r="R27" i="6"/>
  <c r="R6" i="1"/>
  <c r="B53" i="40"/>
  <c r="F53" i="40"/>
  <c r="F61" i="40"/>
  <c r="B2" i="40"/>
  <c r="B3" i="40"/>
  <c r="B58" i="40"/>
  <c r="F58" i="40"/>
  <c r="B52" i="40"/>
  <c r="F52" i="40"/>
  <c r="B51" i="40"/>
  <c r="F51" i="40"/>
  <c r="B55" i="40"/>
  <c r="F55" i="40"/>
  <c r="B60" i="40"/>
  <c r="F60" i="40"/>
  <c r="B57" i="40"/>
  <c r="F57" i="40"/>
  <c r="B59" i="40"/>
  <c r="F59" i="40"/>
  <c r="B56" i="40"/>
  <c r="F56" i="40"/>
  <c r="B54" i="40"/>
  <c r="F54" i="40"/>
  <c r="F7" i="34"/>
  <c r="K58" i="21"/>
  <c r="K68" i="39"/>
  <c r="J70" i="39"/>
  <c r="W7" i="34"/>
  <c r="AC7" i="34"/>
  <c r="V49" i="34"/>
  <c r="I49" i="34"/>
  <c r="H7" i="34"/>
  <c r="Q67" i="67"/>
  <c r="L57" i="67"/>
  <c r="L60" i="67"/>
  <c r="C71" i="67"/>
  <c r="C45" i="67"/>
  <c r="C46" i="67"/>
  <c r="Q56" i="67"/>
  <c r="Q47" i="67"/>
  <c r="Q53" i="67"/>
  <c r="Q65" i="67"/>
  <c r="C43" i="67"/>
  <c r="D2" i="67"/>
  <c r="C83" i="67"/>
  <c r="C82" i="67"/>
  <c r="F35" i="15"/>
  <c r="M21" i="15"/>
  <c r="J20" i="15"/>
  <c r="J17" i="15"/>
  <c r="J16" i="15"/>
  <c r="J25" i="15"/>
  <c r="F63" i="15"/>
  <c r="C62" i="15"/>
  <c r="C59" i="15"/>
  <c r="C58" i="15"/>
  <c r="C67" i="15"/>
  <c r="C68" i="15"/>
  <c r="C34" i="15"/>
  <c r="C31" i="15"/>
  <c r="C30" i="15"/>
  <c r="C39" i="15"/>
  <c r="R16" i="1"/>
  <c r="C52" i="69"/>
  <c r="B2" i="69"/>
  <c r="B3" i="69"/>
  <c r="I53" i="34"/>
  <c r="J53" i="34"/>
  <c r="AA7" i="34"/>
  <c r="R49" i="34"/>
  <c r="S7" i="34"/>
  <c r="U7" i="34"/>
  <c r="AB7" i="34"/>
  <c r="T49" i="34"/>
  <c r="G49" i="34"/>
  <c r="L68" i="39"/>
  <c r="K70" i="39"/>
  <c r="L58" i="21"/>
  <c r="Q66" i="67"/>
  <c r="Q75" i="67"/>
  <c r="Q57" i="67"/>
  <c r="Q62" i="67"/>
  <c r="B2" i="67"/>
  <c r="B3" i="67"/>
  <c r="L51" i="15"/>
  <c r="L57" i="15"/>
  <c r="L60" i="15"/>
  <c r="Q67" i="15"/>
  <c r="C71" i="15"/>
  <c r="C40" i="15"/>
  <c r="C80" i="15"/>
  <c r="C79" i="15"/>
  <c r="Q69" i="15"/>
  <c r="Q68" i="15"/>
  <c r="C57" i="69"/>
  <c r="C56" i="69"/>
  <c r="G53" i="34"/>
  <c r="H53" i="34"/>
  <c r="G54" i="34"/>
  <c r="H54" i="34"/>
  <c r="M58" i="21"/>
  <c r="N58" i="21"/>
  <c r="O58" i="21"/>
  <c r="F7" i="21"/>
  <c r="M68" i="39"/>
  <c r="L70" i="39"/>
  <c r="E49" i="34"/>
  <c r="R50" i="34"/>
  <c r="B2" i="15"/>
  <c r="Q47" i="15"/>
  <c r="Q53" i="15"/>
  <c r="C83" i="15"/>
  <c r="C82" i="15"/>
  <c r="Q65" i="15"/>
  <c r="C43" i="15"/>
  <c r="Q56" i="15"/>
  <c r="C46" i="15"/>
  <c r="Q66" i="15"/>
  <c r="Q75" i="15"/>
  <c r="Q57" i="15"/>
  <c r="S7" i="21"/>
  <c r="AA7" i="21"/>
  <c r="R48" i="21"/>
  <c r="C49" i="34"/>
  <c r="C50" i="34"/>
  <c r="B2" i="34"/>
  <c r="B3" i="34"/>
  <c r="E54" i="34"/>
  <c r="F54" i="34"/>
  <c r="E53" i="34"/>
  <c r="F53" i="34"/>
  <c r="I54" i="34"/>
  <c r="J54" i="34"/>
  <c r="N68" i="39"/>
  <c r="M70" i="39"/>
  <c r="J7" i="21"/>
  <c r="H7" i="21"/>
  <c r="C19" i="9"/>
  <c r="AO6" i="1"/>
  <c r="C102" i="9"/>
  <c r="C21" i="9"/>
  <c r="B6" i="70"/>
  <c r="B2" i="70"/>
  <c r="B3" i="70"/>
  <c r="B3" i="15"/>
  <c r="Q62" i="15"/>
  <c r="W7" i="21"/>
  <c r="AC7" i="21"/>
  <c r="V48" i="21"/>
  <c r="I48" i="21"/>
  <c r="O68" i="39"/>
  <c r="O70" i="39"/>
  <c r="N70" i="39"/>
  <c r="E48" i="21"/>
  <c r="AB7" i="21"/>
  <c r="T48" i="21"/>
  <c r="G48" i="21"/>
  <c r="U7" i="21"/>
  <c r="C20" i="9"/>
  <c r="C103" i="9"/>
  <c r="R49" i="21"/>
  <c r="C49" i="21"/>
  <c r="B2" i="21"/>
  <c r="F7" i="39"/>
  <c r="J7" i="39"/>
  <c r="H7" i="39"/>
  <c r="E52" i="21"/>
  <c r="F52" i="21"/>
  <c r="E53" i="21"/>
  <c r="F53" i="21"/>
  <c r="I52" i="21"/>
  <c r="J52" i="21"/>
  <c r="I53" i="21"/>
  <c r="J53" i="21"/>
  <c r="G52" i="21"/>
  <c r="H52" i="21"/>
  <c r="G53" i="21"/>
  <c r="H53" i="21"/>
  <c r="D19" i="9"/>
  <c r="D102" i="9"/>
  <c r="D21" i="9"/>
  <c r="D22" i="9"/>
  <c r="G19" i="9"/>
  <c r="B3" i="21"/>
  <c r="C48" i="21"/>
  <c r="AB7" i="39"/>
  <c r="T47" i="39"/>
  <c r="G47" i="39"/>
  <c r="U7" i="39"/>
  <c r="AC7" i="39"/>
  <c r="V47" i="39"/>
  <c r="I47" i="39"/>
  <c r="W7" i="39"/>
  <c r="S7" i="39"/>
  <c r="AA7" i="39"/>
  <c r="R47" i="39"/>
  <c r="D20" i="9"/>
  <c r="D103" i="9"/>
  <c r="G20" i="9"/>
  <c r="G21" i="9"/>
  <c r="C32" i="9"/>
  <c r="I51" i="39"/>
  <c r="J51" i="39"/>
  <c r="E47" i="39"/>
  <c r="R48" i="39"/>
  <c r="G51" i="39"/>
  <c r="H51" i="39"/>
  <c r="G52" i="39"/>
  <c r="H52" i="39"/>
  <c r="H118" i="9"/>
  <c r="E52" i="39"/>
  <c r="F52" i="39"/>
  <c r="E51" i="39"/>
  <c r="F51" i="39"/>
  <c r="C48" i="39"/>
  <c r="C47" i="39"/>
  <c r="I52" i="39"/>
  <c r="J52" i="39"/>
  <c r="D14" i="74"/>
  <c r="C104" i="9"/>
  <c r="H101" i="9"/>
  <c r="H119" i="9"/>
  <c r="H5" i="52"/>
  <c r="I118" i="9"/>
  <c r="H4" i="52"/>
  <c r="B61" i="39"/>
  <c r="F61" i="39"/>
  <c r="B56" i="39"/>
  <c r="F56" i="39"/>
  <c r="C6" i="68"/>
  <c r="C7" i="68"/>
  <c r="C5" i="68"/>
  <c r="B59" i="39"/>
  <c r="F59" i="39"/>
  <c r="B65" i="39"/>
  <c r="F65" i="39"/>
  <c r="B63" i="39"/>
  <c r="F63" i="39"/>
  <c r="B60" i="39"/>
  <c r="F60" i="39"/>
  <c r="B58" i="39"/>
  <c r="F58" i="39"/>
  <c r="B64" i="39"/>
  <c r="F64" i="39"/>
  <c r="B57" i="39"/>
  <c r="F57" i="39"/>
  <c r="B62" i="39"/>
  <c r="F62" i="39"/>
  <c r="C23" i="68"/>
  <c r="C20" i="68"/>
  <c r="C25" i="68"/>
  <c r="C28" i="68"/>
  <c r="C27" i="68"/>
  <c r="I4" i="52"/>
  <c r="C105" i="9"/>
  <c r="H102" i="9"/>
  <c r="D7" i="53"/>
  <c r="B21" i="72"/>
  <c r="D45" i="9"/>
  <c r="H107" i="9"/>
  <c r="M48" i="9"/>
  <c r="D5" i="53"/>
  <c r="E14" i="74"/>
  <c r="B5" i="74"/>
  <c r="F14" i="74"/>
  <c r="F66" i="39"/>
  <c r="B2" i="39"/>
  <c r="B3" i="39"/>
  <c r="C22" i="68"/>
  <c r="C31" i="68"/>
  <c r="C52" i="68"/>
  <c r="B2" i="68"/>
  <c r="D55" i="9"/>
  <c r="M53" i="9"/>
  <c r="C78" i="9"/>
  <c r="C73" i="9"/>
  <c r="C64" i="9"/>
  <c r="C63" i="9"/>
  <c r="C67" i="9"/>
  <c r="C68" i="9"/>
  <c r="D54" i="9"/>
  <c r="C85" i="9"/>
  <c r="C93" i="9"/>
  <c r="C86" i="9"/>
  <c r="D53" i="9"/>
  <c r="D52" i="9"/>
  <c r="C72" i="9"/>
  <c r="D5" i="74"/>
  <c r="C5" i="74"/>
  <c r="B20" i="72"/>
  <c r="D6" i="53"/>
  <c r="B22" i="72"/>
  <c r="D122" i="9"/>
  <c r="H108" i="9"/>
  <c r="D15" i="53"/>
  <c r="B31" i="72"/>
  <c r="D13" i="53"/>
  <c r="C79" i="9"/>
  <c r="C57" i="68"/>
  <c r="C56" i="68"/>
  <c r="B3" i="68"/>
  <c r="D14" i="53"/>
  <c r="B32" i="72"/>
  <c r="B30" i="72"/>
  <c r="D8" i="52"/>
  <c r="G14" i="74"/>
  <c r="B6" i="74"/>
  <c r="D123" i="9"/>
  <c r="D9" i="52"/>
  <c r="C80" i="9"/>
  <c r="E80" i="9"/>
  <c r="E81" i="9"/>
  <c r="C95" i="9"/>
  <c r="D34" i="9"/>
  <c r="D35" i="9"/>
  <c r="C35" i="9"/>
  <c r="C81" i="9"/>
  <c r="C96" i="9"/>
  <c r="E96" i="9"/>
  <c r="E97" i="9"/>
  <c r="D6" i="74"/>
  <c r="C6" i="74"/>
  <c r="F118" i="9"/>
  <c r="C34" i="9"/>
  <c r="D118" i="9"/>
  <c r="C97" i="9"/>
  <c r="D58" i="9"/>
  <c r="D56" i="9"/>
  <c r="M54" i="9"/>
  <c r="N57" i="9"/>
  <c r="N59" i="9"/>
  <c r="D119" i="9"/>
  <c r="D5" i="52"/>
  <c r="B49" i="72"/>
  <c r="D4" i="52"/>
  <c r="B47" i="72"/>
  <c r="G118" i="9"/>
  <c r="F119" i="9"/>
  <c r="F5" i="52"/>
  <c r="B53" i="72"/>
  <c r="F4" i="52"/>
  <c r="B51" i="72"/>
  <c r="P57" i="9"/>
  <c r="N58" i="9"/>
  <c r="N61" i="9"/>
  <c r="N60" i="9"/>
  <c r="G4" i="52"/>
  <c r="B52" i="72"/>
  <c r="E118" i="9"/>
  <c r="E4" i="52"/>
  <c r="B48" i="72"/>
  <c r="E17" i="43"/>
  <c r="C16" i="43"/>
  <c r="C5" i="43"/>
  <c r="C29" i="43"/>
  <c r="E29" i="43"/>
  <c r="D5" i="43"/>
  <c r="C33" i="43"/>
  <c r="E33" i="43"/>
  <c r="C26" i="43"/>
  <c r="B2" i="43"/>
  <c r="B6" i="76"/>
  <c r="B2" i="76"/>
  <c r="C30" i="43"/>
  <c r="E30" i="43"/>
  <c r="G33" i="43"/>
  <c r="I33" i="43"/>
  <c r="C27" i="43"/>
  <c r="C34" i="43"/>
  <c r="C35" i="43"/>
  <c r="C36" i="43"/>
  <c r="C37" i="43"/>
  <c r="C38" i="43"/>
  <c r="C39" i="43"/>
  <c r="E6" i="76"/>
  <c r="E2" i="76"/>
  <c r="B3" i="76"/>
  <c r="B3" i="43"/>
  <c r="E37" i="43"/>
  <c r="G37" i="43"/>
  <c r="I37" i="43"/>
  <c r="E35" i="43"/>
  <c r="G35" i="43"/>
  <c r="I35" i="43"/>
  <c r="E36" i="43"/>
  <c r="G36" i="43"/>
  <c r="I36" i="43"/>
  <c r="G38" i="43"/>
  <c r="I38" i="43"/>
  <c r="E38" i="43"/>
  <c r="E39" i="43"/>
  <c r="G39" i="43"/>
  <c r="I39" i="43"/>
  <c r="E34" i="43"/>
  <c r="G34" i="43"/>
  <c r="I34" i="43"/>
  <c r="T16" i="43"/>
  <c r="V16" i="43"/>
  <c r="T3" i="43"/>
  <c r="V3" i="43"/>
  <c r="T15" i="43"/>
  <c r="V15" i="43"/>
  <c r="T6" i="43"/>
  <c r="V6" i="43"/>
  <c r="T9" i="43"/>
  <c r="V9" i="43"/>
  <c r="T5" i="43"/>
  <c r="V5" i="43"/>
  <c r="T7" i="43"/>
  <c r="V7" i="43"/>
  <c r="T12" i="43"/>
  <c r="V12" i="43"/>
  <c r="T2" i="43"/>
  <c r="V2" i="43"/>
  <c r="T10" i="43"/>
  <c r="V10" i="43"/>
  <c r="T11" i="43"/>
  <c r="V11" i="43"/>
  <c r="T8" i="43"/>
  <c r="V8" i="43"/>
  <c r="T4" i="43"/>
  <c r="V4" i="43"/>
  <c r="T13" i="43"/>
  <c r="V13" i="43"/>
  <c r="T14" i="43"/>
  <c r="V14"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<sst xmlns="http://schemas.openxmlformats.org/spreadsheetml/2006/main" count="7660" uniqueCount="3228">
  <si>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</si>
  <si>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</si>
  <si>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</si>
  <si>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</si>
  <si>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</si>
  <si>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</si>
  <si>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</si>
  <si>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</si>
  <si>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</si>
  <si>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</si>
  <si>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</si>
  <si>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</si>
  <si>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</si>
  <si>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</si>
  <si>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</si>
  <si>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</si>
  <si>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</si>
  <si>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</si>
  <si>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</si>
  <si>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</si>
  <si>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</si>
  <si>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</si>
  <si>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</si>
  <si>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</si>
  <si>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</si>
  <si>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</si>
  <si>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</si>
  <si>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</si>
  <si>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</si>
  <si>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</si>
  <si>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</si>
  <si>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</si>
  <si>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</si>
  <si>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</si>
  <si>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</si>
  <si>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</si>
  <si>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</si>
  <si>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</si>
  <si>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</si>
  <si>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</si>
  <si>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</si>
  <si>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</si>
  <si>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</si>
  <si>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</si>
  <si>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</si>
  <si>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</si>
  <si>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</si>
  <si>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</si>
  <si>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</si>
  <si>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</si>
  <si>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</si>
  <si>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</si>
  <si>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</si>
  <si>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</si>
  <si>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</si>
  <si>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</si>
  <si>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</si>
  <si>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</si>
  <si>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</si>
  <si>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</si>
  <si>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</si>
  <si>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</si>
  <si>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</si>
  <si>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</si>
  <si>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</si>
  <si>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</si>
  <si>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</si>
  <si>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</si>
  <si>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</si>
  <si>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</si>
  <si>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</si>
  <si>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</si>
  <si>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</si>
  <si>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</si>
  <si>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</si>
  <si>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</si>
  <si>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</si>
  <si>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</si>
  <si>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</si>
  <si>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</si>
  <si>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</si>
  <si>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</si>
  <si>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</si>
  <si>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</si>
  <si>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</si>
  <si>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</si>
  <si>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</si>
  <si>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</si>
  <si>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</si>
  <si>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</si>
  <si>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</si>
  <si>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</si>
  <si>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</si>
  <si>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</si>
  <si>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</si>
  <si>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</si>
  <si>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</si>
  <si>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</si>
  <si>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</si>
  <si>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</si>
  <si>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</si>
  <si>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</si>
  <si>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</si>
  <si>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</si>
  <si>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</si>
  <si>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</si>
  <si>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</si>
  <si>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</si>
  <si>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</si>
  <si>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</si>
  <si>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</si>
  <si>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</si>
  <si>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</si>
  <si>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</si>
  <si>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</si>
  <si>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</si>
  <si>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</si>
  <si>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</si>
  <si>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</si>
  <si>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</si>
  <si>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</si>
  <si>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</si>
  <si>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</si>
  <si>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</si>
  <si>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</si>
  <si>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</si>
  <si>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</si>
  <si>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</si>
  <si>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</si>
  <si>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</si>
  <si>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</si>
  <si>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</si>
  <si>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</si>
  <si>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</si>
  <si>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</si>
  <si>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</si>
  <si>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</si>
  <si>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</si>
  <si>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</si>
  <si>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</si>
  <si>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</si>
  <si>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</si>
  <si>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</si>
  <si>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</si>
  <si>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</si>
  <si>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</si>
  <si>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</si>
  <si>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</si>
  <si>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</si>
  <si>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</si>
  <si>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</si>
  <si>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</si>
  <si>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</si>
  <si>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</si>
  <si>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</si>
  <si>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</si>
  <si>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</si>
  <si>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</si>
  <si>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</si>
  <si>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</si>
  <si>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</si>
  <si>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</si>
  <si>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</si>
  <si>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</si>
  <si>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</si>
  <si>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</si>
  <si>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</si>
  <si>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</si>
  <si>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</si>
  <si>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</si>
  <si>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</si>
  <si>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</si>
  <si>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</si>
  <si>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</si>
  <si>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</si>
  <si>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</si>
  <si>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</si>
  <si>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</si>
  <si>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</si>
  <si>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</si>
  <si>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</si>
  <si>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</si>
  <si>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</si>
  <si>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</si>
  <si>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</si>
  <si>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</si>
  <si>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</si>
  <si>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</si>
  <si>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</si>
  <si>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</si>
  <si>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</si>
  <si>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</si>
  <si>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</si>
  <si>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</si>
  <si>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</si>
  <si>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</si>
  <si>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</si>
  <si>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</si>
  <si>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</si>
  <si>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</si>
  <si>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</si>
  <si>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</si>
  <si>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</si>
  <si>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</si>
  <si>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</si>
  <si>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</si>
  <si>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</si>
  <si>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</si>
  <si>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</si>
  <si>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</si>
  <si>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</si>
  <si>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</si>
  <si>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</si>
  <si>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</si>
  <si>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</si>
  <si>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</si>
  <si>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</si>
  <si>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</si>
  <si>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</si>
  <si>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</si>
  <si>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</si>
  <si>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</si>
  <si>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</si>
  <si>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</si>
  <si>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</si>
  <si>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</si>
  <si>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</si>
  <si>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</si>
  <si>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</si>
  <si>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</si>
  <si>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</si>
  <si>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</si>
  <si>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</si>
  <si>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</si>
  <si>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</si>
  <si>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</si>
  <si>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</si>
  <si>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</si>
  <si>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</si>
  <si>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</si>
  <si>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</si>
  <si>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</si>
  <si>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</si>
  <si>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</si>
  <si>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</si>
  <si>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</si>
  <si>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</si>
  <si>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</si>
  <si>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</si>
  <si>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</si>
  <si>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</si>
  <si>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</si>
  <si>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</si>
  <si>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</si>
  <si>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</si>
  <si>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</si>
  <si>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</si>
  <si>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</si>
  <si>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</si>
  <si>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</si>
  <si>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</si>
  <si>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</si>
  <si>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</si>
  <si>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</si>
  <si>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</si>
  <si>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</si>
  <si>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</si>
  <si>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</si>
  <si>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</si>
  <si>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</si>
  <si>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</si>
  <si>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</si>
  <si>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</si>
  <si>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</si>
  <si>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</si>
  <si>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</si>
  <si>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</si>
  <si>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</si>
  <si>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</si>
  <si>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</si>
  <si>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</si>
  <si>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</si>
  <si>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</si>
  <si>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</si>
  <si>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</si>
  <si>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</si>
  <si>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</si>
  <si>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</si>
  <si>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</si>
  <si>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</si>
  <si>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</si>
  <si>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</si>
  <si>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</si>
  <si>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</si>
  <si>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</si>
  <si>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</si>
  <si>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</si>
  <si>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</si>
  <si>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</si>
  <si>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</si>
  <si>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</si>
  <si>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</si>
  <si>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</si>
  <si>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</si>
  <si>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</si>
  <si>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</si>
  <si>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</si>
  <si>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</si>
  <si>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</si>
  <si>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</si>
  <si>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</si>
  <si>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</si>
  <si>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</si>
  <si>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</si>
  <si>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</si>
  <si>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</si>
  <si>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</si>
  <si>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</si>
  <si>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</si>
  <si>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</si>
  <si>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</si>
  <si>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</si>
  <si>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</si>
  <si>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</si>
  <si>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</si>
  <si>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</si>
  <si>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</si>
  <si>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</si>
  <si>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</si>
  <si>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</si>
  <si>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</si>
  <si>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</si>
  <si>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</si>
  <si>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</si>
  <si>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</si>
  <si>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</si>
  <si>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</si>
  <si>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</si>
  <si>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</si>
  <si>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</si>
  <si>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</si>
  <si>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</si>
  <si>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</si>
  <si>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</si>
  <si>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</si>
  <si>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</si>
  <si>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</si>
  <si>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</si>
  <si>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</si>
  <si>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</si>
  <si>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</si>
  <si>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</si>
  <si>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</si>
  <si>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</si>
  <si>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</si>
  <si>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</si>
  <si>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</si>
  <si>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</si>
  <si>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</si>
  <si>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</si>
  <si>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</si>
  <si>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</si>
  <si>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</si>
  <si>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</si>
  <si>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</si>
  <si>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</si>
  <si>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</si>
  <si>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</si>
  <si>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</si>
  <si>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</si>
  <si>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</si>
  <si>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</si>
  <si>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</si>
  <si>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</si>
  <si>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</si>
  <si>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</si>
  <si>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</si>
  <si>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</si>
  <si>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</si>
  <si>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</si>
  <si>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</si>
  <si>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</si>
  <si>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</si>
  <si>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</si>
  <si>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</si>
  <si>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</si>
  <si>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</si>
  <si>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</si>
  <si>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</si>
  <si>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</si>
  <si>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</si>
  <si>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</si>
  <si>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</si>
  <si>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</si>
  <si>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</si>
  <si>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</si>
  <si>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</si>
  <si>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</si>
  <si>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</si>
  <si>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</si>
  <si>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</si>
  <si>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</si>
  <si>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</si>
  <si>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</si>
  <si>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</si>
  <si>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</si>
  <si>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</si>
  <si>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</si>
  <si>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</si>
  <si>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</si>
  <si>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</si>
  <si>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</si>
  <si>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</si>
  <si>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</si>
  <si>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</si>
  <si>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</si>
  <si>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</si>
  <si>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</si>
  <si>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</si>
  <si>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</si>
  <si>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</si>
  <si>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</si>
  <si>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</si>
  <si>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</si>
  <si>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</si>
  <si>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</si>
  <si>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</si>
  <si>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</si>
  <si>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</si>
  <si>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</si>
  <si>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</si>
  <si>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</si>
  <si>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</si>
  <si>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</si>
  <si>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</si>
  <si>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</si>
  <si>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</si>
  <si>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</si>
  <si>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</si>
  <si>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</si>
  <si>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</si>
  <si>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</si>
  <si>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</si>
  <si>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</si>
  <si>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</si>
  <si>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</si>
  <si>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</si>
  <si>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</si>
  <si>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</si>
  <si>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</si>
  <si>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</si>
  <si>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</si>
  <si>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</si>
  <si>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</si>
  <si>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</si>
  <si>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</si>
  <si>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</si>
  <si>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</si>
  <si>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</si>
  <si>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</si>
  <si>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</si>
  <si>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</si>
  <si>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</si>
  <si>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</si>
  <si>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</si>
  <si>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</si>
  <si>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</si>
  <si>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</si>
  <si>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</si>
  <si>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</si>
  <si>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</si>
  <si>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</si>
  <si>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</si>
  <si>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</si>
  <si>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</si>
  <si>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</si>
  <si>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</si>
  <si>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</si>
  <si>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</si>
  <si>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</si>
  <si>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</si>
  <si>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</si>
  <si>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</si>
  <si>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</si>
  <si>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</si>
  <si>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</si>
  <si>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</si>
  <si>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</si>
  <si>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</si>
  <si>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</si>
  <si>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</si>
  <si>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</si>
  <si>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</si>
  <si>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</si>
  <si>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</si>
  <si>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</si>
  <si>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</si>
  <si>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</si>
  <si>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</si>
  <si>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</si>
  <si>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</si>
  <si>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</si>
  <si>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</si>
  <si>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</si>
  <si>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</si>
  <si>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</si>
  <si>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</si>
  <si>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</si>
  <si>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</si>
  <si>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</si>
  <si>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</si>
  <si>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</si>
  <si>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</si>
  <si>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</si>
  <si>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</si>
  <si>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</si>
  <si>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</si>
  <si>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</si>
  <si>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</si>
  <si>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</si>
  <si>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</si>
  <si>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</si>
  <si>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</si>
  <si>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</si>
  <si>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</si>
  <si>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</si>
  <si>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</si>
  <si>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</si>
  <si>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</si>
  <si>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</si>
  <si>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</si>
  <si>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</si>
  <si>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</si>
  <si>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</si>
  <si>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</si>
  <si>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</si>
  <si>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</si>
  <si>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</si>
  <si>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</si>
  <si>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</si>
  <si>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</si>
  <si>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</si>
  <si>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</si>
  <si>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</si>
  <si>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</si>
  <si>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</si>
  <si>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</si>
  <si>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</si>
  <si>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</si>
  <si>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</si>
  <si>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</si>
  <si>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</si>
  <si>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</si>
  <si>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</si>
  <si>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</si>
  <si>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</si>
  <si>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</si>
  <si>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</si>
  <si>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</si>
  <si>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</si>
  <si>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</si>
  <si>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</si>
  <si>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</si>
  <si>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</si>
  <si>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</si>
  <si>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</si>
  <si>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</si>
  <si>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</si>
  <si>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</si>
  <si>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</si>
  <si>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</si>
  <si>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</si>
  <si>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</si>
  <si>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</si>
  <si>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</si>
  <si>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</si>
  <si>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</si>
  <si>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</si>
  <si>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</si>
  <si>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</si>
  <si>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</si>
  <si>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</si>
  <si>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</si>
  <si>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</si>
  <si>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</si>
  <si>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</si>
  <si>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</si>
  <si>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</si>
  <si>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</si>
  <si>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</si>
  <si>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</si>
  <si>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</si>
  <si>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</si>
  <si>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</si>
  <si>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</si>
  <si>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</si>
  <si>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</si>
  <si>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</si>
  <si>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</si>
  <si>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</si>
  <si>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</si>
  <si>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</si>
  <si>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</si>
  <si>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</si>
  <si>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</si>
  <si>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</si>
  <si>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</si>
  <si>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</si>
  <si>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</si>
  <si>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</si>
  <si>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</si>
  <si>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</si>
  <si>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</si>
  <si>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</si>
  <si>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</si>
  <si>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</si>
  <si>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</si>
  <si>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</si>
  <si>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</si>
  <si>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</si>
  <si>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</si>
  <si>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</si>
  <si>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</si>
  <si>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</si>
  <si>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</si>
  <si>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</si>
  <si>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</si>
  <si>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</si>
  <si>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</si>
  <si>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</si>
  <si>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</si>
  <si>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</si>
  <si>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</si>
  <si>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</si>
  <si>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</si>
  <si>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</si>
  <si>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</si>
  <si>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</si>
  <si>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</si>
  <si>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</si>
  <si>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</si>
  <si>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</si>
  <si>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</si>
  <si>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</si>
  <si>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</si>
  <si>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</si>
  <si>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</si>
  <si>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</si>
  <si>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</si>
  <si>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</si>
  <si>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</si>
  <si>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</si>
  <si>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</si>
  <si>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</si>
  <si>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</si>
  <si>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</si>
  <si>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</si>
  <si>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</si>
  <si>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</si>
  <si>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</si>
  <si>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</si>
  <si>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</si>
  <si>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</si>
  <si>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</si>
  <si>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</si>
  <si>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</si>
  <si>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</si>
  <si>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</si>
  <si>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</si>
  <si>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</si>
  <si>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</si>
  <si>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</si>
  <si>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</si>
  <si>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</si>
  <si>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</si>
  <si>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</si>
  <si>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</si>
  <si>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</si>
  <si>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</si>
  <si>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</si>
  <si>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</si>
  <si>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</si>
  <si>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</si>
  <si>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</si>
  <si>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</si>
  <si>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</si>
  <si>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</si>
  <si>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</si>
  <si>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</si>
  <si>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</si>
  <si>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</si>
  <si>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</si>
  <si>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</si>
  <si>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</si>
  <si>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</si>
  <si>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</si>
  <si>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</si>
  <si>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</si>
  <si>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</si>
  <si>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</si>
  <si>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</si>
  <si>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</si>
  <si>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</si>
  <si>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</si>
  <si>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</si>
  <si>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</si>
  <si>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</si>
  <si>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</si>
  <si>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</si>
  <si>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</si>
  <si>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</si>
  <si>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</si>
  <si>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</si>
  <si>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</si>
  <si>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</si>
  <si>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</si>
  <si>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</si>
  <si>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</si>
  <si>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</si>
  <si>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</si>
  <si>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</si>
  <si>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</si>
  <si>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</si>
  <si>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</si>
  <si>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</si>
  <si>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</si>
  <si>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</si>
  <si>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</si>
  <si>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</si>
  <si>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</si>
  <si>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</si>
  <si>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</si>
  <si>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</si>
  <si>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</si>
  <si>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</si>
  <si>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</si>
  <si>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</si>
  <si>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</si>
  <si>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</si>
  <si>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</si>
  <si>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</si>
  <si>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</si>
  <si>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</si>
  <si>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</si>
  <si>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</si>
  <si>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</si>
  <si>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</si>
  <si>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</si>
  <si>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</si>
  <si>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</si>
  <si>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</si>
  <si>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</si>
  <si>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</si>
  <si>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</si>
  <si>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</si>
  <si>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</si>
  <si>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</si>
  <si>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</si>
  <si>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</si>
  <si>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</si>
  <si>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</si>
  <si>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</si>
  <si>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</si>
  <si>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</si>
  <si>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</si>
  <si>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</si>
  <si>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</si>
  <si>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</si>
  <si>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</si>
  <si>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</si>
  <si>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</si>
  <si>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</si>
  <si>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</si>
  <si>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</si>
  <si>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</si>
  <si>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</si>
  <si>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</si>
  <si>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</si>
  <si>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</si>
  <si>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</si>
  <si>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</si>
  <si>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</si>
  <si>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</si>
  <si>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</si>
  <si>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</si>
  <si>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</si>
  <si>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</si>
  <si>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</si>
  <si>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</si>
  <si>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</si>
  <si>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</si>
  <si>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</si>
  <si>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</si>
  <si>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</si>
  <si>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</si>
  <si>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</si>
  <si>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</si>
  <si>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</si>
  <si>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</si>
  <si>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</si>
  <si>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</si>
  <si>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</si>
  <si>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</si>
  <si>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</si>
  <si>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</si>
  <si>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</si>
  <si>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</si>
  <si>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</si>
  <si>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</si>
  <si>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</si>
  <si>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</si>
  <si>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</si>
  <si>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</si>
  <si>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</si>
  <si>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</si>
  <si>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</si>
  <si>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</si>
  <si>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</si>
  <si>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</si>
  <si>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</si>
  <si>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</si>
  <si>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</si>
  <si>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</si>
  <si>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</si>
  <si>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</si>
  <si>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</si>
  <si>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</si>
  <si>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</si>
  <si>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</si>
  <si>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</si>
  <si>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</si>
  <si>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</si>
  <si>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</si>
  <si>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</si>
  <si>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</si>
  <si>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</si>
  <si>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</si>
  <si>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</si>
  <si>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</si>
  <si>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</si>
  <si>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</si>
  <si>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</si>
  <si>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</si>
  <si>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</si>
  <si>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</si>
  <si>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</si>
  <si>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</si>
  <si>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</si>
  <si>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</si>
  <si>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</si>
  <si>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</si>
  <si>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</si>
  <si>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</si>
  <si>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</si>
  <si>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</si>
  <si>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</si>
  <si>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</si>
  <si>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</si>
  <si>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</si>
  <si>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</si>
  <si>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</si>
  <si>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</si>
  <si>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</si>
  <si>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</si>
  <si>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</si>
  <si>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</si>
  <si>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</si>
  <si>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</si>
  <si>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</si>
  <si>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</si>
  <si>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</si>
  <si>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</si>
  <si>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</si>
  <si>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</si>
  <si>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</si>
  <si>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</si>
  <si>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</si>
  <si>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</si>
  <si>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</si>
  <si>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</si>
  <si>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</si>
  <si>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</si>
  <si>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</si>
  <si>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</si>
  <si>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</si>
  <si>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</si>
  <si>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</si>
  <si>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</si>
  <si>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</si>
  <si>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</si>
  <si>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</si>
  <si>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</si>
  <si>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</si>
  <si>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</si>
  <si>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</si>
  <si>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</si>
  <si>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</si>
  <si>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</si>
  <si>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</si>
  <si>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</si>
  <si>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</si>
  <si>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</si>
  <si>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</si>
  <si>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</si>
  <si>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</si>
  <si>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</si>
  <si>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</si>
  <si>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</si>
  <si>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</si>
  <si>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</si>
  <si>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</si>
  <si>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</si>
  <si>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</si>
  <si>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</si>
  <si>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</si>
  <si>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</si>
  <si>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</si>
  <si>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</si>
  <si>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</si>
  <si>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</si>
  <si>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</si>
  <si>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</si>
  <si>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</si>
  <si>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</si>
  <si>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</si>
  <si>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</si>
  <si>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</si>
  <si>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</si>
  <si>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</si>
  <si>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</si>
  <si>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</si>
  <si>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</si>
  <si>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</si>
  <si>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</si>
  <si>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</si>
  <si>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</si>
  <si>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</si>
  <si>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</si>
  <si>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</si>
  <si>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</si>
  <si>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</si>
  <si>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</si>
  <si>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</si>
  <si>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</si>
  <si>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</si>
  <si>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</si>
  <si>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</si>
  <si>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</si>
  <si>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</si>
  <si>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</si>
  <si>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</si>
  <si>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</si>
  <si>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</si>
  <si>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</si>
  <si>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</si>
  <si>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</si>
  <si>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</si>
  <si>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</si>
  <si>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</si>
  <si>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</si>
  <si>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</si>
  <si>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</si>
  <si>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</si>
  <si>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</si>
  <si>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</si>
  <si>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</si>
  <si>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</si>
  <si>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</si>
  <si>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</si>
  <si>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</si>
  <si>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</si>
  <si>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</si>
  <si>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</si>
  <si>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</si>
  <si>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</si>
  <si>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</si>
  <si>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</si>
  <si>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</si>
  <si>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</si>
  <si>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</si>
  <si>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</si>
  <si>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</si>
  <si>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</si>
  <si>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</si>
  <si>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</si>
  <si>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</si>
  <si>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</si>
  <si>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</si>
  <si>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</si>
  <si>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</si>
  <si>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</si>
  <si>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</si>
  <si>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</si>
  <si>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</si>
  <si>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</si>
  <si>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</si>
  <si>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</si>
  <si>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</si>
  <si>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</si>
  <si>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</si>
  <si>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</si>
  <si>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</si>
  <si>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</si>
  <si>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</si>
  <si>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</si>
  <si>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</si>
  <si>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</si>
  <si>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</si>
  <si>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</si>
  <si>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</si>
  <si>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</si>
  <si>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</si>
  <si>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</si>
  <si>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</si>
  <si>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</si>
  <si>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</si>
  <si>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</si>
  <si>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</si>
  <si>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</si>
  <si>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</si>
  <si>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</si>
  <si>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</si>
  <si>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</si>
  <si>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</si>
  <si>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</si>
  <si>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</si>
  <si>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</si>
  <si>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</si>
  <si>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</si>
  <si>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</si>
  <si>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</si>
  <si>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</si>
  <si>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</si>
  <si>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</si>
  <si>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</si>
  <si>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</si>
  <si>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</si>
  <si>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</si>
  <si>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</si>
  <si>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</si>
  <si>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</si>
  <si>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</si>
  <si>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</si>
  <si>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</si>
  <si>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</si>
  <si>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</si>
  <si>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</si>
  <si>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</si>
  <si>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</si>
  <si>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</si>
  <si>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</si>
  <si>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</si>
  <si>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</si>
  <si>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</si>
  <si>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</si>
  <si>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</si>
  <si>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</si>
  <si>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</si>
  <si>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</si>
  <si>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</si>
  <si>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</si>
  <si>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</si>
  <si>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</si>
  <si>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</si>
  <si>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</si>
  <si>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</si>
  <si>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</si>
  <si>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</si>
  <si>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</si>
  <si>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</si>
  <si>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</si>
  <si>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</si>
  <si>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</si>
  <si>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</si>
  <si>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</si>
  <si>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</si>
  <si>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</si>
  <si>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</si>
  <si>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</si>
  <si>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</si>
  <si>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</si>
  <si>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</si>
  <si>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</si>
  <si>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</si>
  <si>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</si>
  <si>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</si>
  <si>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</si>
  <si>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</si>
  <si>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</si>
  <si>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</si>
  <si>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</si>
  <si>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</si>
  <si>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</si>
  <si>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</si>
  <si>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</si>
  <si>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</si>
  <si>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</si>
  <si>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</si>
  <si>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</si>
  <si>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</si>
  <si>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</si>
  <si>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</si>
  <si>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</si>
  <si>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</si>
  <si>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</si>
  <si>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</si>
  <si>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</si>
  <si>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</si>
  <si>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</si>
  <si>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</si>
  <si>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</si>
  <si>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</si>
  <si>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</si>
  <si>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</si>
  <si>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</si>
  <si>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</si>
  <si>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</si>
  <si>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</si>
  <si>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</si>
  <si>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</si>
  <si>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</si>
  <si>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</si>
  <si>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</si>
  <si>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</si>
  <si>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</si>
  <si>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</si>
  <si>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</si>
  <si>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</si>
  <si>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</si>
  <si>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</si>
  <si>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</si>
  <si>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</si>
  <si>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</si>
  <si>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</si>
  <si>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</si>
  <si>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</si>
  <si>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</si>
  <si>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</si>
  <si>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</si>
  <si>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</si>
  <si>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</si>
  <si>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</si>
  <si>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</si>
  <si>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</si>
  <si>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</si>
  <si>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</si>
  <si>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</si>
  <si>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</si>
  <si>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</si>
  <si>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</si>
  <si>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</si>
  <si>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</si>
  <si>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</si>
  <si>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</si>
  <si>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</si>
  <si>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</si>
  <si>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</si>
  <si>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</si>
  <si>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</si>
  <si>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</si>
  <si>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</si>
  <si>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</si>
  <si>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</si>
  <si>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</si>
  <si>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</si>
  <si>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</si>
  <si>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</si>
  <si>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</si>
  <si>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</si>
  <si>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</si>
  <si>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</si>
  <si>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</si>
  <si>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</si>
  <si>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</si>
  <si>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</si>
  <si>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</si>
  <si>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</si>
  <si>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</si>
  <si>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</si>
  <si>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</si>
  <si>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</si>
  <si>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</si>
  <si>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</si>
  <si>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</si>
  <si>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</si>
  <si>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</si>
  <si>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</si>
  <si>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</si>
  <si>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</si>
  <si>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</si>
  <si>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</si>
  <si>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</si>
  <si>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</si>
  <si>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</si>
  <si>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</si>
  <si>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</si>
  <si>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</si>
  <si>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</si>
  <si>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</si>
  <si>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</si>
  <si>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</si>
  <si>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</si>
  <si>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</si>
  <si>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</si>
  <si>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</si>
  <si>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</si>
  <si>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</si>
  <si>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</si>
  <si>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</si>
  <si>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</si>
  <si>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</si>
  <si>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</si>
  <si>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</si>
  <si>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</si>
  <si>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</si>
  <si>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</si>
  <si>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</si>
  <si>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</si>
  <si>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</si>
  <si>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</si>
  <si>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</si>
  <si>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</si>
  <si>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</si>
  <si>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</si>
  <si>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</si>
  <si>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</si>
  <si>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</si>
  <si>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</si>
  <si>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</si>
  <si>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</si>
  <si>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</si>
  <si>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</si>
  <si>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</si>
  <si>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</si>
  <si>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</si>
  <si>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</si>
  <si>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</si>
  <si>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</si>
  <si>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</si>
  <si>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</si>
  <si>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</si>
  <si>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</si>
  <si>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</si>
  <si>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</si>
  <si>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</si>
  <si>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</si>
  <si>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</si>
  <si>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</si>
  <si>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</si>
  <si>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</si>
  <si>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</si>
  <si>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</si>
  <si>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</si>
  <si>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</si>
  <si>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</si>
  <si>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</si>
  <si>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</si>
  <si>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</si>
  <si>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</si>
  <si>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</si>
  <si>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</si>
  <si>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</si>
  <si>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</si>
  <si>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</si>
  <si>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</si>
  <si>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</si>
  <si>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</si>
  <si>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</si>
  <si>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</si>
  <si>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</si>
  <si>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</si>
  <si>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</si>
  <si>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</si>
  <si>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</si>
  <si>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</si>
  <si>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</si>
  <si>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</si>
  <si>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</si>
  <si>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</si>
  <si>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</si>
  <si>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</si>
  <si>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</si>
  <si>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</si>
  <si>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</si>
  <si>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</si>
  <si>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</si>
  <si>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</si>
  <si>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</si>
  <si>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</si>
  <si>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</si>
  <si>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</si>
  <si>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</si>
  <si>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</si>
  <si>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</si>
  <si>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</si>
  <si>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</si>
  <si>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</si>
  <si>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</si>
  <si>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</si>
  <si>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</si>
  <si>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</si>
  <si>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</si>
  <si>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</si>
  <si>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</si>
  <si>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</si>
  <si>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</si>
  <si>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</si>
  <si>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</si>
  <si>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</si>
  <si>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</si>
  <si>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</si>
  <si>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</si>
  <si>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</si>
  <si>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</si>
  <si>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</si>
  <si>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</si>
  <si>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</si>
  <si>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</si>
  <si>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</si>
  <si>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</si>
  <si>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</si>
  <si>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</si>
  <si>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</si>
  <si>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</si>
  <si>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</si>
  <si>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</si>
  <si>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</si>
  <si>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</si>
  <si>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</si>
  <si>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</si>
  <si>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</si>
  <si>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</si>
  <si>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</si>
  <si>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</si>
  <si>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</si>
  <si>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</si>
  <si>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</si>
  <si>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</si>
  <si>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</si>
  <si>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</si>
  <si>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</si>
  <si>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</si>
  <si>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</si>
  <si>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</si>
  <si>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</si>
  <si>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</si>
  <si>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</si>
  <si>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</si>
  <si>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</si>
  <si>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</si>
  <si>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</si>
  <si>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</si>
  <si>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</si>
  <si>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</si>
  <si>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</si>
  <si>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</si>
  <si>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</si>
  <si>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</si>
  <si>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</si>
  <si>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</si>
  <si>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</si>
  <si>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</si>
  <si>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</si>
  <si>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</si>
  <si>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</si>
  <si>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</si>
  <si>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</si>
  <si>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</si>
  <si>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</si>
  <si>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</si>
  <si>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</si>
  <si>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</si>
  <si>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</si>
  <si>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</si>
  <si>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</si>
  <si>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</si>
  <si>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</si>
  <si>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</si>
  <si>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</si>
  <si>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</si>
  <si>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</si>
  <si>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</si>
  <si>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</si>
  <si>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</si>
  <si>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</si>
  <si>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</si>
  <si>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</si>
  <si>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</si>
  <si>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</si>
  <si>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</si>
  <si>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</si>
  <si>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</si>
  <si>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</si>
  <si>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</si>
  <si>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</si>
  <si>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</si>
  <si>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</si>
  <si>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</si>
  <si>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</si>
  <si>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</si>
  <si>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</si>
  <si>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</si>
  <si>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</si>
  <si>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</si>
  <si>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</si>
  <si>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</si>
  <si>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</si>
  <si>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</si>
  <si>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</si>
  <si>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</si>
  <si>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</si>
  <si>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</si>
  <si>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</si>
  <si>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</si>
  <si>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</si>
  <si>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</si>
  <si>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</si>
  <si>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</si>
  <si>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</si>
  <si>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</si>
  <si>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</si>
  <si>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</si>
  <si>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</si>
  <si>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</si>
  <si>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</si>
  <si>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</si>
  <si>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</si>
  <si>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</si>
  <si>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</si>
  <si>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</si>
  <si>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</si>
  <si>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</si>
  <si>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</si>
  <si>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</si>
  <si>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</si>
  <si>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</si>
  <si>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</si>
  <si>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</si>
  <si>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</si>
  <si>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</si>
  <si>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</si>
  <si>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</si>
  <si>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</si>
  <si>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</si>
  <si>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</si>
  <si>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</si>
  <si>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</si>
  <si>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</si>
  <si>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</si>
  <si>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</si>
  <si>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</si>
  <si>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</si>
  <si>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</si>
  <si>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</si>
  <si>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</si>
  <si>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</si>
  <si>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</si>
  <si>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</si>
  <si>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</si>
  <si>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</si>
  <si>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</si>
  <si>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</si>
  <si>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</si>
  <si>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</si>
  <si>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</si>
  <si>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</si>
  <si>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</si>
  <si>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</si>
  <si>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</si>
  <si>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</si>
  <si>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</si>
  <si>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</si>
  <si>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</si>
  <si>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</si>
  <si>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</si>
  <si>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</si>
  <si>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</si>
  <si>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</si>
  <si>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</si>
  <si>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</si>
  <si>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</si>
  <si>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</si>
  <si>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</si>
  <si>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</si>
  <si>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</si>
  <si>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</si>
  <si>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</si>
  <si>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</si>
  <si>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</si>
  <si>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</si>
  <si>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</si>
  <si>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</si>
  <si>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</si>
  <si>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</si>
  <si>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</si>
  <si>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</si>
  <si>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</si>
  <si>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</si>
  <si>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</si>
  <si>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</si>
  <si>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</si>
  <si>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</si>
  <si>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</si>
  <si>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</si>
  <si>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</si>
  <si>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</si>
  <si>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</si>
  <si>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</si>
  <si>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</si>
  <si>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</si>
  <si>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</si>
  <si>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</si>
  <si>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</si>
  <si>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</si>
  <si>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</si>
  <si>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</si>
  <si>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</si>
  <si>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</si>
  <si>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</si>
  <si>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</si>
  <si>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</si>
  <si>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</si>
  <si>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</si>
  <si>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</si>
  <si>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</si>
  <si>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</si>
  <si>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</si>
  <si>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</si>
  <si>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</si>
  <si>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</si>
  <si>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</si>
  <si>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</si>
  <si>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</si>
  <si>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</si>
  <si>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</si>
  <si>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</si>
  <si>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</si>
  <si>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</si>
  <si>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</si>
  <si>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</si>
  <si>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</si>
  <si>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</si>
  <si>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</si>
  <si>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</si>
  <si>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</si>
  <si>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</si>
  <si>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</si>
  <si>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</si>
  <si>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</si>
  <si>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</si>
  <si>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</si>
  <si>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</si>
  <si>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</si>
  <si>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</si>
  <si>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</si>
  <si>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</si>
  <si>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</si>
  <si>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</si>
  <si>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</si>
  <si>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</si>
  <si>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</si>
  <si>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</si>
  <si>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</si>
  <si>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</si>
  <si>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</si>
  <si>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</si>
  <si>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</si>
  <si>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</si>
  <si>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</si>
  <si>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</si>
  <si>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</si>
  <si>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</si>
  <si>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</si>
  <si>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</si>
  <si>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</si>
  <si>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</si>
  <si>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</si>
  <si>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</si>
  <si>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</si>
  <si>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</si>
  <si>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</si>
  <si>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</si>
  <si>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</si>
  <si>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</si>
  <si>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</si>
  <si>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</si>
  <si>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</si>
  <si>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</si>
  <si>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</si>
  <si>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</si>
  <si>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</si>
  <si>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</si>
  <si>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</si>
  <si>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</si>
  <si>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</si>
  <si>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</si>
  <si>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</si>
  <si>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</si>
  <si>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</si>
  <si>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</si>
  <si>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</si>
  <si>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</si>
  <si>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</si>
  <si>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</si>
  <si>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</si>
  <si>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</si>
  <si>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</si>
  <si>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</si>
  <si>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</si>
  <si>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</si>
  <si>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</si>
  <si>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</si>
  <si>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</si>
  <si>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</si>
  <si>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</si>
  <si>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</si>
  <si>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</si>
  <si>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</si>
  <si>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</si>
  <si>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</si>
  <si>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</si>
  <si>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</si>
  <si>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</si>
  <si>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</si>
  <si>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</si>
  <si>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</si>
  <si>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</si>
  <si>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</si>
  <si>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</si>
  <si>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</si>
  <si>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</si>
  <si>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</si>
  <si>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</si>
  <si>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</si>
  <si>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</si>
  <si>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</si>
  <si>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</si>
  <si>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</si>
  <si>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</si>
  <si>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</si>
  <si>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</si>
  <si>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</si>
  <si>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</si>
  <si>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</si>
  <si>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</si>
  <si>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</si>
  <si>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</si>
  <si>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</si>
  <si>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</si>
  <si>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</si>
  <si>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</si>
  <si>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</si>
  <si>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</si>
  <si>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</si>
  <si>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</si>
  <si>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</si>
  <si>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</si>
  <si>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</si>
  <si>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</si>
  <si>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</si>
  <si>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</si>
  <si>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</si>
  <si>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</si>
  <si>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</si>
  <si>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</si>
  <si>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</si>
  <si>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</si>
  <si>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</si>
  <si>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</si>
  <si>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</si>
  <si>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</si>
  <si>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</si>
  <si>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</si>
  <si>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</si>
  <si>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</si>
  <si>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</si>
  <si>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</si>
  <si>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</si>
  <si>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</si>
  <si>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</si>
  <si>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</si>
  <si>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</si>
  <si>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</si>
  <si>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</si>
  <si>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</si>
  <si>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</si>
  <si>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</si>
  <si>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</si>
  <si>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</si>
  <si>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</si>
  <si>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</si>
  <si>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</si>
  <si>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</si>
  <si>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</si>
  <si>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</si>
  <si>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</si>
  <si>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</si>
  <si>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</si>
  <si>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</si>
  <si>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</si>
  <si>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</si>
  <si>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</si>
  <si>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</si>
  <si>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</si>
  <si>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</si>
  <si>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</si>
  <si>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</si>
  <si>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</si>
  <si>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</si>
  <si>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</si>
  <si>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</si>
  <si>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</si>
  <si>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</si>
  <si>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</si>
  <si>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</si>
  <si>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</si>
  <si>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</si>
  <si>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</si>
  <si>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</si>
  <si>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</si>
  <si>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</si>
  <si>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</si>
  <si>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</si>
  <si>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</si>
  <si>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</si>
  <si>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</si>
  <si>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</si>
  <si>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</si>
  <si>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</si>
  <si>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</si>
  <si>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</si>
  <si>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</si>
  <si>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</si>
  <si>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</si>
  <si>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</si>
  <si>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</si>
  <si>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</si>
  <si>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</si>
  <si>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</si>
  <si>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</si>
  <si>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</si>
  <si>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</si>
  <si>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</si>
  <si>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</si>
  <si>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</si>
  <si>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</si>
  <si>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</si>
  <si>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</si>
  <si>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</si>
  <si>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</si>
  <si>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</si>
  <si>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</si>
  <si>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</si>
  <si>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</si>
  <si>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</si>
  <si>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</si>
  <si>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</si>
  <si>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</si>
  <si>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</si>
  <si>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</si>
  <si>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</si>
  <si>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</si>
  <si>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</si>
  <si>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</si>
  <si>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</si>
  <si>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</si>
  <si>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</si>
  <si>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</si>
  <si>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</si>
  <si>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</si>
  <si>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</si>
  <si>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</si>
  <si>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</si>
  <si>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</si>
  <si>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</si>
  <si>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</si>
  <si>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</si>
  <si>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</si>
  <si>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</si>
  <si>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</si>
  <si>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</si>
  <si>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</si>
  <si>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</si>
  <si>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</si>
  <si>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</si>
  <si>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</si>
  <si>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</si>
  <si>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</si>
  <si>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</si>
  <si>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</si>
  <si>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</si>
  <si>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</si>
  <si>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</si>
  <si>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</si>
  <si>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</si>
  <si>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</si>
  <si>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</si>
  <si>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</si>
  <si>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</si>
  <si>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</si>
  <si>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</si>
  <si>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</si>
  <si>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</si>
  <si>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</si>
  <si>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</si>
  <si>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</si>
  <si>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</si>
  <si>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</si>
  <si>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</si>
  <si>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</si>
  <si>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</si>
  <si>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</si>
  <si>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</si>
  <si>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</si>
  <si>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</si>
  <si>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</si>
  <si>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</si>
  <si>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</si>
  <si>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</si>
  <si>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</si>
  <si>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</si>
  <si>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</si>
  <si>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</si>
  <si>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</si>
  <si>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</si>
  <si>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</si>
  <si>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</si>
  <si>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</si>
  <si>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</si>
  <si>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</si>
  <si>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</si>
  <si>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</si>
  <si>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</si>
  <si>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</si>
  <si>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</si>
  <si>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</si>
  <si>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</si>
  <si>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</si>
  <si>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</si>
  <si>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</si>
  <si>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</si>
  <si>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</si>
  <si>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</si>
  <si>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</si>
  <si>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</si>
  <si>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</si>
  <si>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</si>
  <si>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</si>
  <si>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</si>
  <si>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</si>
  <si>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</si>
  <si>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</si>
  <si>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</si>
  <si>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</si>
  <si>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</si>
  <si>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</si>
  <si>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</si>
  <si>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</si>
  <si>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</si>
  <si>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</si>
  <si>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</si>
  <si>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</si>
  <si>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</si>
  <si>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</si>
  <si>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</si>
  <si>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</si>
  <si>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</si>
  <si>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</si>
  <si>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</si>
  <si>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</si>
  <si>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</si>
  <si>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</si>
  <si>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</si>
  <si>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</si>
  <si>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</si>
  <si>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</si>
  <si>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</si>
  <si>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</si>
  <si>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</si>
  <si>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</si>
  <si>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</si>
  <si>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</si>
  <si>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</si>
  <si>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</si>
  <si>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</si>
  <si>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</si>
  <si>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</si>
  <si>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</si>
  <si>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</si>
  <si>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</si>
  <si>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</si>
  <si>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</si>
  <si>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</si>
  <si>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</si>
  <si>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</si>
  <si>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</si>
  <si>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</si>
  <si>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</si>
  <si>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</si>
  <si>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</si>
  <si>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</si>
  <si>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</si>
  <si>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</si>
  <si>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</si>
  <si>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</si>
  <si>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</si>
  <si>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</si>
  <si>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</si>
  <si>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</si>
  <si>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</si>
  <si>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</si>
  <si>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</si>
  <si>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</si>
  <si>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</si>
  <si>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</si>
  <si>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</si>
  <si>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</si>
  <si>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</si>
  <si>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</si>
  <si>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</si>
  <si>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</si>
  <si>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</si>
  <si>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</si>
  <si>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</si>
  <si>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</si>
  <si>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</si>
  <si>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</si>
  <si>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</si>
  <si>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</si>
  <si>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</si>
  <si>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</si>
  <si>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</si>
  <si>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</si>
  <si>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</si>
  <si>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</si>
  <si>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</si>
  <si>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</si>
  <si>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</si>
  <si>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</si>
  <si>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</si>
  <si>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</si>
  <si>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</si>
  <si>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</si>
  <si>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</si>
  <si>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</si>
  <si>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</si>
  <si>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</si>
  <si>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</si>
  <si>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</si>
  <si>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</si>
  <si>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</si>
  <si>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</si>
  <si>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</si>
  <si>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</si>
  <si>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</si>
  <si>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</si>
  <si>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</si>
  <si>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</si>
  <si>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</si>
  <si>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</si>
  <si>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</si>
  <si>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</si>
  <si>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</si>
  <si>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</si>
  <si>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</si>
  <si>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</si>
  <si>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</si>
  <si>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</si>
  <si>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</si>
  <si>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</si>
  <si>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</si>
  <si>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</si>
  <si>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</si>
  <si>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</si>
  <si>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</si>
  <si>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</si>
  <si>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</si>
  <si>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</si>
  <si>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</si>
  <si>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</si>
  <si>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</si>
  <si>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</si>
  <si>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</si>
  <si>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</si>
  <si>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</si>
  <si>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</si>
  <si>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</si>
  <si>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</si>
  <si>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</si>
  <si>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</si>
  <si>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</si>
  <si>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</si>
  <si>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</si>
  <si>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</si>
  <si>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</si>
  <si>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</si>
  <si>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</si>
  <si>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</si>
  <si>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</si>
  <si>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</si>
  <si>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</si>
  <si>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</si>
  <si>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</si>
  <si>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</si>
  <si>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</si>
  <si>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</si>
  <si>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</si>
  <si>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</si>
  <si>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</si>
  <si>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</si>
  <si>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</si>
  <si>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</si>
  <si>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</si>
  <si>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</si>
  <si>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</si>
  <si>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</si>
  <si>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</si>
  <si>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</si>
  <si>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</si>
  <si>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</si>
  <si>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</si>
  <si>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</si>
  <si>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</si>
  <si>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</si>
  <si>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</si>
  <si>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</si>
  <si>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</si>
  <si>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</si>
  <si>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</si>
  <si>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</si>
  <si>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</si>
  <si>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</si>
  <si>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</si>
  <si>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</si>
  <si>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</si>
  <si>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</si>
  <si>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</si>
  <si>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</si>
  <si>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</si>
  <si>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</si>
  <si>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</si>
  <si>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</si>
  <si>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</si>
  <si>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</si>
  <si>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</si>
  <si>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</si>
  <si>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</si>
  <si>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</si>
  <si>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</si>
  <si>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</si>
  <si>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</si>
  <si>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</si>
  <si>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</si>
  <si>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</si>
  <si>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</si>
  <si>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</si>
  <si>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</si>
  <si>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</si>
  <si>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</si>
  <si>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</si>
  <si>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</si>
  <si>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</si>
  <si>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</si>
  <si>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</si>
  <si>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</si>
  <si>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</si>
  <si>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</si>
  <si>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</si>
  <si>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</si>
  <si>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</si>
  <si>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</si>
  <si>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</si>
  <si>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</si>
  <si>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</si>
  <si>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</si>
  <si>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</si>
  <si>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</si>
  <si>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</si>
  <si>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</si>
  <si>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</si>
  <si>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</si>
  <si>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</si>
  <si>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</si>
  <si>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</si>
  <si>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</si>
  <si>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</si>
  <si>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</si>
  <si>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</si>
  <si>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</si>
  <si>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</si>
  <si>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</si>
  <si>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</si>
  <si>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</si>
  <si>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</si>
  <si>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</si>
  <si>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</si>
  <si>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</si>
  <si>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</si>
  <si>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</si>
  <si>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</si>
  <si>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</si>
  <si>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</si>
  <si>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</si>
  <si>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</si>
  <si>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</si>
  <si>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</si>
  <si>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</si>
  <si>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</si>
  <si>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</si>
  <si>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</si>
  <si>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</si>
  <si>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</si>
  <si>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</si>
  <si>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</si>
  <si>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</si>
  <si>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</si>
  <si>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</si>
  <si>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</si>
  <si>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</si>
  <si>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</si>
  <si>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</si>
  <si>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</si>
  <si>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</si>
  <si>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</si>
  <si>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</si>
  <si>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</si>
  <si>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</si>
  <si>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</si>
  <si>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</si>
  <si>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</si>
  <si>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</si>
  <si>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</si>
  <si>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</si>
  <si>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</si>
  <si>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</si>
  <si>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</si>
  <si>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</si>
  <si>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</si>
  <si>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</si>
  <si>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</si>
  <si>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</si>
  <si>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</si>
  <si>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</si>
  <si>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</si>
  <si>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</si>
  <si>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</si>
  <si>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</si>
  <si>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</si>
  <si>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</si>
  <si>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</si>
  <si>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</si>
  <si>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</si>
  <si>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</si>
  <si>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</si>
  <si>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</si>
  <si>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</si>
  <si>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</si>
  <si>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</si>
  <si>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</si>
  <si>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</si>
  <si>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</si>
  <si>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</si>
  <si>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</si>
  <si>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</si>
  <si>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</si>
  <si>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</si>
  <si>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</si>
  <si>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</si>
  <si>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</si>
  <si>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</si>
  <si>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</si>
  <si>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</si>
  <si>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</si>
  <si>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</si>
  <si>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</si>
  <si>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</si>
  <si>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</si>
  <si>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</si>
  <si>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</si>
  <si>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</si>
  <si>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</si>
  <si>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</si>
  <si>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</si>
  <si>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</si>
  <si>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</si>
  <si>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</si>
  <si>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</si>
  <si>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</si>
  <si>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</si>
  <si>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</si>
  <si>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</si>
  <si>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</si>
  <si>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</si>
  <si>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</si>
  <si>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</si>
  <si>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</si>
  <si>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</si>
  <si>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</si>
  <si>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</si>
  <si>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</si>
  <si>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</si>
  <si>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</si>
  <si>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</si>
  <si>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</si>
  <si>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</si>
  <si>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</si>
  <si>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</si>
  <si>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</si>
  <si>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</si>
  <si>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</si>
  <si>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</si>
  <si>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</si>
  <si>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</si>
  <si>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</si>
  <si>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</si>
  <si>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</si>
  <si>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</si>
  <si>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</si>
  <si>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</si>
  <si>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</si>
  <si>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</si>
  <si>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</si>
  <si>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</si>
  <si>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</si>
  <si>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</si>
  <si>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</si>
  <si>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</si>
  <si>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</si>
  <si>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</si>
  <si>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</si>
  <si>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</si>
  <si>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</si>
  <si>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</si>
  <si>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</si>
  <si>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</si>
  <si>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</si>
  <si>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</si>
  <si>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</si>
  <si>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</si>
  <si>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</si>
  <si>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</si>
  <si>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</si>
  <si>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</si>
  <si>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</si>
  <si>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</si>
  <si>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</si>
  <si>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</si>
  <si>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</si>
  <si>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</si>
  <si>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</si>
  <si>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</si>
  <si>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</si>
  <si>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</si>
  <si>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</si>
  <si>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</si>
  <si>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</si>
  <si>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</si>
  <si>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</si>
  <si>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</si>
  <si>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</si>
  <si>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</si>
  <si>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</si>
  <si>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</si>
  <si>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</si>
  <si>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</si>
  <si>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</si>
  <si>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</si>
  <si>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</si>
  <si>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</si>
  <si>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</si>
  <si>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</si>
  <si>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</si>
  <si>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</si>
  <si>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</si>
  <si>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</si>
  <si>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</si>
  <si>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</si>
  <si>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</si>
  <si>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</si>
  <si>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</si>
  <si>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</si>
  <si>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</si>
  <si>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</si>
  <si>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</si>
  <si>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</si>
  <si>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</si>
  <si>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</si>
  <si>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</si>
  <si>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</si>
  <si>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</si>
  <si>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</si>
  <si>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</si>
  <si>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</si>
  <si>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</si>
  <si>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</si>
  <si>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</si>
  <si>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</si>
  <si>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</si>
  <si>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</si>
  <si>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</si>
  <si>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</si>
  <si>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</si>
  <si>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</si>
  <si>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</si>
  <si>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</si>
  <si>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</si>
  <si>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</si>
  <si>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</si>
  <si>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</si>
  <si>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</si>
  <si>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</si>
  <si>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</si>
  <si>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</si>
  <si>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</si>
  <si>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</si>
  <si>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</si>
  <si>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</si>
  <si>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</si>
  <si>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</si>
  <si>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</si>
  <si>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</si>
  <si>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</si>
  <si>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</si>
  <si>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</si>
  <si>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</si>
  <si>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</si>
  <si>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</si>
  <si>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</si>
  <si>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</si>
  <si>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</si>
  <si>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</si>
  <si>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</si>
  <si>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</si>
  <si>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</si>
  <si>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</si>
  <si>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</si>
  <si>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</si>
  <si>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</si>
  <si>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</si>
  <si>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</si>
  <si>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</si>
  <si>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</si>
  <si>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</si>
  <si>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</si>
  <si>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</si>
  <si>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</si>
  <si>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</si>
  <si>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</si>
  <si>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</si>
  <si>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</si>
  <si>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</si>
  <si>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</si>
  <si>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</si>
  <si>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</si>
  <si>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</si>
  <si>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</si>
  <si>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</si>
  <si>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</si>
  <si>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</si>
  <si>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</si>
  <si>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</si>
  <si>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</si>
  <si>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</si>
  <si>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</si>
  <si>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</si>
  <si>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</si>
  <si>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</si>
  <si>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</si>
  <si>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</si>
  <si>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</si>
  <si>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</si>
  <si>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</si>
  <si>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</si>
  <si>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</si>
  <si>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</si>
  <si>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</si>
  <si>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</si>
  <si>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</si>
  <si>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</si>
  <si>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</si>
  <si>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</si>
  <si>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</si>
  <si>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</si>
  <si>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</si>
  <si>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</si>
  <si>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</si>
  <si>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</si>
  <si>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</si>
  <si>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</si>
  <si>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</si>
  <si>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</si>
  <si>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</si>
  <si>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</si>
  <si>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</si>
  <si>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</si>
  <si>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</si>
  <si>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</si>
  <si>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</si>
  <si>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</si>
  <si>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</si>
  <si>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</si>
  <si>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</si>
  <si>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</si>
  <si>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</si>
  <si>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</si>
  <si>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</si>
  <si>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</si>
  <si>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</si>
  <si>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</si>
  <si>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</si>
  <si>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</si>
  <si>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</si>
  <si>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</si>
  <si>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</si>
  <si>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</si>
  <si>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</si>
  <si>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</si>
  <si>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</si>
  <si>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</si>
  <si>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</si>
  <si>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</si>
  <si>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</si>
  <si>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</si>
  <si>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</si>
  <si>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</si>
  <si>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</si>
  <si>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</si>
  <si>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</si>
  <si>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</si>
  <si>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</si>
  <si>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</si>
  <si>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</si>
  <si>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</si>
  <si>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</si>
  <si>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</si>
  <si>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</si>
  <si>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</si>
  <si>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</si>
  <si>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</si>
  <si>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</si>
  <si>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</si>
  <si>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</si>
  <si>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</si>
  <si>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</si>
  <si>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</si>
  <si>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</si>
  <si>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</si>
  <si>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</si>
  <si>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</si>
  <si>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</si>
  <si>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</si>
  <si>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</si>
  <si>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</si>
  <si>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</si>
  <si>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</si>
  <si>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</si>
  <si>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</si>
  <si>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</si>
  <si>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</si>
  <si>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</si>
  <si>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</si>
  <si>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</si>
  <si>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</si>
  <si>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</si>
  <si>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</si>
  <si>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</si>
  <si>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</si>
  <si>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</si>
  <si>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</si>
  <si>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</si>
  <si>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</si>
  <si>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</si>
  <si>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</si>
  <si>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</si>
  <si>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</si>
  <si>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</si>
  <si>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</si>
  <si>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</si>
  <si>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</si>
  <si>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</si>
  <si>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</si>
  <si>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</si>
  <si>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</si>
  <si>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</si>
  <si>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</si>
  <si>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</si>
  <si>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</si>
  <si>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</si>
  <si>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</si>
  <si>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</si>
  <si>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</si>
  <si>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</si>
  <si>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</si>
  <si>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</si>
  <si>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</si>
  <si>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</si>
  <si>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</si>
  <si>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</si>
  <si>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</si>
  <si>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</si>
  <si>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</si>
  <si>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</si>
  <si>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</si>
  <si>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</si>
  <si>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</si>
  <si>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</si>
  <si>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</si>
  <si>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</si>
  <si>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</si>
  <si>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</si>
  <si>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</si>
  <si>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</si>
  <si>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</si>
  <si>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</si>
  <si>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</si>
  <si>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</si>
  <si>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</si>
  <si>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</si>
  <si>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</si>
  <si>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</si>
  <si>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</si>
  <si>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</si>
  <si>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</si>
  <si>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</si>
  <si>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</si>
  <si>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</si>
  <si>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</si>
  <si>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</si>
  <si>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</si>
  <si>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</si>
  <si>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</si>
  <si>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</si>
  <si>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</si>
  <si>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</si>
  <si>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</si>
  <si>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</si>
  <si>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</si>
  <si>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</si>
  <si>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</si>
  <si>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</si>
  <si>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</si>
  <si>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</si>
  <si>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</si>
  <si>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</si>
  <si>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</si>
  <si>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</si>
  <si>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</si>
  <si>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</si>
  <si>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</si>
  <si>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</si>
  <si>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</si>
  <si>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</si>
  <si>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</si>
  <si>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</si>
  <si>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</si>
  <si>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</si>
  <si>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</si>
  <si>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</si>
  <si>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</si>
  <si>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</si>
  <si>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</si>
  <si>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</si>
  <si>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</si>
  <si>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</si>
  <si>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</si>
  <si>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</si>
  <si>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</si>
  <si>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</si>
  <si>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</si>
  <si>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</si>
  <si>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</si>
  <si>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</si>
  <si>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</si>
  <si>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</si>
  <si>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</si>
  <si>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</si>
  <si>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</si>
  <si>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</si>
  <si>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</si>
  <si>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</si>
  <si>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</si>
  <si>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</si>
  <si>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</si>
  <si>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</si>
  <si>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</si>
  <si>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</si>
  <si>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</si>
  <si>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</si>
  <si>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</si>
  <si>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</si>
  <si>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</si>
  <si>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</si>
  <si>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</si>
  <si>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</si>
  <si>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</si>
  <si>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</si>
  <si>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</si>
  <si>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</si>
  <si>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</si>
  <si>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</si>
  <si>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</si>
  <si>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</si>
  <si>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</si>
  <si>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</si>
  <si>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</si>
  <si>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</si>
  <si>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</si>
  <si>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</si>
  <si>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</si>
  <si>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</si>
  <si>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</si>
  <si>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</si>
  <si>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</si>
  <si>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</si>
  <si>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</si>
  <si>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</si>
  <si>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</si>
  <si>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</si>
  <si>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</si>
  <si>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</si>
  <si>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</si>
  <si>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</si>
  <si>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</si>
  <si>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</si>
  <si>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</si>
  <si>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</si>
  <si>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</si>
  <si>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</si>
  <si>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</si>
  <si>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</si>
  <si>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</si>
  <si>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</si>
  <si>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</si>
  <si>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</si>
  <si>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</si>
  <si>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</si>
  <si>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</si>
  <si>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</si>
  <si>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</si>
  <si>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</si>
  <si>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</si>
  <si>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</si>
  <si>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</si>
  <si>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</si>
  <si>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</si>
  <si>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</si>
  <si>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</si>
  <si>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</si>
  <si>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</si>
  <si>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</si>
  <si>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</si>
  <si>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</si>
  <si>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</si>
  <si>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</si>
  <si>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</si>
  <si>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</si>
  <si>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</si>
  <si>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</si>
  <si>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</si>
  <si>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</si>
  <si>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</si>
  <si>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</si>
  <si>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</si>
  <si>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</si>
  <si>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</si>
  <si>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</si>
  <si>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</si>
  <si>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</si>
  <si>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</si>
  <si>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</si>
  <si>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</si>
  <si>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</si>
  <si>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</si>
  <si>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</si>
  <si>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</si>
  <si>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</si>
  <si>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</si>
  <si>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</si>
  <si>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</si>
  <si>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</si>
  <si>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</si>
  <si>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</si>
  <si>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</si>
  <si>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</si>
  <si>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</si>
  <si>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</si>
  <si>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</si>
  <si>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</si>
  <si>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</si>
  <si>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</si>
  <si>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</si>
  <si>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</si>
  <si>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</si>
  <si>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</si>
  <si>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</si>
  <si>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</si>
  <si>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</si>
  <si>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</si>
  <si>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</si>
  <si>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</si>
  <si>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</si>
  <si>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</si>
  <si>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</si>
  <si>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</si>
  <si>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</si>
  <si>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</si>
  <si>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</si>
  <si>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</si>
  <si>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</si>
  <si>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</si>
  <si>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</si>
  <si>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</si>
  <si>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</si>
  <si>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</si>
  <si>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</si>
  <si>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</si>
  <si>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</si>
  <si>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</si>
  <si>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</si>
  <si>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</si>
  <si>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</si>
  <si>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</si>
  <si>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</si>
  <si>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</si>
  <si>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</si>
  <si>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</si>
  <si>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</si>
  <si>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</si>
  <si>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</si>
  <si>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</si>
  <si>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</si>
  <si>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</si>
  <si>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</si>
  <si>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</si>
  <si>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</si>
  <si>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</si>
  <si>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</si>
  <si>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</si>
  <si>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</si>
  <si>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</si>
  <si>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</si>
  <si>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</si>
  <si>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</si>
  <si>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</si>
  <si>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</si>
  <si>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</si>
  <si>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</si>
  <si>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</si>
  <si>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</si>
  <si>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</si>
  <si>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</si>
  <si>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</si>
  <si>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</si>
  <si>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</si>
  <si>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</si>
  <si>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</si>
  <si>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</si>
  <si>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</si>
  <si>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</si>
  <si>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</si>
  <si>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</si>
  <si>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</si>
  <si>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</si>
  <si>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</si>
  <si>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</si>
  <si>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</si>
  <si>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</si>
  <si>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</si>
  <si>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</si>
  <si>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</si>
  <si>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</si>
  <si>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</si>
  <si>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</si>
  <si>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</si>
  <si>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</si>
  <si>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</si>
  <si>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</si>
  <si>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</si>
  <si>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</si>
  <si>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</si>
  <si>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</si>
  <si>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</si>
  <si>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</si>
  <si>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</si>
  <si>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</si>
  <si>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</si>
  <si>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</si>
  <si>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</si>
  <si>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</si>
  <si>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</si>
  <si>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</si>
  <si>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</si>
  <si>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</si>
  <si>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</si>
  <si>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</si>
  <si>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</si>
  <si>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</si>
  <si>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</si>
  <si>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</si>
  <si>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</si>
  <si>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</si>
  <si>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</si>
  <si>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</si>
  <si>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</si>
  <si>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</si>
  <si>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</si>
  <si>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</si>
  <si>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</si>
  <si>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</si>
  <si>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</si>
  <si>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</si>
  <si>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</si>
  <si>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</si>
  <si>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</si>
  <si>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</si>
  <si>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</si>
  <si>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</si>
  <si>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</si>
  <si>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</si>
  <si>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</si>
  <si>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</si>
  <si>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</si>
  <si>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</si>
  <si>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</si>
  <si>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</si>
  <si>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</si>
  <si>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</si>
  <si>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</si>
  <si>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</si>
  <si>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</si>
  <si>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</si>
  <si>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</si>
  <si>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</si>
  <si>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</si>
  <si>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</si>
  <si>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</si>
  <si>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</si>
  <si>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</si>
  <si>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</si>
  <si>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</si>
  <si>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</si>
  <si>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</si>
  <si>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</si>
  <si>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</si>
  <si>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</si>
  <si>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</si>
  <si>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</si>
  <si>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</si>
  <si>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</si>
  <si>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</si>
  <si>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</si>
  <si>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</si>
  <si>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</si>
  <si>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</si>
  <si>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</si>
  <si>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</si>
  <si>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</si>
  <si>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</si>
  <si>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</si>
  <si>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</si>
  <si>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</si>
  <si>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</si>
  <si>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</si>
  <si>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</si>
  <si>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</si>
  <si>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</si>
  <si>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</si>
  <si>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</si>
  <si>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</si>
  <si>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</si>
  <si>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</si>
  <si>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</si>
  <si>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</si>
  <si>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</si>
  <si>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</si>
  <si>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</si>
  <si>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</si>
  <si>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</si>
  <si>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</si>
  <si>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</si>
  <si>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</si>
  <si>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</si>
  <si>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</si>
  <si>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</si>
  <si>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</si>
  <si>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</si>
  <si>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</si>
  <si>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</si>
  <si>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</si>
  <si>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</si>
  <si>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</si>
  <si>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</si>
  <si>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</si>
  <si>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</si>
  <si>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</si>
  <si>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</si>
  <si>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</si>
  <si>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</si>
  <si>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</si>
  <si>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</si>
  <si>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</si>
  <si>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</si>
  <si>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</si>
  <si>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</si>
  <si>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</si>
  <si>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</si>
  <si>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</si>
  <si>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</si>
  <si>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</si>
  <si>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</si>
  <si>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</si>
  <si>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</si>
  <si>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</si>
  <si>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</si>
  <si>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</si>
  <si>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</si>
  <si>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</si>
  <si>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</si>
  <si>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</si>
  <si>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</si>
  <si>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</si>
  <si>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</si>
  <si>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</si>
  <si>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</si>
  <si>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</si>
  <si>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</si>
  <si>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</si>
  <si>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</si>
  <si>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</si>
  <si>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</si>
  <si>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</si>
  <si>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</si>
  <si>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</si>
  <si>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</si>
  <si>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</si>
  <si>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</si>
  <si>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</si>
  <si>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</si>
  <si>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</si>
  <si>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</si>
  <si>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</si>
  <si>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</si>
  <si>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</si>
  <si>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</si>
  <si>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</si>
  <si>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</si>
  <si>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</si>
  <si>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</si>
  <si>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</si>
  <si>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</si>
  <si>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</si>
  <si>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</si>
  <si>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</si>
  <si>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</si>
  <si>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</si>
  <si>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</si>
  <si>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</si>
  <si>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</si>
  <si>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</si>
  <si>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</si>
  <si>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</si>
  <si>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</si>
  <si>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</si>
  <si>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</si>
  <si>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</si>
  <si>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</si>
  <si>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</si>
  <si>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</si>
  <si>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</si>
  <si>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</si>
  <si>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</si>
  <si>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</si>
  <si>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</si>
  <si>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</si>
  <si>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</si>
  <si>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</si>
  <si>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</si>
  <si>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</si>
  <si>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</si>
  <si>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</si>
  <si>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</si>
  <si>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</si>
  <si>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</si>
  <si>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</si>
  <si>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</si>
  <si>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</si>
  <si>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</si>
  <si>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</si>
  <si>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</si>
  <si>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</si>
  <si>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</si>
  <si>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</si>
  <si>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</si>
  <si>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</si>
  <si>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</si>
  <si>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</si>
  <si>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</si>
  <si>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</si>
  <si>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</si>
  <si>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</si>
  <si>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</si>
  <si>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</si>
  <si>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</si>
  <si>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</si>
  <si>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</si>
  <si>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</si>
  <si>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</si>
  <si>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</si>
  <si>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</si>
  <si>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</si>
  <si>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</si>
  <si>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</si>
  <si>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</si>
  <si>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</si>
  <si>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</si>
  <si>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</si>
  <si>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</si>
  <si>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</si>
  <si>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</si>
  <si>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</si>
  <si>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</si>
  <si>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</si>
  <si>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</si>
  <si>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</si>
  <si>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</si>
  <si>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</si>
  <si>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</si>
  <si>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</si>
  <si>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</si>
  <si>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</si>
  <si>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</si>
  <si>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</si>
  <si>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</si>
  <si>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</si>
  <si>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</si>
  <si>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</si>
  <si>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</si>
  <si>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</si>
  <si>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</si>
  <si>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</si>
  <si>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</si>
  <si>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</si>
  <si>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</si>
  <si>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</si>
  <si>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</si>
  <si>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</si>
  <si>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</si>
  <si>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</si>
  <si>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</si>
  <si>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</si>
  <si>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</si>
  <si>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</si>
  <si>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</si>
  <si>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</si>
  <si>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</si>
  <si>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</si>
  <si>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</si>
  <si>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</si>
  <si>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</si>
  <si>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</si>
  <si>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</si>
  <si>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</si>
  <si>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</si>
  <si>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</si>
  <si>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</si>
  <si>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</si>
  <si>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</si>
  <si>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</si>
  <si>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潼关县双桥大街</t>
  </si>
  <si>
    <t>渭南市</t>
  </si>
  <si>
    <t>住宅用地</t>
  </si>
  <si>
    <t>大于1并且小于或等于2.5</t>
  </si>
  <si>
    <t>挂牌</t>
  </si>
  <si>
    <t>2019-05-07</t>
  </si>
  <si>
    <t>陕西金阁置业有限公司</t>
  </si>
  <si>
    <t>0星</t>
  </si>
  <si>
    <t>新城区,大禹路与二环东路十字西北角。</t>
  </si>
  <si>
    <t>大于1.2并且小于或等于2.9</t>
  </si>
  <si>
    <t>2019-05-06</t>
  </si>
  <si>
    <t>陕西省土地工程建设集团有限责任公司</t>
  </si>
  <si>
    <t>新城北区,兴隆路北侧,中汇煤化用地南侧</t>
  </si>
  <si>
    <t>韩城市三立商务有限公司</t>
  </si>
  <si>
    <t>大于或等于1.2并且小于或等于3</t>
  </si>
  <si>
    <t>2019-04-26</t>
  </si>
  <si>
    <t>渭南高新威楠房屋租赁开发有限责任公司</t>
  </si>
  <si>
    <t>奉先办达仁村</t>
  </si>
  <si>
    <t>大于或等于1.3并且小于或等于1.6</t>
  </si>
  <si>
    <t>陕西舟荣房地产开发有限公司</t>
  </si>
  <si>
    <t>高新区崇业路东侧</t>
  </si>
  <si>
    <t>陕西东泰天信置业有限公司</t>
  </si>
  <si>
    <t>新城区,龙门大街与乔南路十字东北角</t>
  </si>
  <si>
    <t>大于1.2并且小于或等于3.5</t>
  </si>
  <si>
    <t>2019-03-22</t>
  </si>
  <si>
    <t>韩城景和置业有限公司</t>
  </si>
  <si>
    <t>尚德路北段西侧</t>
  </si>
  <si>
    <t>大于1并且小于或等于1.8</t>
  </si>
  <si>
    <t>2019-03-21</t>
  </si>
  <si>
    <t>城关街道办阳庄村</t>
  </si>
  <si>
    <t>等于3.5</t>
  </si>
  <si>
    <t>2019-03-15</t>
  </si>
  <si>
    <t>澄城县华和房地产开发有限公司</t>
  </si>
  <si>
    <t>贵妃路南侧、文化公园东侧</t>
  </si>
  <si>
    <t>大于1并且小于或等于2.1</t>
  </si>
  <si>
    <t>2019-02-27</t>
  </si>
  <si>
    <t>陕西九天置业有限公司</t>
  </si>
  <si>
    <t>商贸大道北段西侧</t>
  </si>
  <si>
    <t>大于或等于1.2并且小于或等于1.6</t>
  </si>
  <si>
    <t>2019-02-22</t>
  </si>
  <si>
    <t>陕西创业房地产开发有限公司</t>
  </si>
  <si>
    <t>东环路东侧、东岳路东延北侧</t>
  </si>
  <si>
    <t>大于1并且小于或等于2</t>
  </si>
  <si>
    <t>2019-02-01</t>
  </si>
  <si>
    <t>华阴市胜达家居建材有限公司</t>
  </si>
  <si>
    <t>临渭区双创基地规划区</t>
  </si>
  <si>
    <t>2019-01-26</t>
  </si>
  <si>
    <t>渭南华泰安实业发展有限公司</t>
  </si>
  <si>
    <t>高新区胜利大街南侧</t>
  </si>
  <si>
    <t>2019-01-16</t>
  </si>
  <si>
    <t>陕西恒昌房地产开发有限公司</t>
  </si>
  <si>
    <t>高新区乐天大街南侧</t>
  </si>
  <si>
    <t>渭南高新区信达置业有限公司</t>
  </si>
  <si>
    <t>富平县城区莲湖大街东段南侧</t>
  </si>
  <si>
    <t>大于1并且小于或等于3</t>
  </si>
  <si>
    <t>富平陶都坊置业有限公司</t>
  </si>
  <si>
    <t>2019-01-11</t>
  </si>
  <si>
    <t>渭南恒盈置业有限公司</t>
  </si>
  <si>
    <t>高新区胜利大街北侧</t>
  </si>
  <si>
    <t>2019-01-02</t>
  </si>
  <si>
    <t>渭南文鼎瑞置业有限公司</t>
  </si>
  <si>
    <t>长城路南侧、杜峪河公园东侧</t>
  </si>
  <si>
    <t>大于1并且小于或等于2.2</t>
  </si>
  <si>
    <t>华阴市景园房地产开发有限公司</t>
  </si>
  <si>
    <t>新城区,二环东路以东,金塔路东延以南</t>
  </si>
  <si>
    <t>大于1.2并且小于或等于3</t>
  </si>
  <si>
    <t>2018-12-31</t>
  </si>
  <si>
    <t>韩城市城市投资(集团)有限公司</t>
  </si>
  <si>
    <t>东环路北段东侧</t>
  </si>
  <si>
    <t>2018-12-26</t>
  </si>
  <si>
    <t>白水县移民(脱贫)搬迁工作办公室</t>
  </si>
  <si>
    <t>新城南区,韩原路与麻园路十字东南角</t>
  </si>
  <si>
    <t>2018-12-25</t>
  </si>
  <si>
    <t>韩城市瑞祥房地产开发有限责任公司</t>
  </si>
  <si>
    <t>新城北区,普照路以北,西临二环东路</t>
  </si>
  <si>
    <t>2018-12-24</t>
  </si>
  <si>
    <t>陕西开元通宝房地产有限公司</t>
  </si>
  <si>
    <t>潼关县和平路延伸段与双桥大街十字西南角</t>
  </si>
  <si>
    <t>2018-12-14</t>
  </si>
  <si>
    <t>潼关县潼合面粉有限责任公司</t>
  </si>
  <si>
    <t>高新区新盛路与胜利大街西南角</t>
    <phoneticPr fontId="143" type="noConversion"/>
  </si>
  <si>
    <t>中化第十三建设公司</t>
    <phoneticPr fontId="6" type="noConversion"/>
  </si>
  <si>
    <t>其他：</t>
  </si>
  <si>
    <t>陕西省</t>
    <phoneticPr fontId="6" type="noConversion"/>
  </si>
  <si>
    <r>
      <rPr>
        <sz val="12"/>
        <color theme="9" tint="-0.249977111117893"/>
        <rFont val="宋体"/>
        <family val="3"/>
        <charset val="134"/>
      </rPr>
      <t>渭南市开发区东府小区</t>
    </r>
    <r>
      <rPr>
        <sz val="12"/>
        <color theme="9" tint="-0.249977111117893"/>
        <rFont val="Arial"/>
        <family val="2"/>
      </rPr>
      <t>10#</t>
    </r>
    <r>
      <rPr>
        <sz val="12"/>
        <color theme="9" tint="-0.249977111117893"/>
        <rFont val="宋体"/>
        <family val="3"/>
        <charset val="134"/>
      </rPr>
      <t>住宅楼</t>
    </r>
    <phoneticPr fontId="6" type="noConversion"/>
  </si>
  <si>
    <t>通路</t>
  </si>
  <si>
    <t>通电</t>
  </si>
  <si>
    <t>通讯</t>
  </si>
  <si>
    <t>通上水</t>
  </si>
  <si>
    <t>通下水</t>
  </si>
  <si>
    <t>是</t>
  </si>
  <si>
    <t>地上</t>
  </si>
  <si>
    <t>住宅</t>
  </si>
  <si>
    <t>平层住宅</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</si>
  <si>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渭经房管字第</t>
    </r>
    <r>
      <rPr>
        <sz val="12"/>
        <color theme="9" tint="-0.249977111117893"/>
        <rFont val="Arial"/>
        <family val="2"/>
      </rPr>
      <t>210032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</si>
  <si>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t>住宅</t>
    <phoneticPr fontId="7" type="noConversion"/>
  </si>
  <si>
    <t>成新度</t>
  </si>
  <si>
    <t>收益法</t>
  </si>
  <si>
    <t>押一</t>
  </si>
  <si>
    <t>按租金收入计税</t>
  </si>
  <si>
    <t>钢混</t>
  </si>
  <si>
    <t>非生产用房</t>
  </si>
  <si>
    <t>出让</t>
  </si>
  <si>
    <t>全部缴纳</t>
  </si>
  <si>
    <t>未包含在土地购买价格中</t>
  </si>
  <si>
    <t>已包含在土地取得成本中</t>
  </si>
  <si>
    <t>成本法</t>
  </si>
  <si>
    <t>比较法-住宅</t>
  </si>
  <si>
    <t>现房</t>
  </si>
  <si>
    <t>成本比率</t>
  </si>
  <si>
    <t>较好</t>
  </si>
  <si>
    <t>一般</t>
  </si>
  <si>
    <t>六通</t>
  </si>
  <si>
    <t>估价对象周边居住用地比例较大、居住小区规模和社区发展完善程度较好，综合评价居住社区成熟度较好</t>
  </si>
  <si>
    <t>估价对象周边居住用地比例较大、居住小区规模和社区发展完善程度较好，综合评价居住社区成熟度较好</t>
    <phoneticPr fontId="41" type="noConversion"/>
  </si>
  <si>
    <t>估价对象周边道路状况一般、公共交通通达情况较好（公交车通达度较好）、停车便捷程度一般，综合评价交通便捷度较好</t>
  </si>
  <si>
    <t>估价对象周边道路状况一般、公共交通通达情况较好（公交车通达度较好）、停车便捷程度一般，综合评价交通便捷度较好</t>
    <phoneticPr fontId="41" type="noConversion"/>
  </si>
  <si>
    <t>估价对象所在区域公共配套设施较齐备</t>
  </si>
  <si>
    <t>估价对象所在区域公共配套设施较齐备</t>
    <phoneticPr fontId="41" type="noConversion"/>
  </si>
  <si>
    <t>估价对象所在区域基础设施水平为六通</t>
  </si>
  <si>
    <t>估价对象所在区域基础设施水平为六通</t>
    <phoneticPr fontId="25" type="noConversion"/>
  </si>
  <si>
    <t>区域自然环境：周边有渭清公园；人文环境一般；综合评价环境状况一般</t>
  </si>
  <si>
    <t>区域自然环境：周边有渭清公园；人文环境一般；综合评价环境状况一般</t>
    <phoneticPr fontId="41" type="noConversion"/>
  </si>
  <si>
    <t>板楼</t>
  </si>
  <si>
    <t>板楼</t>
    <phoneticPr fontId="25" type="noConversion"/>
  </si>
  <si>
    <t>塔楼</t>
    <phoneticPr fontId="25" type="noConversion"/>
  </si>
  <si>
    <t>钢混</t>
    <phoneticPr fontId="25" type="noConversion"/>
  </si>
  <si>
    <t>高档</t>
    <phoneticPr fontId="25" type="noConversion"/>
  </si>
  <si>
    <t>中档</t>
  </si>
  <si>
    <t>中档</t>
    <phoneticPr fontId="25" type="noConversion"/>
  </si>
  <si>
    <t>低档</t>
    <phoneticPr fontId="25" type="noConversion"/>
  </si>
  <si>
    <t>精装修</t>
    <phoneticPr fontId="25" type="noConversion"/>
  </si>
  <si>
    <t>普通装修</t>
  </si>
  <si>
    <t>普通装修</t>
    <phoneticPr fontId="25" type="noConversion"/>
  </si>
  <si>
    <t>简单装修</t>
    <phoneticPr fontId="25" type="noConversion"/>
  </si>
  <si>
    <t>毛坯</t>
    <phoneticPr fontId="25" type="noConversion"/>
  </si>
  <si>
    <t>七通</t>
    <phoneticPr fontId="25" type="noConversion"/>
  </si>
  <si>
    <t>六通</t>
    <phoneticPr fontId="25" type="noConversion"/>
  </si>
  <si>
    <t>五通</t>
  </si>
  <si>
    <t>五通</t>
    <phoneticPr fontId="25" type="noConversion"/>
  </si>
  <si>
    <t>四通</t>
    <phoneticPr fontId="25" type="noConversion"/>
  </si>
  <si>
    <t>三通</t>
    <phoneticPr fontId="25" type="noConversion"/>
  </si>
  <si>
    <t>专业</t>
    <phoneticPr fontId="25" type="noConversion"/>
  </si>
  <si>
    <t>普通</t>
  </si>
  <si>
    <t>普通</t>
    <phoneticPr fontId="25" type="noConversion"/>
  </si>
  <si>
    <t>东府小区3号院</t>
    <phoneticPr fontId="3" type="noConversion"/>
  </si>
  <si>
    <t>东府小区</t>
    <phoneticPr fontId="3" type="noConversion"/>
  </si>
  <si>
    <t>恭安小区</t>
    <phoneticPr fontId="3" type="noConversion"/>
  </si>
  <si>
    <t>住宅</t>
    <phoneticPr fontId="25"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</si>
  <si>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育红路</t>
    </r>
    <phoneticPr fontId="25" type="noConversion"/>
  </si>
  <si>
    <t>40-50（含）</t>
  </si>
  <si>
    <t>高区</t>
    <phoneticPr fontId="25" type="noConversion"/>
  </si>
  <si>
    <t>中区</t>
    <phoneticPr fontId="25" type="noConversion"/>
  </si>
  <si>
    <t>低区</t>
    <phoneticPr fontId="25" type="noConversion"/>
  </si>
  <si>
    <t>楼层</t>
    <phoneticPr fontId="25" type="noConversion"/>
  </si>
  <si>
    <t>简单装修</t>
  </si>
  <si>
    <t>高区</t>
    <phoneticPr fontId="25" type="noConversion"/>
  </si>
  <si>
    <t>50-60（含）</t>
  </si>
  <si>
    <t>砖混</t>
  </si>
  <si>
    <t>砖混</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</si>
</sst>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0" fillId="5" borderId="0" xfId="0" applyFill="1" applyAlignment="1"/>
    <xf numFmtId="0" fontId="99" fillId="5" borderId="0" xfId="0" applyFont="1" applyFill="1" applyAlignment="1"/>
    <xf numFmtId="0" fontId="0" fillId="0" borderId="0" xfId="0" applyFill="1" applyAlignment="1"/>
    <xf numFmtId="0" fontId="190" fillId="7" borderId="151"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714375</xdr:colOff>
      <xdr:row>33</xdr:row>
      <xdr:rowOff>38100</xdr:rowOff>
    </xdr:from>
    <xdr:to>
      <xdr:col>18</xdr:col>
      <xdr:colOff>180133</xdr:colOff>
      <xdr:row>59</xdr:row>
      <xdr:rowOff>170877</xdr:rowOff>
    </xdr:to>
    <xdr:pic>
      <xdr:nvPicPr>
        <xdr:cNvPr id="2" name="图片 1"/>
        <xdr:cNvPicPr>
          <a:picLocks noChangeAspect="1"/>
        </xdr:cNvPicPr>
      </xdr:nvPicPr>
      <xdr:blipFill>
        <a:blip xmlns:r="http://schemas.openxmlformats.org/officeDocument/2006/relationships" r:embed="rId1"/>
        <a:stretch>
          <a:fillRect/>
        </a:stretch>
      </xdr:blipFill>
      <xdr:spPr>
        <a:xfrm>
          <a:off x="8496300" y="5695950"/>
          <a:ext cx="6742858" cy="4590477"/>
        </a:xfrm>
        <a:prstGeom prst="rect">
          <a:avLst/>
        </a:prstGeom>
      </xdr:spPr>
    </xdr:pic>
    <xdr:clientData/>
  </xdr:twoCellAnchor>
  <xdr:twoCellAnchor editAs="oneCell">
    <xdr:from>
      <xdr:col>0</xdr:col>
      <xdr:colOff>133350</xdr:colOff>
      <xdr:row>30</xdr:row>
      <xdr:rowOff>76200</xdr:rowOff>
    </xdr:from>
    <xdr:to>
      <xdr:col>9</xdr:col>
      <xdr:colOff>595944</xdr:colOff>
      <xdr:row>65</xdr:row>
      <xdr:rowOff>170514</xdr:rowOff>
    </xdr:to>
    <xdr:pic>
      <xdr:nvPicPr>
        <xdr:cNvPr id="3" name="图片 2"/>
        <xdr:cNvPicPr>
          <a:picLocks noChangeAspect="1"/>
        </xdr:cNvPicPr>
      </xdr:nvPicPr>
      <xdr:blipFill>
        <a:blip xmlns:r="http://schemas.openxmlformats.org/officeDocument/2006/relationships" r:embed="rId2"/>
        <a:stretch>
          <a:fillRect/>
        </a:stretch>
      </xdr:blipFill>
      <xdr:spPr>
        <a:xfrm>
          <a:off x="133350" y="5219700"/>
          <a:ext cx="7434894" cy="6095064"/>
        </a:xfrm>
        <a:prstGeom prst="rect">
          <a:avLst/>
        </a:prstGeom>
      </xdr:spPr>
    </xdr:pic>
    <xdr:clientData/>
  </xdr:twoCellAnchor>
  <xdr:twoCellAnchor editAs="oneCell">
    <xdr:from>
      <xdr:col>0</xdr:col>
      <xdr:colOff>0</xdr:colOff>
      <xdr:row>89</xdr:row>
      <xdr:rowOff>23166</xdr:rowOff>
    </xdr:from>
    <xdr:to>
      <xdr:col>9</xdr:col>
      <xdr:colOff>275068</xdr:colOff>
      <xdr:row>113</xdr:row>
      <xdr:rowOff>113629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282216"/>
          <a:ext cx="7247368" cy="4205263"/>
        </a:xfrm>
        <a:prstGeom prst="rect">
          <a:avLst/>
        </a:prstGeom>
      </xdr:spPr>
    </xdr:pic>
    <xdr:clientData/>
  </xdr:twoCellAnchor>
  <xdr:twoCellAnchor editAs="oneCell">
    <xdr:from>
      <xdr:col>0</xdr:col>
      <xdr:colOff>180975</xdr:colOff>
      <xdr:row>66</xdr:row>
      <xdr:rowOff>442</xdr:rowOff>
    </xdr:from>
    <xdr:to>
      <xdr:col>7</xdr:col>
      <xdr:colOff>541772</xdr:colOff>
      <xdr:row>88</xdr:row>
      <xdr:rowOff>104092</xdr:rowOff>
    </xdr:to>
    <xdr:pic>
      <xdr:nvPicPr>
        <xdr:cNvPr id="5" name="图片 4"/>
        <xdr:cNvPicPr>
          <a:picLocks noChangeAspect="1"/>
        </xdr:cNvPicPr>
      </xdr:nvPicPr>
      <xdr:blipFill>
        <a:blip xmlns:r="http://schemas.openxmlformats.org/officeDocument/2006/relationships" r:embed="rId4"/>
        <a:stretch>
          <a:fillRect/>
        </a:stretch>
      </xdr:blipFill>
      <xdr:spPr>
        <a:xfrm>
          <a:off x="180975" y="11316142"/>
          <a:ext cx="6542522" cy="3875550"/>
        </a:xfrm>
        <a:prstGeom prst="rect">
          <a:avLst/>
        </a:prstGeom>
      </xdr:spPr>
    </xdr:pic>
    <xdr:clientData/>
  </xdr:twoCellAnchor>
  <xdr:twoCellAnchor editAs="oneCell">
    <xdr:from>
      <xdr:col>7</xdr:col>
      <xdr:colOff>476250</xdr:colOff>
      <xdr:row>73</xdr:row>
      <xdr:rowOff>96446</xdr:rowOff>
    </xdr:from>
    <xdr:to>
      <xdr:col>13</xdr:col>
      <xdr:colOff>454789</xdr:colOff>
      <xdr:row>98</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6657975" y="12612296"/>
          <a:ext cx="5512564" cy="426600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陕西省渭南市开发区东府小区10#住宅楼预评估</v>
      </c>
    </row>
    <row r="3" spans="1:2" s="1593" customFormat="1">
      <c r="A3" s="1591" t="s">
        <v>1217</v>
      </c>
      <c r="B3" s="1592" t="str">
        <f>'预评函-封皮'!B40</f>
        <v>中化第十三建设公司</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受贵公司委托，我公司对陕西省渭南市开发区东府小区10#住宅楼进行了预评估。</v>
      </c>
    </row>
    <row r="7" spans="1:2" s="1593" customFormat="1">
      <c r="A7" s="1591" t="s">
        <v>1260</v>
      </c>
      <c r="B7" s="1592" t="str">
        <f>'预评函-1'!A7</f>
        <v>估价对象为陕西省渭南市开发区东府小区10#住宅楼房地产，为所有。根据《国有土地使用证》[]，估价对象（分摊）出让国有建设用地使用权面积为0平方米，建筑面积为4106平方米。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陕西省渭南市开发区东府小区10#住宅楼房地产,属开发建设的，该项目尚在开发建设中。根据《国有土地使用证》[]，估价对象（分摊）出让国有建设用地使用权面积为0平方米，规划建筑面积为4106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2019年5月16日（评估专业人员实地查勘之日）</v>
      </c>
    </row>
    <row r="13" spans="1:2" s="1593" customFormat="1">
      <c r="A13" s="1591" t="s">
        <v>1223</v>
      </c>
      <c r="B13" s="1592" t="str">
        <f>'预评函-1'!A18</f>
        <v>本次估价的“房地产价值”是指在正常市场情况下，在价值时点2019年5月16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本次评估采用的主估价方法为收益法和比较法。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1164</v>
      </c>
    </row>
    <row r="21" spans="1:2" s="1593" customFormat="1">
      <c r="A21" s="1591" t="s">
        <v>1231</v>
      </c>
      <c r="B21" s="1592">
        <f ca="1">'预评函-2'!D7</f>
        <v>2835</v>
      </c>
    </row>
    <row r="22" spans="1:2" s="1593" customFormat="1">
      <c r="A22" s="1591" t="s">
        <v>1232</v>
      </c>
      <c r="B22" s="1592" t="str">
        <f ca="1">'预评函-2'!D6</f>
        <v>壹仟壹佰陆拾肆万元整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1164</v>
      </c>
    </row>
    <row r="31" spans="1:2" s="1593" customFormat="1">
      <c r="A31" s="1591" t="s">
        <v>1270</v>
      </c>
      <c r="B31" s="1592">
        <f ca="1">'预评函-2'!D15</f>
        <v>2835</v>
      </c>
    </row>
    <row r="32" spans="1:2" s="1593" customFormat="1">
      <c r="A32" s="1591" t="s">
        <v>1237</v>
      </c>
      <c r="B32" s="1592" t="str">
        <f ca="1">'预评函-2'!D14</f>
        <v>壹仟壹佰陆拾肆万元整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陕西省渭南市开发区东府小区10#住宅楼房地产</v>
      </c>
    </row>
    <row r="42" spans="1:2" s="1593" customFormat="1">
      <c r="A42" s="1591" t="s">
        <v>1284</v>
      </c>
      <c r="B42" s="1592" t="str">
        <f>'预评函-3'!B2</f>
        <v>建筑面积</v>
      </c>
    </row>
    <row r="43" spans="1:2" s="1593" customFormat="1">
      <c r="A43" s="1591" t="s">
        <v>1285</v>
      </c>
      <c r="B43" s="1592">
        <f>'预评函-3'!B4</f>
        <v>4106</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#DIV/0!</v>
      </c>
    </row>
    <row r="48" spans="1:2" s="1593" customFormat="1">
      <c r="A48" s="1591" t="s">
        <v>1243</v>
      </c>
      <c r="B48" s="1592" t="e">
        <f ca="1">'预评函-3'!E4</f>
        <v>#DIV/0!</v>
      </c>
    </row>
    <row r="49" spans="1:2" s="1593" customFormat="1">
      <c r="A49" s="1591" t="s">
        <v>1244</v>
      </c>
      <c r="B49" s="1592" t="e">
        <f ca="1">'预评函-3'!D5</f>
        <v>#DIV/0!</v>
      </c>
    </row>
    <row r="50" spans="1:2" s="1593" customFormat="1">
      <c r="A50" s="1591" t="s">
        <v>1268</v>
      </c>
      <c r="B50" s="1592" t="str">
        <f>'预评函-3'!F2</f>
        <v>在建建筑物价值</v>
      </c>
    </row>
    <row r="51" spans="1:2" s="1593" customFormat="1">
      <c r="A51" s="1591" t="s">
        <v>1245</v>
      </c>
      <c r="B51" s="1592" t="e">
        <f ca="1">'预评函-3'!F4</f>
        <v>#DIV/0!</v>
      </c>
    </row>
    <row r="52" spans="1:2" s="1593" customFormat="1">
      <c r="A52" s="1591" t="s">
        <v>1246</v>
      </c>
      <c r="B52" s="1592" t="e">
        <f ca="1">'预评函-3'!G4</f>
        <v>#DIV/0!</v>
      </c>
    </row>
    <row r="53" spans="1:2" s="1593" customFormat="1">
      <c r="A53" s="1591" t="s">
        <v>1274</v>
      </c>
      <c r="B53" s="1592" t="e">
        <f ca="1">'预评函-3'!F5</f>
        <v>#DIV/0!</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陕西省渭南市开发区东府小区10#住宅楼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9"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022" t="s">
        <v>861</v>
      </c>
      <c r="C54" s="2019" t="s">
        <v>1277</v>
      </c>
    </row>
    <row r="55" spans="1:4">
      <c r="A55" s="3009"/>
      <c r="B55" s="2022" t="s">
        <v>862</v>
      </c>
      <c r="C55" s="2019" t="s">
        <v>1278</v>
      </c>
    </row>
    <row r="56" spans="1:4">
      <c r="A56" s="3009"/>
      <c r="B56" s="2022" t="s">
        <v>863</v>
      </c>
      <c r="C56" s="2019" t="s">
        <v>1282</v>
      </c>
    </row>
    <row r="57" spans="1:4">
      <c r="A57" s="3009"/>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1" sqref="B11"/>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1772</v>
      </c>
      <c r="B1" s="3010" t="str">
        <f>IF(B10="北京市","北京市",C10)&amp;F10&amp;IF(结果表!G1="在建","出让国有建设用地使用权及在建建筑物",IF(结果表!G1="土地","出让国有建设用地使用权",))&amp;B9&amp;"预评估"</f>
        <v>陕西省渭南市开发区东府小区10#住宅楼预评估</v>
      </c>
      <c r="C1" s="3011"/>
      <c r="D1" s="3011"/>
      <c r="E1" s="3011"/>
      <c r="F1" s="3011"/>
      <c r="G1" s="3011"/>
      <c r="H1" s="3011"/>
      <c r="I1" s="301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陕西省渭南市开发区东府小区10#住宅楼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陕西省渭南市开发区东府小区10#住宅楼房地产</v>
      </c>
    </row>
    <row r="3" spans="1:19" ht="18" customHeight="1">
      <c r="A3" s="2035" t="s">
        <v>1774</v>
      </c>
      <c r="B3" s="2036">
        <v>43601</v>
      </c>
      <c r="C3" s="2037" t="s">
        <v>1775</v>
      </c>
      <c r="D3" s="2036">
        <v>43601</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951" t="s">
        <v>3149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2048"/>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1779</v>
      </c>
      <c r="B7" s="2052"/>
      <c r="C7" s="2049"/>
      <c r="D7" s="2050"/>
      <c r="E7" s="2034"/>
      <c r="F7" s="2042"/>
      <c r="G7" s="2042"/>
      <c r="H7" s="2042"/>
      <c r="I7" s="2042"/>
      <c r="J7" s="2042"/>
      <c r="K7" s="2053"/>
      <c r="L7" s="2028"/>
      <c r="M7" s="2028"/>
      <c r="N7" s="2029"/>
      <c r="O7" s="2030"/>
      <c r="P7" s="2029"/>
      <c r="Q7" s="2029"/>
      <c r="R7" s="2029"/>
    </row>
    <row r="8" spans="1:19" ht="18" customHeight="1">
      <c r="A8" s="2047" t="s">
        <v>1780</v>
      </c>
      <c r="B8" s="2054"/>
      <c r="C8" s="2055"/>
      <c r="D8" s="3013" t="s">
        <v>1781</v>
      </c>
      <c r="E8" s="2056"/>
      <c r="F8" s="2057"/>
      <c r="G8" s="2026"/>
      <c r="H8" s="2026"/>
      <c r="I8" s="2026"/>
      <c r="J8" s="2042"/>
      <c r="K8" s="2043"/>
      <c r="L8" s="2028"/>
      <c r="M8" s="2028"/>
      <c r="N8" s="2029"/>
      <c r="O8" s="2030"/>
      <c r="P8" s="2029"/>
      <c r="Q8" s="2029"/>
      <c r="R8" s="2029"/>
    </row>
    <row r="9" spans="1:19" ht="18" customHeight="1" thickBot="1">
      <c r="A9" s="2040" t="s">
        <v>1782</v>
      </c>
      <c r="B9" s="2058"/>
      <c r="C9" s="2059"/>
      <c r="D9" s="3014"/>
      <c r="E9" s="2058"/>
      <c r="F9" s="2060"/>
      <c r="G9" s="2061"/>
      <c r="H9" s="2061"/>
      <c r="I9" s="2061"/>
      <c r="J9" s="2042"/>
      <c r="K9" s="2053"/>
      <c r="L9" s="2028"/>
      <c r="M9" s="2028"/>
      <c r="N9" s="2029"/>
      <c r="O9" s="2030"/>
      <c r="P9" s="2029"/>
      <c r="Q9" s="2029"/>
      <c r="R9" s="2029"/>
    </row>
    <row r="10" spans="1:19" ht="18" customHeight="1" thickTop="1">
      <c r="A10" s="2062" t="s">
        <v>1783</v>
      </c>
      <c r="B10" s="2063" t="s">
        <v>3150</v>
      </c>
      <c r="C10" s="2952" t="s">
        <v>3151</v>
      </c>
      <c r="D10" s="2046"/>
      <c r="E10" s="2064" t="s">
        <v>1784</v>
      </c>
      <c r="F10" s="2065" t="s">
        <v>3152</v>
      </c>
      <c r="G10" s="2066"/>
      <c r="H10" s="2067"/>
      <c r="I10" s="2046"/>
      <c r="J10" s="2042"/>
      <c r="K10" s="2053"/>
      <c r="L10" s="2028"/>
      <c r="M10" s="2028"/>
      <c r="N10" s="2029"/>
      <c r="O10" s="2030"/>
      <c r="P10" s="2029"/>
      <c r="Q10" s="2029"/>
      <c r="R10" s="2029"/>
    </row>
    <row r="11" spans="1:19" ht="18" customHeight="1">
      <c r="A11" s="2068" t="s">
        <v>1785</v>
      </c>
      <c r="B11" s="2069"/>
      <c r="C11" s="2070"/>
      <c r="D11" s="2071"/>
      <c r="E11" s="2042"/>
      <c r="F11" s="2042"/>
      <c r="G11" s="2042"/>
      <c r="H11" s="2042"/>
      <c r="I11" s="2042"/>
      <c r="J11" s="2042"/>
      <c r="K11" s="2053"/>
      <c r="L11" s="2028"/>
      <c r="M11" s="2028"/>
      <c r="N11" s="2029"/>
      <c r="O11" s="2030"/>
      <c r="P11" s="2029"/>
      <c r="Q11" s="2029"/>
      <c r="R11" s="2029"/>
    </row>
    <row r="12" spans="1:19" ht="18" customHeight="1">
      <c r="A12" s="2072" t="s">
        <v>1786</v>
      </c>
      <c r="B12" s="2069" t="s">
        <v>3170</v>
      </c>
      <c r="C12" s="2073" t="s">
        <v>1787</v>
      </c>
      <c r="D12" s="2074" t="s">
        <v>1788</v>
      </c>
      <c r="E12" s="2074" t="s">
        <v>1789</v>
      </c>
      <c r="F12" s="2074" t="s">
        <v>1790</v>
      </c>
      <c r="G12" s="2074" t="s">
        <v>1791</v>
      </c>
      <c r="H12" s="2074" t="s">
        <v>1792</v>
      </c>
      <c r="I12" s="2074" t="s">
        <v>1793</v>
      </c>
      <c r="J12" s="2042"/>
      <c r="K12" s="2053"/>
      <c r="L12" s="2028"/>
      <c r="M12" s="2028"/>
      <c r="N12" s="2029"/>
      <c r="O12" s="2030"/>
      <c r="P12" s="2029"/>
      <c r="Q12" s="2029"/>
      <c r="R12" s="2029"/>
    </row>
    <row r="13" spans="1:19" ht="18" customHeight="1">
      <c r="A13" s="2075"/>
      <c r="B13" s="2076"/>
      <c r="C13" s="2077" t="s">
        <v>1794</v>
      </c>
      <c r="D13" s="2078">
        <v>60405</v>
      </c>
      <c r="E13" s="2078"/>
      <c r="F13" s="2078"/>
      <c r="G13" s="2078"/>
      <c r="H13" s="2078"/>
      <c r="I13" s="1047"/>
      <c r="J13" s="2042"/>
      <c r="K13" s="2053"/>
      <c r="L13" s="2028"/>
      <c r="M13" s="2028"/>
      <c r="N13" s="2029"/>
      <c r="O13" s="2030"/>
      <c r="P13" s="2029"/>
      <c r="Q13" s="2029"/>
      <c r="R13" s="2029"/>
    </row>
    <row r="14" spans="1:19" ht="18" customHeight="1">
      <c r="A14" s="2075"/>
      <c r="B14" s="2076"/>
      <c r="C14" s="2077" t="s">
        <v>1795</v>
      </c>
      <c r="D14" s="1050">
        <v>70</v>
      </c>
      <c r="E14" s="1050"/>
      <c r="F14" s="1050"/>
      <c r="G14" s="1050"/>
      <c r="H14" s="1050"/>
      <c r="I14" s="1050"/>
      <c r="J14" s="2042"/>
      <c r="K14" s="2079"/>
      <c r="L14" s="2028"/>
      <c r="M14" s="2028"/>
      <c r="N14" s="2029"/>
      <c r="O14" s="2030"/>
      <c r="P14" s="2029"/>
      <c r="Q14" s="2029"/>
      <c r="R14" s="2029"/>
    </row>
    <row r="15" spans="1:19" ht="18" customHeight="1">
      <c r="A15" s="2062"/>
      <c r="B15" s="2080"/>
      <c r="C15" s="2077" t="s">
        <v>1796</v>
      </c>
      <c r="D15" s="1049">
        <f>IF(B12="出让",IF(D13="","",ROUNDDOWN(MIN((D13-$D$3)/365,D14),2)),D14)</f>
        <v>46.03</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81"/>
      <c r="L15" s="2082"/>
      <c r="M15" s="2082"/>
      <c r="N15" s="2083"/>
      <c r="O15" s="2082"/>
      <c r="P15" s="2083"/>
      <c r="Q15" s="2029"/>
      <c r="R15" s="2029"/>
    </row>
    <row r="16" spans="1:19" ht="30.75" customHeight="1">
      <c r="A16" s="2064" t="s">
        <v>1797</v>
      </c>
      <c r="B16" s="3020"/>
      <c r="C16" s="3021"/>
      <c r="D16" s="3022"/>
      <c r="E16" s="2084" t="s">
        <v>1798</v>
      </c>
      <c r="F16" s="3023"/>
      <c r="G16" s="3024"/>
      <c r="H16" s="3024"/>
      <c r="I16" s="3025"/>
      <c r="J16" s="2029"/>
      <c r="K16" s="2081"/>
      <c r="L16" s="2082"/>
      <c r="M16" s="2082"/>
      <c r="N16" s="2083"/>
      <c r="O16" s="2082"/>
      <c r="P16" s="2083"/>
      <c r="Q16" s="2029"/>
      <c r="R16" s="2029"/>
    </row>
    <row r="17" spans="1:22" ht="18" customHeight="1">
      <c r="A17" s="2085" t="s">
        <v>1799</v>
      </c>
      <c r="B17" s="2035" t="s">
        <v>1800</v>
      </c>
      <c r="C17" s="1054">
        <f>'数据-汇总表'!E3</f>
        <v>4106</v>
      </c>
      <c r="D17" s="2086" t="s">
        <v>1801</v>
      </c>
      <c r="E17" s="3026" t="s">
        <v>3162</v>
      </c>
      <c r="F17" s="3027"/>
      <c r="G17" s="3027"/>
      <c r="H17" s="3027"/>
      <c r="I17" s="3028"/>
      <c r="J17" s="2029"/>
      <c r="K17" s="2087"/>
      <c r="L17" s="2082"/>
      <c r="M17" s="2082"/>
      <c r="N17" s="2083"/>
      <c r="O17" s="2082"/>
      <c r="P17" s="2083"/>
      <c r="Q17" s="2029"/>
      <c r="R17" s="2029"/>
      <c r="S17" s="2029"/>
      <c r="T17" s="2029"/>
      <c r="U17" s="2029"/>
      <c r="V17" s="2029"/>
    </row>
    <row r="18" spans="1:22" ht="36" customHeight="1" thickBot="1">
      <c r="A18" s="2088" t="s">
        <v>1802</v>
      </c>
      <c r="B18" s="2038" t="s">
        <v>1803</v>
      </c>
      <c r="C18" s="1444">
        <f>'数据-汇总表'!D3</f>
        <v>0</v>
      </c>
      <c r="D18" s="2089" t="s">
        <v>1801</v>
      </c>
      <c r="E18" s="3029" t="s">
        <v>1804</v>
      </c>
      <c r="F18" s="3030"/>
      <c r="G18" s="3030"/>
      <c r="H18" s="3030"/>
      <c r="I18" s="3031"/>
      <c r="J18" s="2029"/>
      <c r="K18" s="2087"/>
      <c r="L18" s="2082"/>
      <c r="M18" s="2082"/>
      <c r="N18" s="2083"/>
      <c r="O18" s="2082"/>
      <c r="P18" s="2083"/>
      <c r="Q18" s="2029"/>
      <c r="R18" s="2029"/>
      <c r="S18" s="2029"/>
      <c r="T18" s="2029"/>
      <c r="U18" s="2029"/>
      <c r="V18" s="2029"/>
    </row>
    <row r="19" spans="1:22" ht="37.5" customHeight="1" thickTop="1" thickBot="1">
      <c r="A19" s="373" t="s">
        <v>1805</v>
      </c>
      <c r="B19" s="352" t="s">
        <v>1806</v>
      </c>
      <c r="C19" s="2090"/>
      <c r="D19" s="2091" t="s">
        <v>1807</v>
      </c>
      <c r="E19" s="2092"/>
      <c r="F19" s="2093" t="str">
        <f>IF(AND(C19="是",E19="否"),"是否提供他项权证或相关说明","")</f>
        <v/>
      </c>
      <c r="G19" s="2094"/>
      <c r="H19" s="2042"/>
      <c r="I19" s="2042"/>
      <c r="J19" s="2042"/>
      <c r="K19" s="2053"/>
      <c r="L19" s="2028"/>
      <c r="M19" s="2028"/>
      <c r="N19" s="2083"/>
      <c r="O19" s="2082"/>
      <c r="P19" s="2083"/>
      <c r="Q19" s="2029"/>
      <c r="R19" s="2029"/>
      <c r="S19" s="2029"/>
      <c r="T19" s="2029"/>
      <c r="U19" s="2029"/>
      <c r="V19" s="2029"/>
    </row>
    <row r="20" spans="1:22" ht="18" customHeight="1">
      <c r="A20" s="2095" t="s">
        <v>1808</v>
      </c>
      <c r="B20" s="3016" t="s">
        <v>1809</v>
      </c>
      <c r="C20" s="3017"/>
      <c r="D20" s="3018" t="s">
        <v>1810</v>
      </c>
      <c r="E20" s="3019"/>
      <c r="F20" s="2096" t="s">
        <v>1811</v>
      </c>
      <c r="G20" s="2042"/>
      <c r="H20" s="2042"/>
      <c r="I20" s="2042"/>
      <c r="J20" s="2042"/>
      <c r="K20" s="3015"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3"/>
      <c r="O20" s="2082"/>
      <c r="P20" s="2083"/>
      <c r="Q20" s="2029"/>
      <c r="R20" s="2029"/>
      <c r="S20" s="2029"/>
      <c r="T20" s="2029"/>
      <c r="U20" s="2029"/>
      <c r="V20" s="2029"/>
    </row>
    <row r="21" spans="1:22" ht="24.75" customHeight="1">
      <c r="A21" s="2095"/>
      <c r="B21" s="2097" t="s">
        <v>1813</v>
      </c>
      <c r="C21" s="2098" t="s">
        <v>1814</v>
      </c>
      <c r="D21" s="2099" t="s">
        <v>1815</v>
      </c>
      <c r="E21" s="2100" t="s">
        <v>1814</v>
      </c>
      <c r="F21" s="2101"/>
      <c r="G21" s="2042"/>
      <c r="H21" s="2042"/>
      <c r="I21" s="2042"/>
      <c r="J21" s="2042"/>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3"/>
      <c r="O21" s="2082"/>
      <c r="P21" s="2083"/>
      <c r="Q21" s="2029"/>
      <c r="R21" s="2029"/>
      <c r="S21" s="2029"/>
      <c r="T21" s="2029"/>
      <c r="U21" s="2029"/>
      <c r="V21" s="2029"/>
    </row>
    <row r="22" spans="1:22" ht="24.75" customHeight="1" thickBot="1">
      <c r="A22" s="2095"/>
      <c r="B22" s="2102" t="s">
        <v>1816</v>
      </c>
      <c r="C22" s="2098" t="s">
        <v>1817</v>
      </c>
      <c r="D22" s="2026"/>
      <c r="E22" s="2026"/>
      <c r="F22" s="2103"/>
      <c r="G22" s="2042"/>
      <c r="H22" s="2042"/>
      <c r="I22" s="2042"/>
      <c r="J22" s="2042"/>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1818</v>
      </c>
      <c r="B23" s="183" t="s">
        <v>1819</v>
      </c>
      <c r="C23" s="2105"/>
      <c r="D23" s="2106" t="s">
        <v>1819</v>
      </c>
      <c r="E23" s="2107"/>
      <c r="F23" s="2103"/>
      <c r="G23" s="2042"/>
      <c r="H23" s="2042"/>
      <c r="I23" s="2042"/>
      <c r="J23" s="2042"/>
      <c r="K23" s="2108"/>
      <c r="L23" s="748"/>
      <c r="M23" s="2028"/>
      <c r="N23" s="2083"/>
      <c r="O23" s="2082"/>
      <c r="P23" s="2083"/>
      <c r="Q23" s="2029"/>
      <c r="R23" s="2029"/>
      <c r="S23" s="2029"/>
      <c r="T23" s="2029"/>
      <c r="U23" s="2029"/>
      <c r="V23" s="2029"/>
    </row>
    <row r="24" spans="1:22" ht="18" customHeight="1">
      <c r="A24" s="2109"/>
      <c r="B24" s="183" t="s">
        <v>1820</v>
      </c>
      <c r="C24" s="2110"/>
      <c r="D24" s="2104" t="s">
        <v>1820</v>
      </c>
      <c r="E24" s="2111"/>
      <c r="F24" s="2103"/>
      <c r="G24" s="2042"/>
      <c r="H24" s="2042"/>
      <c r="I24" s="2042"/>
      <c r="J24" s="2042"/>
      <c r="K24" s="2108"/>
      <c r="L24" s="748"/>
      <c r="M24" s="2028"/>
      <c r="N24" s="2083"/>
      <c r="O24" s="2082"/>
      <c r="P24" s="2083"/>
      <c r="Q24" s="2029"/>
      <c r="R24" s="2029"/>
      <c r="S24" s="2029"/>
      <c r="T24" s="2029"/>
      <c r="U24" s="2029"/>
      <c r="V24" s="2029"/>
    </row>
    <row r="25" spans="1:22" ht="18" customHeight="1">
      <c r="A25" s="2109"/>
      <c r="B25" s="183" t="s">
        <v>1821</v>
      </c>
      <c r="C25" s="2110"/>
      <c r="D25" s="2104" t="s">
        <v>1821</v>
      </c>
      <c r="E25" s="2111"/>
      <c r="F25" s="2103"/>
      <c r="G25" s="2042"/>
      <c r="H25" s="2042"/>
      <c r="I25" s="2042"/>
      <c r="J25" s="2042"/>
      <c r="K25" s="2053"/>
      <c r="L25" s="2028"/>
      <c r="M25" s="2028"/>
      <c r="N25" s="2083"/>
      <c r="O25" s="2082"/>
      <c r="P25" s="2083"/>
      <c r="Q25" s="2029"/>
      <c r="R25" s="2029"/>
      <c r="S25" s="2029"/>
      <c r="T25" s="2029"/>
      <c r="U25" s="2029"/>
      <c r="V25" s="2029"/>
    </row>
    <row r="26" spans="1:22" ht="18" customHeight="1" thickBot="1">
      <c r="A26" s="2112"/>
      <c r="B26" s="2113" t="s">
        <v>1822</v>
      </c>
      <c r="C26" s="2114"/>
      <c r="D26" s="2115" t="s">
        <v>1823</v>
      </c>
      <c r="E26" s="2116"/>
      <c r="F26" s="2117"/>
      <c r="G26" s="2061"/>
      <c r="H26" s="2061"/>
      <c r="I26" s="2061"/>
      <c r="J26" s="2042"/>
      <c r="K26" s="2053"/>
      <c r="L26" s="2028"/>
      <c r="M26" s="2028"/>
      <c r="N26" s="2083"/>
      <c r="O26" s="2082"/>
      <c r="P26" s="2083"/>
      <c r="Q26" s="2029"/>
      <c r="R26" s="2029"/>
      <c r="S26" s="2029"/>
      <c r="T26" s="2029"/>
      <c r="U26" s="2029"/>
      <c r="V26" s="2029"/>
    </row>
    <row r="27" spans="1:22" ht="18" customHeight="1" thickTop="1">
      <c r="A27" s="3033" t="s">
        <v>1824</v>
      </c>
      <c r="B27" s="2062" t="s">
        <v>1825</v>
      </c>
      <c r="C27" s="2118"/>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033"/>
      <c r="B28" s="2035" t="s">
        <v>1826</v>
      </c>
      <c r="C28" s="2120"/>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033"/>
      <c r="B29" s="2035" t="s">
        <v>1827</v>
      </c>
      <c r="C29" s="2123"/>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034"/>
      <c r="B30" s="2035" t="s">
        <v>1828</v>
      </c>
      <c r="C30" s="3035"/>
      <c r="D30" s="3036"/>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037" t="s">
        <v>1829</v>
      </c>
      <c r="B31" s="2125"/>
      <c r="C31" s="2126" t="str">
        <f>IF(B31="现房","成新及维护状况正常否",IF(B31="在建","工程状态是否正常",IF(B31="土地","是否闲置","-")))</f>
        <v>-</v>
      </c>
      <c r="D31" s="2127"/>
      <c r="E31" s="2128"/>
      <c r="F31" s="2042"/>
      <c r="G31" s="2042"/>
      <c r="H31" s="2042"/>
      <c r="I31" s="2042"/>
      <c r="J31" s="2042"/>
      <c r="K31" s="2051"/>
      <c r="L31" s="2028"/>
      <c r="M31" s="2028"/>
      <c r="N31" s="2029"/>
      <c r="O31" s="2030"/>
      <c r="P31" s="2029"/>
      <c r="Q31" s="2029"/>
      <c r="R31" s="2029"/>
      <c r="S31" s="2029"/>
      <c r="T31" s="2029"/>
      <c r="U31" s="2029"/>
      <c r="V31" s="2029"/>
    </row>
    <row r="32" spans="1:22" ht="18" customHeight="1">
      <c r="A32" s="3038"/>
      <c r="B32" s="2125"/>
      <c r="C32" s="2126" t="str">
        <f>IF(B32="现房","成新及维护状况是否正常",IF(B32="在建","工程状态是否正常",IF(B32="土地","是否闲置","-")))</f>
        <v>-</v>
      </c>
      <c r="D32" s="2127"/>
      <c r="E32" s="2128"/>
      <c r="F32" s="2042"/>
      <c r="G32" s="2042"/>
      <c r="H32" s="2042"/>
      <c r="I32" s="2042"/>
      <c r="J32" s="2042"/>
      <c r="K32" s="2053"/>
      <c r="L32" s="2028"/>
      <c r="M32" s="2028"/>
      <c r="N32" s="2029"/>
      <c r="O32" s="2030"/>
      <c r="P32" s="2029"/>
      <c r="Q32" s="2029"/>
      <c r="R32" s="2029"/>
      <c r="S32" s="2029"/>
      <c r="T32" s="2029"/>
      <c r="U32" s="2029"/>
      <c r="V32" s="2029"/>
    </row>
    <row r="33" spans="1:22" ht="18" customHeight="1">
      <c r="A33" s="3038"/>
      <c r="B33" s="2129"/>
      <c r="C33" s="2068" t="str">
        <f>IF(B33="现房","成新及维护状况是否正常",IF(B33="在建","工程状态是否正常",IF(B33="土地","是否闲置","-")))</f>
        <v>-</v>
      </c>
      <c r="D33" s="2130"/>
      <c r="E33" s="2131"/>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1830</v>
      </c>
      <c r="B34" s="2132" t="s">
        <v>3153</v>
      </c>
      <c r="C34" s="2132" t="s">
        <v>3154</v>
      </c>
      <c r="D34" s="2132" t="s">
        <v>3155</v>
      </c>
      <c r="E34" s="2132" t="s">
        <v>3156</v>
      </c>
      <c r="F34" s="2132" t="s">
        <v>3157</v>
      </c>
      <c r="G34" s="2132"/>
      <c r="H34" s="2132"/>
      <c r="I34" s="2042"/>
      <c r="J34" s="2042"/>
      <c r="K34" s="1795">
        <f>COUNTIF(B34:H34,"——")</f>
        <v>0</v>
      </c>
      <c r="L34" s="2073" t="s">
        <v>1831</v>
      </c>
      <c r="M34" s="2073" t="s">
        <v>1832</v>
      </c>
      <c r="N34" s="2073" t="s">
        <v>1833</v>
      </c>
      <c r="O34" s="2073" t="s">
        <v>1834</v>
      </c>
      <c r="P34" s="2073" t="s">
        <v>1835</v>
      </c>
      <c r="Q34" s="2073" t="s">
        <v>1836</v>
      </c>
      <c r="R34" s="2073" t="s">
        <v>1837</v>
      </c>
      <c r="S34" s="3032" t="s">
        <v>1838</v>
      </c>
      <c r="T34" s="2133" t="str">
        <f>NUMBERSTRING(7-K34,1)&amp;"通"</f>
        <v>七通</v>
      </c>
      <c r="U34" s="2029"/>
      <c r="V34" s="2029"/>
    </row>
    <row r="35" spans="1:22" ht="18" customHeight="1">
      <c r="A35" s="2134"/>
      <c r="B35" s="3039" t="s">
        <v>1839</v>
      </c>
      <c r="C35" s="3039"/>
      <c r="D35" s="3039"/>
      <c r="E35" s="3039"/>
      <c r="F35" s="2135" t="str">
        <f>C10</f>
        <v>陕西省</v>
      </c>
      <c r="G35" s="2042"/>
      <c r="H35" s="2042"/>
      <c r="I35" s="2042"/>
      <c r="J35" s="2042"/>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2"/>
      <c r="T35" s="48" t="str">
        <f>IF(T34="一通",L35,IF(T34="二通",M35,IF(T34="三通",N35,IF(T34="四通",O35,IF(T34="五通",P35,IF(T34="六通",Q35,R35))))))</f>
        <v>通路、通电、通讯、通上水、通下水、、</v>
      </c>
      <c r="U35" s="2029"/>
      <c r="V35" s="2029"/>
    </row>
    <row r="36" spans="1:22" ht="18" customHeight="1">
      <c r="A36" s="2136"/>
      <c r="B36" s="2135" t="s">
        <v>1840</v>
      </c>
      <c r="C36" s="2135" t="s">
        <v>1841</v>
      </c>
      <c r="D36" s="2135" t="s">
        <v>1842</v>
      </c>
      <c r="E36" s="2135" t="s">
        <v>1843</v>
      </c>
      <c r="F36" s="2137"/>
      <c r="G36" s="2042"/>
      <c r="H36" s="2042"/>
      <c r="I36" s="2042"/>
      <c r="J36" s="2042"/>
      <c r="K36" s="2053"/>
      <c r="L36" s="2028"/>
      <c r="M36" s="2028"/>
      <c r="N36" s="2029"/>
      <c r="O36" s="2030"/>
      <c r="P36" s="2029"/>
      <c r="Q36" s="2029"/>
      <c r="R36" s="2029"/>
      <c r="S36" s="2029"/>
      <c r="T36" s="2029"/>
      <c r="U36" s="2029"/>
      <c r="V36" s="2029"/>
    </row>
    <row r="37" spans="1:22" ht="18" customHeight="1">
      <c r="A37" s="2138" t="s">
        <v>1844</v>
      </c>
      <c r="B37" s="2139"/>
      <c r="C37" s="2139"/>
      <c r="D37" s="2139"/>
      <c r="E37" s="2139"/>
      <c r="F37" s="2137"/>
      <c r="G37" s="2042"/>
      <c r="H37" s="2042"/>
      <c r="I37" s="2042"/>
      <c r="J37" s="2042"/>
      <c r="K37" s="2053"/>
      <c r="L37" s="2028"/>
      <c r="M37" s="2028"/>
      <c r="N37" s="2029"/>
      <c r="O37" s="2030"/>
      <c r="P37" s="2029"/>
      <c r="Q37" s="2029"/>
      <c r="R37" s="2029"/>
      <c r="S37" s="2029"/>
      <c r="T37" s="2029"/>
      <c r="U37" s="2029"/>
      <c r="V37" s="2029"/>
    </row>
    <row r="38" spans="1:22" ht="18" customHeight="1" thickBot="1">
      <c r="A38" s="2140" t="s">
        <v>1845</v>
      </c>
      <c r="B38" s="2141"/>
      <c r="C38" s="2141"/>
      <c r="D38" s="2141"/>
      <c r="E38" s="2141"/>
      <c r="F38" s="2142"/>
      <c r="G38" s="2061"/>
      <c r="H38" s="2061"/>
      <c r="I38" s="2061"/>
      <c r="J38" s="2042"/>
      <c r="K38" s="2053"/>
      <c r="L38" s="2028"/>
      <c r="M38" s="2028"/>
      <c r="N38" s="2029"/>
      <c r="O38" s="2030"/>
      <c r="P38" s="2029"/>
      <c r="Q38" s="2029"/>
      <c r="R38" s="2029"/>
      <c r="S38" s="2029"/>
      <c r="T38" s="2029"/>
      <c r="U38" s="2029"/>
      <c r="V38" s="2029"/>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6"/>
      <c r="L40" s="2082"/>
      <c r="M40" s="2082"/>
      <c r="N40" s="2083"/>
      <c r="O40" s="2082"/>
      <c r="P40" s="2029"/>
      <c r="Q40" s="2029"/>
      <c r="R40" s="2029"/>
      <c r="S40" s="2029"/>
      <c r="T40" s="2029"/>
      <c r="U40" s="2029"/>
      <c r="V40" s="2029"/>
    </row>
    <row r="41" spans="1:22" ht="18" customHeight="1">
      <c r="A41" s="8" t="s">
        <v>1847</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1848</v>
      </c>
      <c r="B42" s="1795" t="s">
        <v>1849</v>
      </c>
      <c r="C42" s="1795" t="s">
        <v>1850</v>
      </c>
      <c r="D42" s="1795" t="s">
        <v>1851</v>
      </c>
      <c r="E42" s="1795" t="s">
        <v>1852</v>
      </c>
      <c r="F42" s="1795" t="s">
        <v>1853</v>
      </c>
      <c r="G42" s="1795" t="s">
        <v>1854</v>
      </c>
      <c r="H42" s="1795" t="s">
        <v>1855</v>
      </c>
      <c r="I42" s="1795" t="s">
        <v>1856</v>
      </c>
      <c r="J42" s="2151" t="s">
        <v>1857</v>
      </c>
      <c r="K42" s="2074" t="s">
        <v>1858</v>
      </c>
      <c r="L42" s="2074" t="s">
        <v>1859</v>
      </c>
      <c r="M42" s="2074" t="s">
        <v>1860</v>
      </c>
      <c r="N42" s="1795" t="s">
        <v>1861</v>
      </c>
      <c r="O42" s="1795" t="s">
        <v>1862</v>
      </c>
      <c r="P42" s="1795" t="s">
        <v>1863</v>
      </c>
      <c r="Q42" s="2073" t="s">
        <v>1864</v>
      </c>
      <c r="R42" s="2073" t="s">
        <v>1865</v>
      </c>
      <c r="S42" s="2029"/>
      <c r="T42" s="2029"/>
      <c r="U42" s="2029"/>
      <c r="V42" s="2029"/>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1871</v>
      </c>
      <c r="AZ2" s="1270"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4106</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3"/>
      <c r="C5" s="1803"/>
      <c r="D5" s="1806"/>
      <c r="E5" s="16" t="s">
        <v>1</v>
      </c>
      <c r="F5" s="16">
        <f>SUM(F13:F587)</f>
        <v>0</v>
      </c>
      <c r="G5" s="16">
        <f>SUM(G13:G587)</f>
        <v>4106</v>
      </c>
      <c r="H5" s="16">
        <f t="shared" ref="H5:AT5" si="0">SUM(H13:H656)</f>
        <v>4106</v>
      </c>
      <c r="I5" s="16">
        <f t="shared" si="0"/>
        <v>4106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4106</v>
      </c>
      <c r="BA5" s="18">
        <f t="shared" si="1"/>
        <v>4106</v>
      </c>
      <c r="BB5" s="18">
        <f t="shared" si="1"/>
        <v>4106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1884</v>
      </c>
      <c r="AV7" s="23" t="s">
        <v>1885</v>
      </c>
      <c r="AW7" s="2165" t="s">
        <v>1886</v>
      </c>
      <c r="AX7" s="23" t="s">
        <v>1879</v>
      </c>
      <c r="AY7" s="1803"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8"/>
      <c r="K8" s="1818"/>
      <c r="L8" s="1818"/>
      <c r="M8" s="1818"/>
      <c r="N8" s="1818"/>
      <c r="O8" s="1818"/>
      <c r="P8" s="1818"/>
      <c r="Q8" s="1818"/>
      <c r="R8" s="1818"/>
      <c r="S8" s="1818"/>
      <c r="T8" s="1818"/>
      <c r="U8" s="1818"/>
      <c r="V8" s="2185"/>
      <c r="W8" s="1818"/>
      <c r="X8" s="1818"/>
      <c r="Y8" s="1818"/>
      <c r="Z8" s="1818"/>
      <c r="AA8" s="2185"/>
      <c r="AB8" s="2186"/>
      <c r="AC8" s="981" t="s">
        <v>1890</v>
      </c>
      <c r="AD8" s="2187"/>
      <c r="AE8" s="2179"/>
      <c r="AF8" s="1818"/>
      <c r="AG8" s="1818"/>
      <c r="AH8" s="1818"/>
      <c r="AI8" s="1818"/>
      <c r="AJ8" s="1818"/>
      <c r="AK8" s="1818"/>
      <c r="AL8" s="1818"/>
      <c r="AM8" s="1818"/>
      <c r="AN8" s="1818"/>
      <c r="AO8" s="1818"/>
      <c r="AP8" s="1818"/>
      <c r="AQ8" s="1818"/>
      <c r="AR8" s="1818"/>
      <c r="AS8" s="1818"/>
      <c r="AT8" s="1292" t="s">
        <v>1891</v>
      </c>
      <c r="AU8" s="2181" t="s">
        <v>1892</v>
      </c>
      <c r="AV8" s="1292"/>
      <c r="AW8" s="2164"/>
      <c r="AX8" s="1292"/>
      <c r="AY8" s="2165"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1895</v>
      </c>
      <c r="I9" s="2190" t="s">
        <v>3159</v>
      </c>
      <c r="J9" s="981"/>
      <c r="K9" s="2190"/>
      <c r="L9" s="981"/>
      <c r="M9" s="2190"/>
      <c r="N9" s="981"/>
      <c r="O9" s="2190"/>
      <c r="P9" s="981"/>
      <c r="Q9" s="2190"/>
      <c r="R9" s="981"/>
      <c r="S9" s="2190"/>
      <c r="T9" s="981"/>
      <c r="U9" s="2190"/>
      <c r="V9" s="981"/>
      <c r="W9" s="2190"/>
      <c r="X9" s="2191"/>
      <c r="Y9" s="2190"/>
      <c r="Z9" s="981"/>
      <c r="AA9" s="2190"/>
      <c r="AB9" s="981"/>
      <c r="AC9" s="2182"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2"/>
      <c r="AT9" s="2181"/>
      <c r="AU9" s="2181" t="s">
        <v>1898</v>
      </c>
      <c r="AV9" s="1292"/>
      <c r="AW9" s="2164"/>
      <c r="AX9" s="1292"/>
      <c r="AY9" s="28"/>
      <c r="AZ9" s="28" t="s">
        <v>1888</v>
      </c>
      <c r="BA9" s="2193" t="s">
        <v>1899</v>
      </c>
      <c r="BB9" s="2194"/>
      <c r="BC9" s="1338"/>
      <c r="BD9" s="1338"/>
      <c r="BE9" s="1338"/>
      <c r="BF9" s="1338"/>
      <c r="BG9" s="1338"/>
      <c r="BH9" s="1338"/>
      <c r="BI9" s="1338"/>
      <c r="BJ9" s="1338"/>
      <c r="BK9" s="2195"/>
      <c r="BL9" s="15" t="s">
        <v>1900</v>
      </c>
      <c r="BM9" s="1818"/>
      <c r="BN9" s="2184"/>
      <c r="BO9" s="1818"/>
      <c r="BP9" s="1818"/>
      <c r="BQ9" s="1818"/>
      <c r="BR9" s="1818"/>
      <c r="BS9" s="1818"/>
      <c r="BT9" s="26"/>
    </row>
    <row r="10" spans="1:72" s="2188" customFormat="1" ht="12.75">
      <c r="A10" s="2181"/>
      <c r="B10" s="2181"/>
      <c r="C10" s="2181"/>
      <c r="D10" s="2181"/>
      <c r="E10" s="2181"/>
      <c r="F10" s="2181"/>
      <c r="G10" s="1292"/>
      <c r="H10" s="28"/>
      <c r="I10" s="2190" t="s">
        <v>3160</v>
      </c>
      <c r="J10" s="981"/>
      <c r="K10" s="2196"/>
      <c r="L10" s="981"/>
      <c r="M10" s="2196"/>
      <c r="N10" s="981"/>
      <c r="O10" s="2196"/>
      <c r="P10" s="981"/>
      <c r="Q10" s="2196"/>
      <c r="R10" s="981"/>
      <c r="S10" s="2196"/>
      <c r="T10" s="981"/>
      <c r="U10" s="2196"/>
      <c r="V10" s="981"/>
      <c r="W10" s="2196"/>
      <c r="X10" s="981"/>
      <c r="Y10" s="2196"/>
      <c r="Z10" s="981"/>
      <c r="AA10" s="2196"/>
      <c r="AB10" s="981"/>
      <c r="AC10" s="1292"/>
      <c r="AD10" s="15" t="s">
        <v>1901</v>
      </c>
      <c r="AE10" s="2197"/>
      <c r="AF10" s="15" t="s">
        <v>1901</v>
      </c>
      <c r="AG10" s="2197"/>
      <c r="AH10" s="15" t="s">
        <v>1902</v>
      </c>
      <c r="AI10" s="2197"/>
      <c r="AJ10" s="15" t="s">
        <v>1902</v>
      </c>
      <c r="AK10" s="2197"/>
      <c r="AL10" s="15" t="s">
        <v>1903</v>
      </c>
      <c r="AM10" s="1298"/>
      <c r="AN10" s="15" t="s">
        <v>1903</v>
      </c>
      <c r="AO10" s="1298"/>
      <c r="AP10" s="15" t="s">
        <v>1904</v>
      </c>
      <c r="AQ10" s="1298"/>
      <c r="AR10" s="15" t="s">
        <v>1904</v>
      </c>
      <c r="AS10" s="1298"/>
      <c r="AT10" s="2181"/>
      <c r="AU10" s="2181"/>
      <c r="AV10" s="1292"/>
      <c r="AW10" s="2164"/>
      <c r="AX10" s="1292"/>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t="s">
        <v>3161</v>
      </c>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1905</v>
      </c>
      <c r="AE11" s="1819"/>
      <c r="AF11" s="2203" t="s">
        <v>1905</v>
      </c>
      <c r="AG11" s="1819"/>
      <c r="AH11" s="2203" t="s">
        <v>1906</v>
      </c>
      <c r="AI11" s="2204"/>
      <c r="AJ11" s="2203" t="s">
        <v>1906</v>
      </c>
      <c r="AK11" s="1819"/>
      <c r="AL11" s="1817"/>
      <c r="AM11" s="1819"/>
      <c r="AN11" s="1817"/>
      <c r="AO11" s="1819"/>
      <c r="AP11" s="1817"/>
      <c r="AQ11" s="1819"/>
      <c r="AR11" s="1817"/>
      <c r="AS11" s="1819"/>
      <c r="AT11" s="2164"/>
      <c r="AU11" s="2181"/>
      <c r="AV11" s="1292"/>
      <c r="AW11" s="2164"/>
      <c r="AX11" s="1292"/>
      <c r="AY11" s="28"/>
      <c r="AZ11" s="28"/>
      <c r="BA11" s="28"/>
      <c r="BB11" s="2186" t="str">
        <f>I10</f>
        <v>住宅</v>
      </c>
      <c r="BC11" s="2186">
        <f>K10</f>
        <v>0</v>
      </c>
      <c r="BD11" s="2186">
        <f>M10</f>
        <v>0</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8"/>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平层住宅</v>
      </c>
      <c r="BC12" s="2211">
        <f>K11</f>
        <v>0</v>
      </c>
      <c r="BD12" s="2211">
        <f>M11</f>
        <v>0</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c r="D13" s="2212" t="s">
        <v>3158</v>
      </c>
      <c r="E13" s="16">
        <f>IF($C$3="是",ROUND($A$3*G13/$B$3,2),ROUND($A$3*(G13-AT13)/$B$3,2))</f>
        <v>0</v>
      </c>
      <c r="F13" s="32"/>
      <c r="G13" s="33">
        <f>H13+AC13+AT13</f>
        <v>4106</v>
      </c>
      <c r="H13" s="20">
        <f>SUMIF(I$12:AB$12,"总值",I13:AB13)</f>
        <v>4106</v>
      </c>
      <c r="I13" s="2213">
        <v>4106</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6">
        <f>ROUND($AY$6*AZ13/$AZ$5,2)</f>
        <v>0</v>
      </c>
      <c r="AZ13" s="16">
        <f>BA13+BL13</f>
        <v>4106</v>
      </c>
      <c r="BA13" s="16">
        <f>SUM(BB13:BK13)</f>
        <v>4106</v>
      </c>
      <c r="BB13" s="16">
        <f>IF($D13="是",I13-J13,0)</f>
        <v>4106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2"/>
      <c r="C1" s="1392"/>
      <c r="D1" s="1392"/>
      <c r="E1" s="1392"/>
      <c r="F1" s="1392"/>
      <c r="G1" s="1392"/>
      <c r="H1" s="1392"/>
      <c r="I1" s="1392"/>
      <c r="J1" s="1392"/>
      <c r="K1" s="1392"/>
      <c r="L1" s="1392"/>
      <c r="M1" s="1392"/>
      <c r="N1" s="1392"/>
      <c r="O1" s="1392"/>
      <c r="P1" s="1392"/>
    </row>
    <row r="2" spans="1:16" ht="15">
      <c r="A2" s="3051" t="s">
        <v>1935</v>
      </c>
      <c r="B2" s="3051"/>
      <c r="C2" s="3051"/>
      <c r="D2" s="967" t="s">
        <v>1911</v>
      </c>
      <c r="E2" s="2226" t="s">
        <v>1912</v>
      </c>
      <c r="F2" s="1392"/>
      <c r="G2" s="2227"/>
      <c r="H2" s="2228"/>
      <c r="I2" s="2229" t="s">
        <v>1936</v>
      </c>
      <c r="J2" s="1392"/>
      <c r="K2" s="1392"/>
      <c r="L2" s="1392"/>
      <c r="M2" s="1392"/>
      <c r="N2" s="1427"/>
      <c r="O2" s="1392"/>
      <c r="P2" s="1392"/>
    </row>
    <row r="3" spans="1:16" ht="15.75" thickBot="1">
      <c r="A3" s="3052" t="s">
        <v>1909</v>
      </c>
      <c r="B3" s="3052"/>
      <c r="C3" s="3052"/>
      <c r="D3" s="46">
        <f>'数据-基础表'!AY6</f>
        <v>0</v>
      </c>
      <c r="E3" s="46">
        <f>'数据-基础表'!AZ5</f>
        <v>4106</v>
      </c>
      <c r="F3" s="1392"/>
      <c r="G3" s="1399"/>
      <c r="H3" s="1247" t="s">
        <v>1910</v>
      </c>
      <c r="I3" s="55" t="e">
        <f>ROUND('数据-基础表'!B3/'数据-基础表'!A3,2)</f>
        <v>#DIV/0!</v>
      </c>
      <c r="J3" s="1392"/>
      <c r="K3" s="1392"/>
      <c r="L3" s="1392"/>
      <c r="M3" s="1392"/>
      <c r="N3" s="1427"/>
      <c r="O3" s="1392"/>
      <c r="P3" s="1392"/>
    </row>
    <row r="4" spans="1:16" ht="15">
      <c r="A4" s="3053"/>
      <c r="B4" s="3054"/>
      <c r="C4" s="3055"/>
      <c r="D4" s="2230" t="s">
        <v>1911</v>
      </c>
      <c r="E4" s="2231" t="s">
        <v>1912</v>
      </c>
      <c r="F4" s="1392"/>
      <c r="G4" s="2232" t="s">
        <v>1937</v>
      </c>
      <c r="H4" s="1247" t="s">
        <v>1917</v>
      </c>
      <c r="I4" s="55" t="e">
        <f>ROUND(SUMIF('数据-基础表'!I9:AS9,"地上",'数据-基础表'!I5:AS5)/'数据-基础表'!A3,2)</f>
        <v>#DIV/0!</v>
      </c>
      <c r="J4" s="1392"/>
      <c r="K4" s="1392"/>
      <c r="L4" s="1392"/>
      <c r="M4" s="1392"/>
      <c r="N4" s="1427"/>
      <c r="O4" s="1392"/>
      <c r="P4" s="1392"/>
    </row>
    <row r="5" spans="1:16">
      <c r="A5" s="47" t="s">
        <v>1913</v>
      </c>
      <c r="B5" s="3056" t="s">
        <v>1914</v>
      </c>
      <c r="C5" s="3056"/>
      <c r="D5" s="48">
        <f>ROUND($D$3*E5/$E$3,2)</f>
        <v>0</v>
      </c>
      <c r="E5" s="49">
        <f>SUMIF('数据-基础表'!$11:$11,"住宅",'数据-基础表'!$5:$5)</f>
        <v>4106</v>
      </c>
      <c r="F5" s="1392"/>
      <c r="G5" s="1399"/>
      <c r="H5" s="1247" t="s">
        <v>1910</v>
      </c>
      <c r="I5" s="55" t="e">
        <f>ROUND(E31/D31,2)</f>
        <v>#DIV/0!</v>
      </c>
      <c r="J5" s="1392"/>
      <c r="K5" s="1392"/>
      <c r="L5" s="1392"/>
      <c r="M5" s="1392"/>
      <c r="N5" s="1392"/>
      <c r="O5" s="1392"/>
      <c r="P5" s="1392"/>
    </row>
    <row r="6" spans="1:16" ht="15" thickBot="1">
      <c r="A6" s="2233"/>
      <c r="B6" s="3056" t="s">
        <v>1915</v>
      </c>
      <c r="C6" s="3056"/>
      <c r="D6" s="48">
        <f>ROUND($D$3*E6/$E$3,2)</f>
        <v>0</v>
      </c>
      <c r="E6" s="49">
        <f>E3-E5</f>
        <v>0</v>
      </c>
      <c r="F6" s="1392"/>
      <c r="G6" s="2234" t="s">
        <v>1916</v>
      </c>
      <c r="H6" s="1399" t="s">
        <v>1917</v>
      </c>
      <c r="I6" s="939" t="e">
        <f>ROUND(F31/D31,2)</f>
        <v>#DIV/0!</v>
      </c>
      <c r="J6" s="1392"/>
      <c r="K6" s="1392"/>
      <c r="L6" s="1392"/>
      <c r="M6" s="1392"/>
      <c r="N6" s="1392"/>
      <c r="O6" s="1392"/>
      <c r="P6" s="1392"/>
    </row>
    <row r="7" spans="1:16" ht="15">
      <c r="A7" s="3048"/>
      <c r="B7" s="3049"/>
      <c r="C7" s="3050"/>
      <c r="D7" s="2230" t="s">
        <v>1911</v>
      </c>
      <c r="E7" s="2235" t="s">
        <v>1918</v>
      </c>
      <c r="F7" s="1392"/>
      <c r="G7" s="2227" t="s">
        <v>1919</v>
      </c>
      <c r="H7" s="64"/>
      <c r="I7" s="420"/>
      <c r="J7" s="1392"/>
      <c r="K7" s="1392"/>
      <c r="L7" s="1392"/>
      <c r="M7" s="1392"/>
      <c r="N7" s="1392"/>
      <c r="O7" s="1392"/>
      <c r="P7" s="1392"/>
    </row>
    <row r="8" spans="1:16">
      <c r="A8" s="47" t="s">
        <v>1920</v>
      </c>
      <c r="B8" s="50" t="s">
        <v>1921</v>
      </c>
      <c r="C8" s="48" t="s">
        <v>1922</v>
      </c>
      <c r="D8" s="48">
        <f t="shared" ref="D8:D15" si="0">ROUND($D$3*E8/$E$3,2)</f>
        <v>0</v>
      </c>
      <c r="E8" s="51">
        <f>SUMIF('数据-基础表'!BB10:BK10,"地上",'数据-基础表'!BB5:BK5)</f>
        <v>4106</v>
      </c>
      <c r="F8" s="1392"/>
      <c r="G8" s="2236"/>
      <c r="H8" s="2236"/>
      <c r="I8" s="1392"/>
      <c r="J8" s="1392"/>
      <c r="K8" s="1392"/>
      <c r="L8" s="1392"/>
      <c r="M8" s="1392"/>
      <c r="N8" s="1392"/>
      <c r="O8" s="1392"/>
      <c r="P8" s="1392"/>
    </row>
    <row r="9" spans="1:16">
      <c r="A9" s="2237"/>
      <c r="B9" s="2238"/>
      <c r="C9" s="48" t="s">
        <v>1923</v>
      </c>
      <c r="D9" s="48">
        <f t="shared" si="0"/>
        <v>0</v>
      </c>
      <c r="E9" s="52">
        <v>0</v>
      </c>
      <c r="F9" s="1392"/>
      <c r="G9" s="2236"/>
      <c r="H9" s="2236"/>
      <c r="I9" s="1392"/>
      <c r="J9" s="1392"/>
      <c r="K9" s="1392"/>
      <c r="L9" s="1392"/>
      <c r="M9" s="1392"/>
      <c r="N9" s="1392"/>
      <c r="O9" s="1392"/>
      <c r="P9" s="1392"/>
    </row>
    <row r="10" spans="1:16">
      <c r="A10" s="2237"/>
      <c r="B10" s="2238"/>
      <c r="C10" s="48" t="s">
        <v>1932</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1924</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1925</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1926</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1938</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1933</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1927</v>
      </c>
      <c r="D16" s="50">
        <f>SUM(D8:D15)</f>
        <v>0</v>
      </c>
      <c r="E16" s="53">
        <f>SUM(E8:E15)</f>
        <v>4106</v>
      </c>
      <c r="F16" s="1392"/>
      <c r="G16" s="2236"/>
      <c r="H16" s="2239" t="s">
        <v>1939</v>
      </c>
      <c r="I16" s="2240"/>
      <c r="J16" s="1392"/>
      <c r="K16" s="3045" t="s">
        <v>1939</v>
      </c>
      <c r="L16" s="3046"/>
      <c r="M16" s="3046"/>
      <c r="N16" s="3046"/>
      <c r="O16" s="3046"/>
      <c r="P16" s="3047"/>
    </row>
    <row r="17" spans="1:19" ht="15">
      <c r="A17" s="2241" t="s">
        <v>1940</v>
      </c>
      <c r="B17" s="2242" t="s">
        <v>1941</v>
      </c>
      <c r="C17" s="2243" t="s">
        <v>1942</v>
      </c>
      <c r="D17" s="2244" t="s">
        <v>1930</v>
      </c>
      <c r="E17" s="2245" t="s">
        <v>1931</v>
      </c>
      <c r="F17" s="2246"/>
      <c r="G17" s="2247"/>
      <c r="H17" s="2248" t="s">
        <v>1943</v>
      </c>
      <c r="I17" s="2249" t="s">
        <v>1928</v>
      </c>
      <c r="J17" s="1392"/>
      <c r="K17" s="3042" t="s">
        <v>1944</v>
      </c>
      <c r="L17" s="3043"/>
      <c r="M17" s="3044"/>
      <c r="N17" s="3042" t="s">
        <v>1945</v>
      </c>
      <c r="O17" s="3043"/>
      <c r="P17" s="3044"/>
      <c r="R17" s="2227" t="s">
        <v>1946</v>
      </c>
      <c r="S17" s="64"/>
    </row>
    <row r="18" spans="1:19" ht="15">
      <c r="A18" s="2237"/>
      <c r="B18" s="2250"/>
      <c r="C18" s="2251"/>
      <c r="D18" s="2252"/>
      <c r="E18" s="2253" t="s">
        <v>1947</v>
      </c>
      <c r="F18" s="2254" t="s">
        <v>1948</v>
      </c>
      <c r="G18" s="2255" t="s">
        <v>1949</v>
      </c>
      <c r="H18" s="1262" t="s">
        <v>1950</v>
      </c>
      <c r="I18" s="2256" t="s">
        <v>1951</v>
      </c>
      <c r="J18" s="1392"/>
      <c r="K18" s="1262" t="s">
        <v>1952</v>
      </c>
      <c r="L18" s="2257" t="s">
        <v>1953</v>
      </c>
      <c r="M18" s="1046" t="s">
        <v>1954</v>
      </c>
      <c r="N18" s="1262" t="s">
        <v>1952</v>
      </c>
      <c r="O18" s="2257" t="s">
        <v>1953</v>
      </c>
      <c r="P18" s="1046" t="s">
        <v>1954</v>
      </c>
      <c r="R18" s="1247" t="s">
        <v>1955</v>
      </c>
      <c r="S18" s="1247" t="s">
        <v>1956</v>
      </c>
    </row>
    <row r="19" spans="1:19">
      <c r="A19" s="2258"/>
      <c r="B19" s="50" t="s">
        <v>1929</v>
      </c>
      <c r="C19" s="2953" t="s">
        <v>3163</v>
      </c>
      <c r="D19" s="48">
        <f>ROUND($D$3*E19/$E$3,2)</f>
        <v>0</v>
      </c>
      <c r="E19" s="56">
        <f t="shared" ref="E19:E26" si="1">SUM(F19:G19)</f>
        <v>4106</v>
      </c>
      <c r="F19" s="57">
        <f>'数据-基础表'!I13</f>
        <v>4106</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0</v>
      </c>
      <c r="S19" s="1248">
        <f t="shared" si="5"/>
        <v>4106</v>
      </c>
    </row>
    <row r="20" spans="1:19">
      <c r="A20" s="2262"/>
      <c r="B20" s="50" t="s">
        <v>1957</v>
      </c>
      <c r="C20" s="2259"/>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c r="A21" s="2262"/>
      <c r="B21" s="50" t="s">
        <v>1957</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1958</v>
      </c>
      <c r="D27" s="1393">
        <f>SUM(D19:D26)</f>
        <v>0</v>
      </c>
      <c r="E27" s="1394">
        <f>IF(SUM(E19:E26)='数据-基础表'!BA5,SUM(E19:E26),IF(F27="地上面积有误","面积有误","地下面积有误"))</f>
        <v>4106</v>
      </c>
      <c r="F27" s="1393">
        <f>IF(SUM(F19:F26)=E8,SUM(F19:F26),"地上面积有误")</f>
        <v>4106</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4106</v>
      </c>
    </row>
    <row r="28" spans="1:19">
      <c r="A28" s="2262"/>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2"/>
      <c r="B29" s="50" t="s">
        <v>1959</v>
      </c>
      <c r="C29" s="2266"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1962</v>
      </c>
      <c r="D31" s="729">
        <f>D27+D30</f>
        <v>0</v>
      </c>
      <c r="E31" s="729">
        <f>E27+E30</f>
        <v>4106</v>
      </c>
      <c r="F31" s="730">
        <f>F27+F30</f>
        <v>4106</v>
      </c>
      <c r="G31" s="731">
        <f>G27+G30</f>
        <v>0</v>
      </c>
      <c r="H31" s="1392"/>
      <c r="I31" s="1392"/>
      <c r="J31" s="1392"/>
      <c r="K31" s="1392"/>
      <c r="L31" s="1392"/>
      <c r="M31" s="1392"/>
      <c r="N31" s="1392"/>
      <c r="O31" s="1392"/>
      <c r="P31" s="1392"/>
    </row>
    <row r="32" spans="1:19">
      <c r="A32" s="2232"/>
      <c r="B32" s="2232" t="s">
        <v>1963</v>
      </c>
      <c r="C32" s="2232"/>
      <c r="D32" s="2232"/>
      <c r="E32" s="1274">
        <f>SUMIF(C19:C26,"*住宅*",E19:E26)</f>
        <v>4106</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24"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5" t="s">
        <v>1965</v>
      </c>
      <c r="B2" s="1266">
        <f>项目基本情况!D3</f>
        <v>43601</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1" customFormat="1" ht="15" thickBot="1">
      <c r="A3" s="2029"/>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1"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2" customFormat="1" ht="42">
      <c r="A5" s="2288" t="s">
        <v>1972</v>
      </c>
      <c r="B5" s="2289" t="s">
        <v>1973</v>
      </c>
      <c r="C5" s="2290" t="s">
        <v>1974</v>
      </c>
      <c r="D5" s="2291" t="s">
        <v>1975</v>
      </c>
      <c r="E5" s="1268" t="s">
        <v>1976</v>
      </c>
      <c r="F5" s="2292" t="s">
        <v>1977</v>
      </c>
      <c r="G5" s="1268" t="s">
        <v>1978</v>
      </c>
      <c r="H5" s="1268" t="s">
        <v>1979</v>
      </c>
      <c r="I5" s="1268" t="s">
        <v>1980</v>
      </c>
      <c r="J5" s="2293" t="s">
        <v>1981</v>
      </c>
      <c r="K5" s="2294" t="s">
        <v>1982</v>
      </c>
      <c r="L5" s="2295" t="s">
        <v>1983</v>
      </c>
      <c r="M5" s="2296" t="s">
        <v>1984</v>
      </c>
      <c r="N5" s="2297" t="s">
        <v>3164</v>
      </c>
      <c r="O5" s="2295" t="s">
        <v>1985</v>
      </c>
      <c r="P5" s="2298" t="s">
        <v>1986</v>
      </c>
      <c r="Q5" s="69" t="s">
        <v>1987</v>
      </c>
      <c r="R5" s="2299" t="s">
        <v>1988</v>
      </c>
      <c r="S5" s="2300" t="s">
        <v>1989</v>
      </c>
      <c r="T5" s="2301" t="s">
        <v>1990</v>
      </c>
      <c r="U5" s="1267" t="s">
        <v>1991</v>
      </c>
      <c r="V5" s="1268" t="s">
        <v>1992</v>
      </c>
      <c r="W5" s="1268" t="s">
        <v>1993</v>
      </c>
      <c r="X5" s="71"/>
      <c r="Y5" s="70" t="s">
        <v>1994</v>
      </c>
      <c r="Z5" s="2302" t="s">
        <v>1991</v>
      </c>
      <c r="AA5" s="1268" t="s">
        <v>1992</v>
      </c>
      <c r="AB5" s="1268" t="s">
        <v>1993</v>
      </c>
      <c r="AC5" s="71"/>
      <c r="AD5" s="71" t="s">
        <v>1994</v>
      </c>
      <c r="AE5" s="1267" t="s">
        <v>1995</v>
      </c>
      <c r="AF5" s="1268" t="s">
        <v>1996</v>
      </c>
      <c r="AG5" s="70" t="s">
        <v>1997</v>
      </c>
      <c r="AH5" s="1267" t="s">
        <v>1998</v>
      </c>
      <c r="AI5" s="2302" t="s">
        <v>1999</v>
      </c>
      <c r="AJ5" s="2302" t="s">
        <v>2000</v>
      </c>
      <c r="AK5" s="1268" t="s">
        <v>2001</v>
      </c>
      <c r="AL5" s="1268" t="s">
        <v>2002</v>
      </c>
      <c r="AM5" s="70" t="s">
        <v>2003</v>
      </c>
      <c r="AN5" s="2303" t="s">
        <v>2004</v>
      </c>
      <c r="AO5" s="2073" t="s">
        <v>2005</v>
      </c>
      <c r="AP5" s="1249"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5" t="str">
        <f>'数据-汇总表'!C19</f>
        <v>住宅</v>
      </c>
      <c r="B6" s="2306" t="str">
        <f>IF(A6=0,"","经营性")</f>
        <v>经营性</v>
      </c>
      <c r="C6" s="2307" t="s">
        <v>3160</v>
      </c>
      <c r="D6" s="1051">
        <f>SUMIF(项目基本情况!D$12:I$12,C6,项目基本情况!D$14:I$14)</f>
        <v>70</v>
      </c>
      <c r="E6" s="1048">
        <f>IF(B6="","",SUMIF(项目基本情况!D$12:I$12,C6,项目基本情况!D$13:I$13))</f>
        <v>60405</v>
      </c>
      <c r="F6" s="72">
        <f>SUMIF(项目基本情况!D$12:I$12,C6,项目基本情况!D$15:I$15)</f>
        <v>46.03</v>
      </c>
      <c r="G6" s="73">
        <f>IF(ISERROR(ROUND(POWER(1+H6,D6-F6)*(POWER(1+H6,F6)-1)/(POWER(1+H6,D6)-1),3)),0,ROUND(POWER(1+H6,D6-F6)*(POWER(1+H6,F6)-1)/(POWER(1+H6,D6)-1),3))</f>
        <v>0.91</v>
      </c>
      <c r="H6" s="802">
        <v>4.4999999999999998E-2</v>
      </c>
      <c r="I6" s="802">
        <v>0.05</v>
      </c>
      <c r="J6" s="74">
        <v>8.5000000000000006E-2</v>
      </c>
      <c r="K6" s="1251">
        <f>SUMIF('数据-汇总表'!C$19:C$33,A6,'数据-汇总表'!E$19:E$33)</f>
        <v>4106</v>
      </c>
      <c r="L6" s="803">
        <v>2000</v>
      </c>
      <c r="M6" s="75">
        <f t="shared" ref="M6:M14" si="0">ROUND(K6*L6/10000,0)</f>
        <v>821</v>
      </c>
      <c r="N6" s="801">
        <f>ROUND((1-(2019-1996)/50)*0.5+0.75*0.5,2)</f>
        <v>0.65</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3">
        <f>ROUND($L$14*S6/10000,0)</f>
        <v>0</v>
      </c>
      <c r="U6" s="78">
        <v>900</v>
      </c>
      <c r="V6" s="79">
        <v>0.02</v>
      </c>
      <c r="W6" s="79">
        <v>0.1</v>
      </c>
      <c r="X6" s="1261"/>
      <c r="Y6" s="80">
        <f>N6</f>
        <v>0.65</v>
      </c>
      <c r="Z6" s="81"/>
      <c r="AA6" s="74"/>
      <c r="AB6" s="74"/>
      <c r="AC6" s="1261"/>
      <c r="AD6" s="82"/>
      <c r="AE6" s="1262">
        <f ca="1">IF(AN6="",0,SUMIF(INDIRECT("'"&amp;AN6&amp;"'"&amp;"!E:E"),$AE$5,INDIRECT("'"&amp;AN6&amp;"'"&amp;"!F:F")))</f>
        <v>46.03</v>
      </c>
      <c r="AF6" s="1804"/>
      <c r="AG6" s="147">
        <f>IF(AF6="",0,AE6-AF6)</f>
        <v>0</v>
      </c>
      <c r="AH6" s="83">
        <v>66</v>
      </c>
      <c r="AI6" s="85">
        <v>12</v>
      </c>
      <c r="AJ6" s="86"/>
      <c r="AK6" s="87">
        <v>1.4999999999999999E-2</v>
      </c>
      <c r="AL6" s="88">
        <v>1.5E-3</v>
      </c>
      <c r="AM6" s="89">
        <v>0.01</v>
      </c>
      <c r="AN6" s="2308" t="s">
        <v>3165</v>
      </c>
      <c r="AO6" s="55">
        <f ca="1">SUMIF(INDIRECT("'"&amp;AN6&amp;"'"&amp;"!A:A"),"总价",INDIRECT("'"&amp;AN6&amp;"'"&amp;"!B:B"))</f>
        <v>810</v>
      </c>
      <c r="AP6" s="2309">
        <f>IF(C6="住宅",K6*L6,0)</f>
        <v>8212000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1"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1"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1"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1"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1"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1"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1"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1" customFormat="1" ht="14.25">
      <c r="A14" s="2310" t="s">
        <v>2009</v>
      </c>
      <c r="B14" s="2306" t="s">
        <v>2010</v>
      </c>
      <c r="C14" s="2311"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1" customFormat="1" ht="27">
      <c r="A15" s="2310" t="s">
        <v>2011</v>
      </c>
      <c r="B15" s="2306" t="s">
        <v>2010</v>
      </c>
      <c r="C15" s="2311"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1" customFormat="1" ht="15.75" thickBot="1">
      <c r="A16" s="2312" t="s">
        <v>2013</v>
      </c>
      <c r="B16" s="97"/>
      <c r="C16" s="1005"/>
      <c r="D16" s="2313"/>
      <c r="E16" s="97"/>
      <c r="F16" s="97"/>
      <c r="G16" s="98">
        <f>ROUND(SUMPRODUCT(G6:G13,K6:K13)/SUMPRODUCT((G6:G13&gt;0)*(K6:K13)),3)</f>
        <v>0.91</v>
      </c>
      <c r="H16" s="99">
        <f>ROUND(SUMPRODUCT(H6:H13,K6:K13)/SUMPRODUCT((H6:H13&gt;0)*(K6:K13)),3)</f>
        <v>4.4999999999999998E-2</v>
      </c>
      <c r="I16" s="100"/>
      <c r="J16" s="100"/>
      <c r="K16" s="101">
        <f>SUM(K6:K15)</f>
        <v>4106</v>
      </c>
      <c r="L16" s="102">
        <f>ROUND(M16*10000/SUM(K6:K14),0)</f>
        <v>2000</v>
      </c>
      <c r="M16" s="102">
        <f>SUM(M6:M14)</f>
        <v>821</v>
      </c>
      <c r="N16" s="103">
        <f>ROUND(SUMPRODUCT(M6:M14,N6:N14)/M16,3)</f>
        <v>0.65</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9"/>
      <c r="C18" s="2276"/>
      <c r="D18" s="2277"/>
      <c r="E18" s="2276"/>
      <c r="F18" s="2276"/>
      <c r="G18" s="2276"/>
      <c r="H18" s="2276"/>
      <c r="I18" s="2276"/>
      <c r="J18" s="2276"/>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2015</v>
      </c>
      <c r="B19" s="112">
        <v>0</v>
      </c>
      <c r="C19" s="2276" t="s">
        <v>2016</v>
      </c>
      <c r="D19" s="2277"/>
      <c r="E19" s="2276"/>
      <c r="F19" s="2276"/>
      <c r="G19" s="2276"/>
      <c r="H19" s="2276"/>
      <c r="I19" s="2276"/>
      <c r="J19" s="2276"/>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6" t="s">
        <v>2017</v>
      </c>
      <c r="B20" s="113">
        <v>2</v>
      </c>
      <c r="C20" s="2276" t="s">
        <v>2018</v>
      </c>
      <c r="D20" s="2277"/>
      <c r="E20" s="2276"/>
      <c r="F20" s="2276"/>
      <c r="G20" s="2276"/>
      <c r="H20" s="2276"/>
      <c r="I20" s="2276"/>
      <c r="J20" s="2276"/>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7" t="s">
        <v>2019</v>
      </c>
      <c r="B21" s="113">
        <v>2</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2020</v>
      </c>
      <c r="B22" s="114">
        <f>B19+B20</f>
        <v>2</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2021</v>
      </c>
      <c r="B23" s="114">
        <f>B19+B21</f>
        <v>2</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2022</v>
      </c>
      <c r="B24" s="115">
        <f>B20-B21</f>
        <v>0</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2023</v>
      </c>
      <c r="B26" s="2319" t="s">
        <v>2024</v>
      </c>
      <c r="C26" s="2320" t="s">
        <v>2025</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2026</v>
      </c>
      <c r="B27" s="116">
        <v>50</v>
      </c>
      <c r="C27" s="1764" t="s">
        <v>2027</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50</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f>ROUND(B27*K16/10000,0)</f>
        <v>21</v>
      </c>
      <c r="C29" s="1764" t="s">
        <v>2030</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v>0</v>
      </c>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3" t="s">
        <v>2035</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0.04</v>
      </c>
      <c r="C34" s="1763" t="s">
        <v>2037</v>
      </c>
      <c r="D34" s="2277" t="s">
        <v>2038</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3" t="s">
        <v>2040</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3" t="s">
        <v>2042</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2043</v>
      </c>
      <c r="B37" s="124">
        <v>0.02</v>
      </c>
      <c r="C37" s="1763" t="s">
        <v>2044</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2045</v>
      </c>
      <c r="B38" s="122">
        <v>0.02</v>
      </c>
      <c r="C38" s="1763" t="s">
        <v>2044</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2046</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2047</v>
      </c>
      <c r="B40" s="1300">
        <f ca="1">存贷款利率!G1</f>
        <v>4.7500000000000001E-2</v>
      </c>
      <c r="C40" s="1763" t="s">
        <v>2048</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2049</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2050</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2051</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2052</v>
      </c>
      <c r="B44" s="128">
        <v>7.0000000000000007E-2</v>
      </c>
      <c r="C44" s="1763" t="s">
        <v>2053</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2054</v>
      </c>
      <c r="B45" s="126">
        <v>0.03</v>
      </c>
      <c r="C45" s="1764" t="s">
        <v>2055</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2056</v>
      </c>
      <c r="B46" s="126">
        <v>0.02</v>
      </c>
      <c r="C46" s="1764" t="s">
        <v>2057</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2058</v>
      </c>
      <c r="B47" s="129"/>
      <c r="C47" s="1764" t="s">
        <v>2059</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2060</v>
      </c>
      <c r="B48" s="130">
        <v>0.03</v>
      </c>
      <c r="C48" s="1771" t="s">
        <v>2061</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2062</v>
      </c>
      <c r="B49" s="126">
        <v>0.03</v>
      </c>
      <c r="C49" s="1771" t="s">
        <v>2063</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2064</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2065</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2066</v>
      </c>
      <c r="B52" s="133">
        <f>SUMIF(A54:A63,B53,B54:B63)</f>
        <v>0</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2067</v>
      </c>
      <c r="B53" s="2335"/>
      <c r="C53" s="1427" t="s">
        <v>2068</v>
      </c>
      <c r="D53" s="2336" t="s">
        <v>2069</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2070</v>
      </c>
      <c r="B54" s="84"/>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2071</v>
      </c>
      <c r="B55" s="84"/>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2072</v>
      </c>
      <c r="B56" s="84"/>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2073</v>
      </c>
      <c r="B57" s="84"/>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2074</v>
      </c>
      <c r="B58" s="84"/>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2075</v>
      </c>
      <c r="B59" s="84"/>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2076</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2077</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2078</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2079</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6" sqref="F16"/>
    </sheetView>
  </sheetViews>
  <sheetFormatPr defaultColWidth="9"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57" t="s">
        <v>2080</v>
      </c>
      <c r="B1" s="3058"/>
      <c r="C1" s="3058"/>
      <c r="D1" s="3058"/>
      <c r="E1" s="3058"/>
      <c r="F1" s="3058"/>
      <c r="G1" s="305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54">
      <c r="A3" s="415" t="s">
        <v>2083</v>
      </c>
      <c r="B3" s="1268" t="s">
        <v>2084</v>
      </c>
      <c r="C3" s="2954" t="s">
        <v>3182</v>
      </c>
      <c r="D3" s="2369"/>
      <c r="E3" s="431" t="s">
        <v>2083</v>
      </c>
      <c r="F3" s="2370" t="s">
        <v>2085</v>
      </c>
      <c r="G3" s="2371" t="s">
        <v>2086</v>
      </c>
      <c r="H3" s="2367"/>
      <c r="I3" s="2367"/>
      <c r="J3" s="2367"/>
      <c r="K3" s="2367"/>
      <c r="L3" s="2367"/>
      <c r="M3" s="2367"/>
      <c r="N3" s="2367"/>
      <c r="O3" s="2367"/>
      <c r="P3" s="2367"/>
      <c r="Q3" s="2367"/>
      <c r="R3" s="2367"/>
    </row>
    <row r="4" spans="1:29" ht="41.25" hidden="1">
      <c r="A4" s="431"/>
      <c r="B4" s="1795" t="s">
        <v>2087</v>
      </c>
      <c r="C4" s="2372" t="s">
        <v>2088</v>
      </c>
      <c r="D4" s="2369"/>
      <c r="E4" s="2373"/>
      <c r="F4" s="42" t="s">
        <v>2089</v>
      </c>
      <c r="G4" s="2374" t="s">
        <v>2090</v>
      </c>
      <c r="H4" s="2367"/>
      <c r="I4" s="2367"/>
      <c r="J4" s="2367"/>
      <c r="K4" s="2367"/>
      <c r="L4" s="2367"/>
      <c r="M4" s="2367"/>
      <c r="N4" s="2367"/>
      <c r="O4" s="2367"/>
      <c r="P4" s="2367"/>
      <c r="Q4" s="2367"/>
      <c r="R4" s="2367"/>
    </row>
    <row r="5" spans="1:29" ht="41.25" hidden="1">
      <c r="A5" s="431"/>
      <c r="B5" s="1795" t="s">
        <v>2091</v>
      </c>
      <c r="C5" s="2372" t="s">
        <v>2092</v>
      </c>
      <c r="D5" s="2369"/>
      <c r="E5" s="2373"/>
      <c r="F5" s="1795" t="s">
        <v>2093</v>
      </c>
      <c r="G5" s="2374" t="s">
        <v>2094</v>
      </c>
      <c r="H5" s="2367"/>
      <c r="I5" s="2367"/>
      <c r="J5" s="2367"/>
      <c r="K5" s="2367"/>
      <c r="L5" s="2367"/>
      <c r="M5" s="2367"/>
      <c r="N5" s="2367"/>
      <c r="O5" s="2367"/>
      <c r="P5" s="2367"/>
      <c r="Q5" s="2367"/>
      <c r="R5" s="2367"/>
    </row>
    <row r="6" spans="1:29" ht="67.5">
      <c r="A6" s="431"/>
      <c r="B6" s="1795" t="s">
        <v>2095</v>
      </c>
      <c r="C6" s="2955" t="s">
        <v>3184</v>
      </c>
      <c r="D6" s="2369"/>
      <c r="E6" s="2373"/>
      <c r="F6" s="1795" t="s">
        <v>2096</v>
      </c>
      <c r="G6" s="2374" t="s">
        <v>2097</v>
      </c>
      <c r="H6" s="2367"/>
      <c r="I6" s="2367"/>
      <c r="J6" s="2367"/>
      <c r="K6" s="2367"/>
      <c r="L6" s="2367"/>
      <c r="M6" s="2367"/>
      <c r="N6" s="2367"/>
      <c r="O6" s="2367"/>
      <c r="P6" s="2367"/>
      <c r="Q6" s="2367"/>
      <c r="R6" s="2367"/>
    </row>
    <row r="7" spans="1:29" ht="41.25" thickBot="1">
      <c r="A7" s="431"/>
      <c r="B7" s="1795" t="s">
        <v>2093</v>
      </c>
      <c r="C7" s="2955" t="s">
        <v>3186</v>
      </c>
      <c r="D7" s="2375"/>
      <c r="E7" s="2376"/>
      <c r="F7" s="2377" t="s">
        <v>2098</v>
      </c>
      <c r="G7" s="2378" t="s">
        <v>2099</v>
      </c>
      <c r="H7" s="2367"/>
      <c r="I7" s="2367"/>
      <c r="J7" s="2367"/>
      <c r="K7" s="2367"/>
      <c r="L7" s="2367"/>
      <c r="M7" s="2367"/>
      <c r="N7" s="2367"/>
      <c r="O7" s="2367"/>
      <c r="P7" s="2367"/>
      <c r="Q7" s="2367"/>
      <c r="R7" s="2367"/>
    </row>
    <row r="8" spans="1:29" ht="27">
      <c r="A8" s="431"/>
      <c r="B8" s="1795" t="s">
        <v>2096</v>
      </c>
      <c r="C8" s="2955" t="s">
        <v>3188</v>
      </c>
      <c r="D8" s="2375"/>
      <c r="E8" s="2375"/>
      <c r="F8" s="1133"/>
      <c r="G8" s="1133"/>
      <c r="H8" s="2367"/>
      <c r="I8" s="2367"/>
      <c r="J8" s="2367"/>
      <c r="K8" s="2367"/>
      <c r="L8" s="2367"/>
      <c r="M8" s="2367"/>
      <c r="N8" s="2367"/>
      <c r="O8" s="2367"/>
      <c r="P8" s="2367"/>
      <c r="Q8" s="2367"/>
      <c r="R8" s="2367"/>
    </row>
    <row r="9" spans="1:29" ht="40.5">
      <c r="A9" s="431"/>
      <c r="B9" s="1795" t="s">
        <v>2100</v>
      </c>
      <c r="C9" s="2956" t="s">
        <v>3190</v>
      </c>
      <c r="D9" s="2369"/>
      <c r="E9" s="2375"/>
      <c r="F9" s="1133"/>
      <c r="G9" s="1133"/>
      <c r="H9" s="2367"/>
      <c r="I9" s="2367"/>
      <c r="J9" s="2367"/>
      <c r="K9" s="2367"/>
      <c r="L9" s="2367"/>
      <c r="M9" s="2367"/>
      <c r="N9" s="2367"/>
      <c r="O9" s="2367"/>
      <c r="P9" s="2367"/>
      <c r="Q9" s="2367"/>
      <c r="R9" s="2367"/>
    </row>
    <row r="10" spans="1:29" s="117" customFormat="1" ht="15.75" thickBot="1">
      <c r="A10" s="2379"/>
      <c r="B10" s="2380" t="s">
        <v>2101</v>
      </c>
      <c r="C10" s="2381" t="s">
        <v>3217</v>
      </c>
      <c r="D10" s="2369"/>
      <c r="E10" s="2369"/>
      <c r="F10" s="1133"/>
      <c r="G10" s="1133"/>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5"/>
      <c r="C12" s="2369"/>
      <c r="D12" s="2386"/>
      <c r="E12" s="2369"/>
      <c r="F12" s="2375"/>
      <c r="G12" s="1151"/>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2102</v>
      </c>
      <c r="B13" s="2386"/>
      <c r="C13" s="2386"/>
      <c r="D13" s="2393"/>
      <c r="E13" s="2386"/>
      <c r="F13" s="2386"/>
      <c r="G13" s="2386"/>
    </row>
    <row r="14" spans="1:29" ht="15.75" thickBot="1">
      <c r="A14" s="2397"/>
      <c r="B14" s="2398"/>
      <c r="C14" s="2399" t="s">
        <v>2103</v>
      </c>
      <c r="D14" s="2369"/>
      <c r="E14" s="2400"/>
      <c r="F14" s="2400"/>
      <c r="G14" s="2364" t="s">
        <v>2104</v>
      </c>
    </row>
    <row r="15" spans="1:29" ht="57">
      <c r="A15" s="68" t="s">
        <v>2105</v>
      </c>
      <c r="B15" s="1267" t="s">
        <v>2084</v>
      </c>
      <c r="C15" s="2401" t="str">
        <f>C3</f>
        <v>估价对象周边居住用地比例较大、居住小区规模和社区发展完善程度较好，综合评价居住社区成熟度较好</v>
      </c>
      <c r="D15" s="2369"/>
      <c r="E15" s="2402" t="s">
        <v>2106</v>
      </c>
      <c r="F15" s="1267" t="s">
        <v>2107</v>
      </c>
      <c r="G15" s="135" t="str">
        <f>G3</f>
        <v>估价对象位于XX开发区，园区建设成熟度XX，产业集聚程度XX</v>
      </c>
    </row>
    <row r="16" spans="1:29" ht="42.75">
      <c r="A16" s="645"/>
      <c r="B16" s="2403" t="s">
        <v>2087</v>
      </c>
      <c r="C16" s="2404" t="str">
        <f>C4</f>
        <v>估价对象位于XX商圈，周边商业氛围成熟，人流量大，商业繁华度好</v>
      </c>
      <c r="D16" s="2369"/>
      <c r="E16" s="2405"/>
      <c r="F16" s="2406" t="s">
        <v>2089</v>
      </c>
      <c r="G16" s="136" t="str">
        <f>G4</f>
        <v>估价对象周边道路状况、公共交通通达情况、停车便捷程度，综合评价交通便捷度较好</v>
      </c>
    </row>
    <row r="17" spans="1:18" ht="42.75">
      <c r="A17" s="645"/>
      <c r="B17" s="2403" t="s">
        <v>2091</v>
      </c>
      <c r="C17" s="2404" t="str">
        <f>C5</f>
        <v>估价对象位于XX商圈，周边办公楼项目较多，入驻率高，办公集聚程度较好</v>
      </c>
      <c r="D17" s="2375"/>
      <c r="E17" s="2405"/>
      <c r="F17" s="2406" t="s">
        <v>2108</v>
      </c>
      <c r="G17" s="1569"/>
    </row>
    <row r="18" spans="1:18" ht="71.25">
      <c r="A18" s="645"/>
      <c r="B18" s="2406" t="s">
        <v>2095</v>
      </c>
      <c r="C18" s="136" t="str">
        <f>C6</f>
        <v>估价对象周边道路状况一般、公共交通通达情况较好（公交车通达度较好）、停车便捷程度一般，综合评价交通便捷度较好</v>
      </c>
      <c r="D18" s="2375"/>
      <c r="E18" s="2405"/>
      <c r="F18" s="2406" t="s">
        <v>2098</v>
      </c>
      <c r="G18" s="136" t="str">
        <f>G7</f>
        <v>该园区内是否有污染型企业，绿化情况，卫生条件，整体环境状况判断</v>
      </c>
    </row>
    <row r="19" spans="1:18" ht="28.5">
      <c r="A19" s="645"/>
      <c r="B19" s="2406" t="s">
        <v>2109</v>
      </c>
      <c r="C19" s="1569"/>
      <c r="D19" s="2369"/>
      <c r="E19" s="2405"/>
      <c r="F19" s="1795" t="s">
        <v>2093</v>
      </c>
      <c r="G19" s="136" t="str">
        <f>G5</f>
        <v>估价对象所在区域公共配套设施齐备情况</v>
      </c>
    </row>
    <row r="20" spans="1:18" ht="42.75">
      <c r="A20" s="645"/>
      <c r="B20" s="2406" t="s">
        <v>2110</v>
      </c>
      <c r="C20" s="2404" t="str">
        <f>C9</f>
        <v>区域自然环境：周边有渭清公园；人文环境一般；综合评价环境状况一般</v>
      </c>
      <c r="D20" s="2375"/>
      <c r="E20" s="2405"/>
      <c r="F20" s="1795" t="s">
        <v>2111</v>
      </c>
      <c r="G20" s="136" t="str">
        <f>G6</f>
        <v>估价对象所在区域基础设施水平</v>
      </c>
    </row>
    <row r="21" spans="1:18" ht="28.5">
      <c r="A21" s="645"/>
      <c r="B21" s="1795" t="s">
        <v>2093</v>
      </c>
      <c r="C21" s="136" t="str">
        <f>C7</f>
        <v>估价对象所在区域公共配套设施较齐备</v>
      </c>
      <c r="D21" s="2369"/>
      <c r="E21" s="2405"/>
      <c r="F21" s="2406" t="s">
        <v>2112</v>
      </c>
      <c r="G21" s="2407"/>
    </row>
    <row r="22" spans="1:18" ht="13.5" customHeight="1">
      <c r="A22" s="645"/>
      <c r="B22" s="1795" t="s">
        <v>2096</v>
      </c>
      <c r="C22" s="136" t="str">
        <f>C8</f>
        <v>估价对象所在区域基础设施水平为六通</v>
      </c>
      <c r="D22" s="2369"/>
      <c r="E22" s="2405"/>
      <c r="F22" s="2406" t="s">
        <v>2101</v>
      </c>
      <c r="G22" s="1569"/>
    </row>
    <row r="23" spans="1:18" s="2367" customFormat="1" ht="15.75" thickBot="1">
      <c r="A23" s="645"/>
      <c r="B23" s="2406" t="s">
        <v>2112</v>
      </c>
      <c r="C23" s="2407"/>
      <c r="D23" s="2394"/>
      <c r="E23" s="2408"/>
      <c r="F23" s="2409" t="s">
        <v>2113</v>
      </c>
      <c r="G23" s="2410"/>
      <c r="H23" s="2394"/>
      <c r="I23" s="2395"/>
      <c r="J23" s="2394"/>
      <c r="K23" s="2394"/>
      <c r="L23" s="2395"/>
      <c r="M23" s="2394"/>
      <c r="N23" s="2394"/>
      <c r="O23" s="2395"/>
      <c r="P23" s="2394"/>
      <c r="Q23" s="2394"/>
      <c r="R23" s="2396"/>
    </row>
    <row r="24" spans="1:18" s="2367" customFormat="1" ht="15.75" thickBot="1">
      <c r="A24" s="2411"/>
      <c r="B24" s="2409" t="s">
        <v>2114</v>
      </c>
      <c r="C24" s="137" t="str">
        <f>C10</f>
        <v>次干道-育红路</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4106</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43601</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1164</v>
      </c>
      <c r="C5" s="1743">
        <f ca="1">ROUND(B5*10000/$B$1,0)</f>
        <v>2835</v>
      </c>
      <c r="D5" s="1743" t="e">
        <f ca="1">ROUND(B5*10000/$B$2,0)</f>
        <v>#DIV/0!</v>
      </c>
      <c r="E5" s="1742"/>
      <c r="F5" s="1740"/>
      <c r="G5" s="1740"/>
    </row>
    <row r="6" spans="1:10" ht="16.5">
      <c r="A6" s="1743" t="s">
        <v>1352</v>
      </c>
      <c r="B6" s="1743">
        <f ca="1">SUM(G14:G23)</f>
        <v>1164</v>
      </c>
      <c r="C6" s="1743">
        <f ca="1">ROUND(B6*10000/$B$1,0)</f>
        <v>2835</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4106</v>
      </c>
      <c r="C14" s="1741">
        <f>结果表!C118</f>
        <v>0</v>
      </c>
      <c r="D14" s="1741">
        <f ca="1">结果表!H118</f>
        <v>1164</v>
      </c>
      <c r="E14" s="1741">
        <f ca="1">ROUND(D14*10000/B14,0)</f>
        <v>2835</v>
      </c>
      <c r="F14" s="1741" t="e">
        <f ca="1">ROUND(D14*10000/C14,0)</f>
        <v>#DIV/0!</v>
      </c>
      <c r="G14" s="1741">
        <f ca="1">结果表!D122</f>
        <v>1164</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 zoomScaleNormal="100" zoomScaleSheetLayoutView="100" zoomScalePageLayoutView="80" workbookViewId="0">
      <selection activeCell="G23" sqref="G23"/>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2115</v>
      </c>
      <c r="B1" s="2417"/>
      <c r="C1" s="2418"/>
      <c r="D1" s="2417"/>
      <c r="E1" s="2417"/>
      <c r="F1" s="2419" t="s">
        <v>2116</v>
      </c>
      <c r="G1" s="2069" t="s">
        <v>3176</v>
      </c>
      <c r="H1" s="2420" t="str">
        <f>IF(G1="现房","——","估价对象范围")</f>
        <v>——</v>
      </c>
      <c r="I1" s="2421"/>
    </row>
    <row r="2" spans="1:12" ht="21.75" customHeight="1" thickBot="1">
      <c r="A2" s="3131" t="str">
        <f>项目基本情况!S2</f>
        <v>陕西省渭南市开发区东府小区10#住宅楼房地产</v>
      </c>
      <c r="B2" s="3132"/>
      <c r="C2" s="3132"/>
      <c r="D2" s="3132"/>
      <c r="E2" s="3132"/>
      <c r="F2" s="3132"/>
      <c r="G2" s="3132"/>
      <c r="H2" s="3132"/>
      <c r="I2" s="3133"/>
    </row>
    <row r="3" spans="1:12" ht="12.75">
      <c r="A3" s="3134" t="s">
        <v>2117</v>
      </c>
      <c r="B3" s="3135"/>
      <c r="C3" s="3135"/>
      <c r="D3" s="3135"/>
      <c r="E3" s="3135"/>
      <c r="F3" s="3135"/>
      <c r="G3" s="3135"/>
      <c r="H3" s="3135"/>
      <c r="I3" s="3135"/>
    </row>
    <row r="4" spans="1:12" ht="14.25">
      <c r="A4" s="2424" t="s">
        <v>2118</v>
      </c>
      <c r="B4" s="2425" t="s">
        <v>2119</v>
      </c>
      <c r="C4" s="2426" t="s">
        <v>3165</v>
      </c>
      <c r="D4" s="2426" t="s">
        <v>3175</v>
      </c>
      <c r="E4" s="3115" t="s">
        <v>2120</v>
      </c>
      <c r="F4" s="3128"/>
      <c r="G4" s="3128"/>
      <c r="H4" s="3128"/>
      <c r="I4" s="3116"/>
      <c r="K4" s="2427" t="str">
        <f>IF(ISNUMBER(FIND("比较法",结果表!C4)),"比较法",IF(ISNUMBER(FIND("成本法",结果表!C4)),"成本法",IF(ISNUMBER(FIND("假设开发法",结果表!C4)),"假设开发法",IF(ISNUMBER(FIND("收益法",结果表!C4)),"收益法","基准地价系数修正法"))))</f>
        <v>收益法</v>
      </c>
      <c r="L4" s="2427" t="str">
        <f>IF(ISNUMBER(FIND("比较法",结果表!D4)),"比较法",IF(ISNUMBER(FIND("成本法",结果表!D4)),"成本法",IF(ISNUMBER(FIND("假设开发法",结果表!D4)),"假设开发法",IF(ISNUMBER(FIND("收益法",结果表!D4)),"收益法","基准地价系数修正法"))))</f>
        <v>比较法</v>
      </c>
    </row>
    <row r="5" spans="1:12" ht="12.75">
      <c r="A5" s="3106" t="s">
        <v>2121</v>
      </c>
      <c r="B5" s="3032">
        <v>25</v>
      </c>
      <c r="C5" s="3136"/>
      <c r="D5" s="3124"/>
      <c r="E5" s="140" t="s">
        <v>2122</v>
      </c>
      <c r="F5" s="2428"/>
      <c r="G5" s="2428"/>
      <c r="H5" s="2428"/>
      <c r="I5" s="1831"/>
    </row>
    <row r="6" spans="1:12" ht="12.75">
      <c r="A6" s="3106"/>
      <c r="B6" s="3032"/>
      <c r="C6" s="3138"/>
      <c r="D6" s="3124"/>
      <c r="E6" s="140" t="s">
        <v>2123</v>
      </c>
      <c r="F6" s="2428"/>
      <c r="G6" s="2428"/>
      <c r="H6" s="2428"/>
      <c r="I6" s="1831"/>
    </row>
    <row r="7" spans="1:12" ht="12.75">
      <c r="A7" s="3106"/>
      <c r="B7" s="3032"/>
      <c r="C7" s="3137"/>
      <c r="D7" s="3124"/>
      <c r="E7" s="140" t="s">
        <v>2124</v>
      </c>
      <c r="F7" s="2428"/>
      <c r="G7" s="2428"/>
      <c r="H7" s="2428"/>
      <c r="I7" s="1831"/>
    </row>
    <row r="8" spans="1:12" ht="12.75">
      <c r="A8" s="3106" t="s">
        <v>2125</v>
      </c>
      <c r="B8" s="3032">
        <v>15</v>
      </c>
      <c r="C8" s="3136"/>
      <c r="D8" s="3124"/>
      <c r="E8" s="140" t="s">
        <v>2126</v>
      </c>
      <c r="F8" s="2428"/>
      <c r="G8" s="2428"/>
      <c r="H8" s="2428"/>
      <c r="I8" s="1831"/>
    </row>
    <row r="9" spans="1:12" ht="12.75">
      <c r="A9" s="3106"/>
      <c r="B9" s="3032"/>
      <c r="C9" s="3137"/>
      <c r="D9" s="3124"/>
      <c r="E9" s="140" t="s">
        <v>2127</v>
      </c>
      <c r="F9" s="2428"/>
      <c r="G9" s="2428"/>
      <c r="H9" s="2428"/>
      <c r="I9" s="1831"/>
    </row>
    <row r="10" spans="1:12" ht="12.75">
      <c r="A10" s="3106" t="s">
        <v>2128</v>
      </c>
      <c r="B10" s="3032">
        <v>15</v>
      </c>
      <c r="C10" s="3136"/>
      <c r="D10" s="3124"/>
      <c r="E10" s="140" t="s">
        <v>2129</v>
      </c>
      <c r="F10" s="2428"/>
      <c r="G10" s="2428"/>
      <c r="H10" s="2428"/>
      <c r="I10" s="1831"/>
    </row>
    <row r="11" spans="1:12" ht="12.75">
      <c r="A11" s="3106"/>
      <c r="B11" s="3032"/>
      <c r="C11" s="3137"/>
      <c r="D11" s="3124"/>
      <c r="E11" s="140" t="s">
        <v>2130</v>
      </c>
      <c r="F11" s="2428"/>
      <c r="G11" s="2428"/>
      <c r="H11" s="2428"/>
      <c r="I11" s="1831"/>
    </row>
    <row r="12" spans="1:12" ht="12.75">
      <c r="A12" s="3106" t="s">
        <v>2131</v>
      </c>
      <c r="B12" s="3032">
        <v>15</v>
      </c>
      <c r="C12" s="3136"/>
      <c r="D12" s="3124"/>
      <c r="E12" s="140" t="s">
        <v>2132</v>
      </c>
      <c r="F12" s="2428"/>
      <c r="G12" s="2428"/>
      <c r="H12" s="2428"/>
      <c r="I12" s="1831"/>
    </row>
    <row r="13" spans="1:12" ht="12.75">
      <c r="A13" s="3106"/>
      <c r="B13" s="3032"/>
      <c r="C13" s="3137"/>
      <c r="D13" s="3124"/>
      <c r="E13" s="140" t="s">
        <v>2133</v>
      </c>
      <c r="F13" s="2428"/>
      <c r="G13" s="2428"/>
      <c r="H13" s="2428"/>
      <c r="I13" s="1831"/>
    </row>
    <row r="14" spans="1:12" ht="12.75">
      <c r="A14" s="3106" t="s">
        <v>2134</v>
      </c>
      <c r="B14" s="3032">
        <v>30</v>
      </c>
      <c r="C14" s="3136">
        <v>3</v>
      </c>
      <c r="D14" s="3124">
        <v>7</v>
      </c>
      <c r="E14" s="140" t="s">
        <v>2135</v>
      </c>
      <c r="F14" s="2428"/>
      <c r="G14" s="2428"/>
      <c r="H14" s="2428"/>
      <c r="I14" s="1831"/>
    </row>
    <row r="15" spans="1:12" ht="12.75">
      <c r="A15" s="3106"/>
      <c r="B15" s="3032"/>
      <c r="C15" s="3138"/>
      <c r="D15" s="3124"/>
      <c r="E15" s="140" t="s">
        <v>2136</v>
      </c>
      <c r="F15" s="2428"/>
      <c r="G15" s="2428"/>
      <c r="H15" s="2428"/>
      <c r="I15" s="1831"/>
    </row>
    <row r="16" spans="1:12" ht="12.75">
      <c r="A16" s="3106"/>
      <c r="B16" s="3032"/>
      <c r="C16" s="3137"/>
      <c r="D16" s="3124"/>
      <c r="E16" s="140" t="s">
        <v>2137</v>
      </c>
      <c r="F16" s="2428"/>
      <c r="G16" s="2428"/>
      <c r="H16" s="2428"/>
      <c r="I16" s="1831"/>
    </row>
    <row r="17" spans="1:35" ht="15">
      <c r="A17" s="2429" t="s">
        <v>2138</v>
      </c>
      <c r="B17" s="64"/>
      <c r="C17" s="141">
        <f>SUM(C5:C16)</f>
        <v>3</v>
      </c>
      <c r="D17" s="141">
        <f>SUM(D5:D16)</f>
        <v>7</v>
      </c>
      <c r="E17" s="138"/>
      <c r="F17" s="138"/>
      <c r="G17" s="138"/>
      <c r="H17" s="138"/>
      <c r="I17" s="138"/>
      <c r="K17" s="2427"/>
      <c r="L17" s="2430" t="s">
        <v>2139</v>
      </c>
      <c r="M17" s="2430" t="s">
        <v>2140</v>
      </c>
    </row>
    <row r="18" spans="1:35" ht="15.75" thickBot="1">
      <c r="A18" s="2431" t="s">
        <v>2141</v>
      </c>
      <c r="B18" s="2432"/>
      <c r="C18" s="142">
        <f>ROUND(C17/SUM(C17:D17),2)</f>
        <v>0.3</v>
      </c>
      <c r="D18" s="142">
        <f>1-C18</f>
        <v>0.7</v>
      </c>
      <c r="E18" s="138"/>
      <c r="F18" s="138"/>
      <c r="G18" s="138"/>
      <c r="H18" s="138"/>
      <c r="I18" s="138"/>
      <c r="K18" s="2427" t="s">
        <v>2142</v>
      </c>
      <c r="L18" s="2427">
        <f>IF(C1="",'数据-汇总表'!E3,SUMIF(项目类型,C1,'数据-汇总表'!E17:E26)+SUMIF(项目类型,C1,'数据-汇总表'!I17:I26))</f>
        <v>4106</v>
      </c>
      <c r="M18" s="2427">
        <f>IF(C1="",'数据-汇总表'!E3,SUMIF(项目类型,C1,'数据-汇总表'!E17:E26))</f>
        <v>4106</v>
      </c>
    </row>
    <row r="19" spans="1:35" ht="15">
      <c r="A19" s="2433" t="s">
        <v>2143</v>
      </c>
      <c r="B19" s="2434" t="s">
        <v>2144</v>
      </c>
      <c r="C19" s="143">
        <f ca="1">SUMIF(INDIRECT("'"&amp;C4&amp;"'"&amp;"!A:A"),结果表!B19,INDIRECT("'"&amp;C4&amp;"'"&amp;"!B:B"))</f>
        <v>810</v>
      </c>
      <c r="D19" s="144">
        <f ca="1">SUMIF(INDIRECT("'"&amp;D4&amp;"'"&amp;"!A:A"),结果表!B19,INDIRECT("'"&amp;D4&amp;"'"&amp;"!B:B"))</f>
        <v>1316</v>
      </c>
      <c r="E19" s="2433" t="s">
        <v>2145</v>
      </c>
      <c r="F19" s="2434" t="s">
        <v>2144</v>
      </c>
      <c r="G19" s="145">
        <f ca="1">ROUND(C19*$C$18+D19*$D$18,0)</f>
        <v>1164</v>
      </c>
      <c r="H19" s="2435" t="s">
        <v>2146</v>
      </c>
      <c r="I19" s="138"/>
      <c r="K19" s="2427" t="s">
        <v>2147</v>
      </c>
      <c r="L19" s="2427">
        <f>IF(C1="",'数据-汇总表'!D3,SUMIF(项目类型,C1,'数据-汇总表'!D17:D26)+SUMIF(项目类型,C1,'数据-汇总表'!H17:H27))</f>
        <v>0</v>
      </c>
      <c r="M19" s="2427">
        <f>IF(C1="",'数据-汇总表'!D3,SUMIF(项目类型,C1,'数据-汇总表'!D17:D26))</f>
        <v>0</v>
      </c>
    </row>
    <row r="20" spans="1:35" ht="15">
      <c r="A20" s="2436"/>
      <c r="B20" s="1247" t="s">
        <v>2148</v>
      </c>
      <c r="C20" s="146">
        <f ca="1">SUMIF(INDIRECT("'"&amp;C4&amp;"'"&amp;"!A:A"),结果表!B20,INDIRECT("'"&amp;C4&amp;"'"&amp;"!B:B"))</f>
        <v>1973</v>
      </c>
      <c r="D20" s="147">
        <f ca="1">SUMIF(INDIRECT("'"&amp;D4&amp;"'"&amp;"!A:A"),结果表!B20,INDIRECT("'"&amp;D4&amp;"'"&amp;"!B:B"))</f>
        <v>3206</v>
      </c>
      <c r="E20" s="2436"/>
      <c r="F20" s="1247" t="s">
        <v>2148</v>
      </c>
      <c r="G20" s="148">
        <f ca="1">ROUND(C20*$C$18+D20*$D$18,0)</f>
        <v>2836</v>
      </c>
      <c r="H20" s="980" t="s">
        <v>2149</v>
      </c>
      <c r="I20" s="138"/>
    </row>
    <row r="21" spans="1:35" ht="15" customHeight="1" thickBot="1">
      <c r="A21" s="1000"/>
      <c r="B21" s="2437" t="s">
        <v>2150</v>
      </c>
      <c r="C21" s="789" t="e">
        <f ca="1">ROUND(C19*10000/L19,0)</f>
        <v>#DIV/0!</v>
      </c>
      <c r="D21" s="790" t="e">
        <f ca="1">ROUND(D19*10000/L19,0)</f>
        <v>#DIV/0!</v>
      </c>
      <c r="E21" s="1000"/>
      <c r="F21" s="2437" t="s">
        <v>2150</v>
      </c>
      <c r="G21" s="149" t="e">
        <f ca="1">ROUND(G19*10000/L19,0)</f>
        <v>#DIV/0!</v>
      </c>
      <c r="H21" s="2438" t="s">
        <v>2149</v>
      </c>
      <c r="I21" s="138"/>
    </row>
    <row r="22" spans="1:35" ht="15" thickBot="1">
      <c r="A22" s="2280" t="s">
        <v>2151</v>
      </c>
      <c r="B22" s="2439"/>
      <c r="C22" s="2440"/>
      <c r="D22" s="791">
        <f ca="1">IF(C19&lt;D19,D19/C19-1,C19/D19-1)</f>
        <v>0.62469135802469133</v>
      </c>
      <c r="E22" s="138"/>
      <c r="F22" s="138"/>
      <c r="G22" s="138"/>
      <c r="H22" s="138"/>
      <c r="I22" s="138"/>
    </row>
    <row r="23" spans="1:35" ht="13.5" thickBot="1">
      <c r="A23" s="2417"/>
      <c r="B23" s="2417"/>
      <c r="C23" s="2417"/>
      <c r="D23" s="2417"/>
      <c r="E23" s="138"/>
      <c r="F23" s="138"/>
      <c r="G23" s="138"/>
      <c r="H23" s="138"/>
      <c r="I23" s="138"/>
    </row>
    <row r="24" spans="1:35" ht="14.25">
      <c r="A24" s="3145" t="s">
        <v>2152</v>
      </c>
      <c r="B24" s="2434" t="s">
        <v>2144</v>
      </c>
      <c r="C24" s="145">
        <f>IF(B30=0,0,D30)</f>
        <v>0</v>
      </c>
      <c r="D24" s="2441"/>
      <c r="E24" s="138"/>
      <c r="F24" s="138"/>
      <c r="G24" s="138"/>
      <c r="H24" s="138"/>
      <c r="I24" s="138"/>
    </row>
    <row r="25" spans="1:35" ht="14.25">
      <c r="A25" s="3146"/>
      <c r="B25" s="1247" t="s">
        <v>2148</v>
      </c>
      <c r="C25" s="150">
        <f>IF(B30=0,0,C30)</f>
        <v>0</v>
      </c>
      <c r="D25" s="2442"/>
      <c r="E25" s="138"/>
      <c r="F25" s="138"/>
      <c r="G25" s="138"/>
      <c r="H25" s="138"/>
      <c r="I25" s="138"/>
    </row>
    <row r="26" spans="1:35" ht="13.5" customHeight="1">
      <c r="A26" s="2443" t="s">
        <v>2153</v>
      </c>
      <c r="B26" s="151" t="s">
        <v>2154</v>
      </c>
      <c r="C26" s="151" t="s">
        <v>2155</v>
      </c>
      <c r="D26" s="152" t="s">
        <v>2156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2157</v>
      </c>
      <c r="B30" s="151"/>
      <c r="C30" s="151"/>
      <c r="D30" s="151"/>
      <c r="E30" s="2913"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2158</v>
      </c>
      <c r="B32" s="2447"/>
      <c r="C32" s="153">
        <f ca="1">IF(D32="总价",G19-C24,G20-C25)</f>
        <v>1164</v>
      </c>
      <c r="D32" s="2448" t="s">
        <v>2159</v>
      </c>
      <c r="E32" s="138"/>
      <c r="F32" s="138"/>
      <c r="G32" s="138"/>
      <c r="H32" s="138"/>
      <c r="I32" s="138"/>
    </row>
    <row r="33" spans="1:15" ht="15">
      <c r="A33" s="957" t="s">
        <v>2160</v>
      </c>
      <c r="B33" s="2449"/>
      <c r="C33" s="2450" t="s">
        <v>3177</v>
      </c>
      <c r="D33" s="2451" t="s">
        <v>3174</v>
      </c>
      <c r="E33" s="2452" t="s">
        <v>2161</v>
      </c>
      <c r="F33" s="2453" t="str">
        <f>IF(D32="楼面单价","取值（单价）","取值（总价）")</f>
        <v>取值（总价）</v>
      </c>
      <c r="G33" s="138"/>
      <c r="H33" s="138"/>
      <c r="I33" s="138"/>
    </row>
    <row r="34" spans="1:15" ht="15">
      <c r="A34" s="2454"/>
      <c r="B34" s="2455" t="s">
        <v>2162</v>
      </c>
      <c r="C34" s="157" t="e">
        <f ca="1">IF(C33="自定义",F34,C32-C35)</f>
        <v>#DIV/0!</v>
      </c>
      <c r="D34" s="1055" t="e">
        <f ca="1">IF(C33="自定义",ROUND(C34/C32,3),IF(C33="收益比率",SUMIF(INDIRECT("'"&amp;D33&amp;"'"&amp;"!b:b"),"土地收益比率",INDIRECT("'"&amp;D33&amp;"'"&amp;"!c:c")),SUMIF(INDIRECT("'"&amp;D33&amp;"'"&amp;"!b:b"),"土地成本比率",INDIRECT("'"&amp;D33&amp;"'"&amp;"!c:c"))))</f>
        <v>#DIV/0!</v>
      </c>
      <c r="E34" s="2456" t="s">
        <v>2163</v>
      </c>
      <c r="F34" s="1736"/>
      <c r="G34" s="138"/>
      <c r="H34" s="138"/>
      <c r="I34" s="138"/>
    </row>
    <row r="35" spans="1:15" ht="15.75" thickBot="1">
      <c r="A35" s="2457"/>
      <c r="B35" s="2458" t="s">
        <v>2164</v>
      </c>
      <c r="C35" s="1441" t="e">
        <f ca="1">IF(C33="自定义",F35,ROUND(C32*D35,0))</f>
        <v>#DIV/0!</v>
      </c>
      <c r="D35" s="1442" t="e">
        <f ca="1">IF(C33="自定义",ROUND(C35/C32,3),IF(C33="收益比率",SUMIF(INDIRECT("'"&amp;D33&amp;"'"&amp;"!b:b"),"建筑物收益比率",INDIRECT("'"&amp;D33&amp;"'"&amp;"!c:c")),SUMIF(INDIRECT("'"&amp;D33&amp;"'"&amp;"!b:b"),"建筑物成本比率",INDIRECT("'"&amp;D33&amp;"'"&amp;"!c:c"))))</f>
        <v>#DIV/0!</v>
      </c>
      <c r="E35" s="2459" t="s">
        <v>2165</v>
      </c>
      <c r="F35" s="163"/>
      <c r="G35" s="138"/>
      <c r="H35" s="138"/>
      <c r="I35" s="138"/>
    </row>
    <row r="36" spans="1:15" ht="15.75" thickBot="1">
      <c r="A36" s="3125" t="s">
        <v>2166</v>
      </c>
      <c r="B36" s="2460" t="s">
        <v>2167</v>
      </c>
      <c r="C36" s="154"/>
      <c r="D36" s="2461"/>
      <c r="E36" s="2462"/>
      <c r="F36" s="2463"/>
      <c r="G36" s="138"/>
      <c r="H36" s="138"/>
      <c r="I36" s="138"/>
    </row>
    <row r="37" spans="1:15" ht="15.75" thickBot="1">
      <c r="A37" s="3126"/>
      <c r="B37" s="2266" t="s">
        <v>2168</v>
      </c>
      <c r="C37" s="156"/>
      <c r="D37" s="1392"/>
      <c r="E37" s="1392"/>
      <c r="F37" s="2463"/>
      <c r="G37" s="138"/>
      <c r="H37" s="138"/>
      <c r="I37" s="138"/>
    </row>
    <row r="38" spans="1:15" ht="15.75" thickBot="1">
      <c r="A38" s="3127"/>
      <c r="B38" s="2464" t="s">
        <v>2169</v>
      </c>
      <c r="C38" s="727"/>
      <c r="D38" s="2465" t="s">
        <v>2170</v>
      </c>
      <c r="E38" s="1392"/>
      <c r="F38" s="2463"/>
      <c r="G38" s="138"/>
      <c r="H38" s="138"/>
      <c r="I38" s="138"/>
    </row>
    <row r="39" spans="1:15" ht="15">
      <c r="A39" s="2436" t="s">
        <v>2171</v>
      </c>
      <c r="B39" s="2466" t="s">
        <v>2172</v>
      </c>
      <c r="C39" s="2467" t="s">
        <v>2173</v>
      </c>
      <c r="D39" s="2467" t="s">
        <v>2174</v>
      </c>
      <c r="E39" s="2468" t="s">
        <v>2175</v>
      </c>
      <c r="F39" s="2463"/>
      <c r="G39" s="138"/>
      <c r="H39" s="138"/>
      <c r="I39" s="138"/>
    </row>
    <row r="40" spans="1:15" ht="14.25">
      <c r="A40" s="2469" t="s">
        <v>2176</v>
      </c>
      <c r="B40" s="158"/>
      <c r="C40" s="159"/>
      <c r="D40" s="159"/>
      <c r="E40" s="160"/>
      <c r="F40" s="2463"/>
      <c r="G40" s="138"/>
      <c r="H40" s="138"/>
      <c r="I40" s="138"/>
    </row>
    <row r="41" spans="1:15" ht="14.25">
      <c r="A41" s="2469" t="s">
        <v>2177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2178</v>
      </c>
      <c r="B44" s="2474"/>
      <c r="C44" s="2474"/>
      <c r="D44" s="2475"/>
      <c r="E44" s="2475"/>
      <c r="F44" s="2476"/>
      <c r="G44" s="2476"/>
      <c r="H44" s="2476"/>
      <c r="I44" s="2476"/>
      <c r="J44" s="2477" t="s">
        <v>2179</v>
      </c>
      <c r="K44" s="2478"/>
      <c r="L44" s="2478"/>
      <c r="M44" s="2478"/>
      <c r="N44" s="2478"/>
      <c r="O44" s="2478"/>
    </row>
    <row r="45" spans="1:15" ht="14.25" customHeight="1" thickBot="1">
      <c r="A45" s="3142" t="s">
        <v>2180</v>
      </c>
      <c r="B45" s="3143"/>
      <c r="C45" s="3144"/>
      <c r="D45" s="164">
        <f ca="1">ROUND(H101*F45,0)</f>
        <v>1164</v>
      </c>
      <c r="E45" s="165" t="s">
        <v>2181</v>
      </c>
      <c r="F45" s="166">
        <v>1</v>
      </c>
      <c r="G45" s="167" t="s">
        <v>2182</v>
      </c>
      <c r="H45" s="138"/>
      <c r="I45" s="138"/>
      <c r="J45" s="3061" t="s">
        <v>2183</v>
      </c>
      <c r="K45" s="3061"/>
      <c r="L45" s="3061"/>
      <c r="M45" s="3061"/>
      <c r="N45" s="3061"/>
      <c r="O45" s="3061"/>
    </row>
    <row r="46" spans="1:15" ht="14.25" customHeight="1">
      <c r="A46" s="3139" t="s">
        <v>2184</v>
      </c>
      <c r="B46" s="3140"/>
      <c r="C46" s="3140"/>
      <c r="D46" s="3140"/>
      <c r="E46" s="3140"/>
      <c r="F46" s="3140"/>
      <c r="G46" s="3141"/>
      <c r="H46" s="2479"/>
      <c r="I46" s="168"/>
      <c r="J46" s="1809">
        <v>1</v>
      </c>
      <c r="K46" s="3061" t="s">
        <v>2185</v>
      </c>
      <c r="L46" s="3061"/>
      <c r="M46" s="3062"/>
      <c r="N46" s="3062"/>
      <c r="O46" s="3062"/>
    </row>
    <row r="47" spans="1:15" ht="12" customHeight="1">
      <c r="A47" s="169" t="s">
        <v>2186</v>
      </c>
      <c r="B47" s="170"/>
      <c r="C47" s="171"/>
      <c r="D47" s="172" t="s">
        <v>2187</v>
      </c>
      <c r="E47" s="24" t="s">
        <v>2188</v>
      </c>
      <c r="F47" s="173" t="s">
        <v>2189</v>
      </c>
      <c r="G47" s="174" t="s">
        <v>2190</v>
      </c>
      <c r="H47" s="2479"/>
      <c r="I47" s="168"/>
      <c r="J47" s="1809">
        <v>2</v>
      </c>
      <c r="K47" s="3061" t="s">
        <v>2191</v>
      </c>
      <c r="L47" s="3061"/>
      <c r="M47" s="3063">
        <f>'数据-取费表'!B2</f>
        <v>43601</v>
      </c>
      <c r="N47" s="3063"/>
      <c r="O47" s="3063"/>
    </row>
    <row r="48" spans="1:15" ht="25.5">
      <c r="A48" s="3129" t="s">
        <v>2192</v>
      </c>
      <c r="B48" s="3130"/>
      <c r="C48" s="3130"/>
      <c r="D48" s="140">
        <f>IF(H48="情况1",0,IF(H48="情况2",D52,IF(H48="情况3",D53,IF(H48="情况4",D54))))</f>
        <v>0</v>
      </c>
      <c r="E48" s="1798" t="str">
        <f>IF(H48="情况4","(销售额-原购置价)×税（费）率","销售额×税（费）率")</f>
        <v>销售额×税（费）率</v>
      </c>
      <c r="F48" s="175" t="str">
        <f>IF(H48="情况1","免征",'数据-取费表'!B41)</f>
        <v>免征</v>
      </c>
      <c r="G48" s="2480" t="s">
        <v>2193</v>
      </c>
      <c r="H48" s="2481" t="s">
        <v>2194</v>
      </c>
      <c r="I48" s="2479"/>
      <c r="J48" s="1809">
        <v>3</v>
      </c>
      <c r="K48" s="3061" t="s">
        <v>2195</v>
      </c>
      <c r="L48" s="3061"/>
      <c r="M48" s="3064">
        <f ca="1">H101</f>
        <v>1164</v>
      </c>
      <c r="N48" s="3064"/>
      <c r="O48" s="3064"/>
    </row>
    <row r="49" spans="1:35" ht="25.5" customHeight="1">
      <c r="A49" s="176" t="s">
        <v>2196</v>
      </c>
      <c r="B49" s="3109" t="s">
        <v>2197</v>
      </c>
      <c r="C49" s="3109"/>
      <c r="D49" s="177">
        <v>0</v>
      </c>
      <c r="E49" s="23" t="s">
        <v>2198</v>
      </c>
      <c r="F49" s="28" t="s">
        <v>34</v>
      </c>
      <c r="G49" s="3090"/>
      <c r="H49" s="138"/>
      <c r="I49" s="2482"/>
      <c r="J49" s="1809">
        <v>4</v>
      </c>
      <c r="K49" s="3061" t="str">
        <f>IF(项目基本情况!E8="房地产抵押价值","房地产抵押价值","抵押担保权已注销时的房地产抵押价值")</f>
        <v>抵押担保权已注销时的房地产抵押价值</v>
      </c>
      <c r="L49" s="3061"/>
      <c r="M49" s="3064" t="str">
        <f>IF(项目基本情况!E8="房地产抵押价值",H107,H109)</f>
        <v>——</v>
      </c>
      <c r="N49" s="3064"/>
      <c r="O49" s="3064"/>
    </row>
    <row r="50" spans="1:35" ht="25.5" customHeight="1">
      <c r="A50" s="178"/>
      <c r="B50" s="3109" t="s">
        <v>2199</v>
      </c>
      <c r="C50" s="3109"/>
      <c r="D50" s="179"/>
      <c r="E50" s="31"/>
      <c r="F50" s="180"/>
      <c r="G50" s="3091"/>
      <c r="H50" s="138"/>
      <c r="I50" s="2482"/>
      <c r="J50" s="3061" t="s">
        <v>2200</v>
      </c>
      <c r="K50" s="3061"/>
      <c r="L50" s="3061"/>
      <c r="M50" s="3061"/>
      <c r="N50" s="3061"/>
      <c r="O50" s="3061"/>
    </row>
    <row r="51" spans="1:35" ht="12" customHeight="1">
      <c r="A51" s="181"/>
      <c r="B51" s="3109" t="s">
        <v>2201</v>
      </c>
      <c r="C51" s="3109"/>
      <c r="D51" s="182"/>
      <c r="E51" s="30"/>
      <c r="F51" s="180"/>
      <c r="G51" s="3092"/>
      <c r="H51" s="138"/>
      <c r="I51" s="2482"/>
      <c r="J51" s="2483" t="s">
        <v>2202</v>
      </c>
      <c r="K51" s="3061" t="s">
        <v>2203</v>
      </c>
      <c r="L51" s="3061"/>
      <c r="M51" s="2483" t="s">
        <v>2204</v>
      </c>
      <c r="N51" s="2483" t="s">
        <v>2205</v>
      </c>
      <c r="O51" s="2483" t="s">
        <v>2206</v>
      </c>
    </row>
    <row r="52" spans="1:35" ht="24" customHeight="1">
      <c r="A52" s="183" t="s">
        <v>2207</v>
      </c>
      <c r="B52" s="3109" t="s">
        <v>2208</v>
      </c>
      <c r="C52" s="3109"/>
      <c r="D52" s="182">
        <f ca="1">ROUND(D45*'数据-取费表'!B41/(1+'数据-取费表'!C42),0)</f>
        <v>62</v>
      </c>
      <c r="E52" s="11" t="s">
        <v>2209</v>
      </c>
      <c r="F52" s="184">
        <f>'数据-取费表'!B41</f>
        <v>5.6000000000000001E-2</v>
      </c>
      <c r="G52" s="2484"/>
      <c r="H52" s="138"/>
      <c r="I52" s="2482"/>
      <c r="J52" s="1809">
        <v>1</v>
      </c>
      <c r="K52" s="3084" t="s">
        <v>2210</v>
      </c>
      <c r="L52" s="3084"/>
      <c r="M52" s="1751">
        <f>D48</f>
        <v>0</v>
      </c>
      <c r="N52" s="1809" t="str">
        <f>E48</f>
        <v>销售额×税（费）率</v>
      </c>
      <c r="O52" s="1752" t="str">
        <f>F48</f>
        <v>免征</v>
      </c>
    </row>
    <row r="53" spans="1:35" ht="12" customHeight="1">
      <c r="A53" s="183" t="s">
        <v>2211</v>
      </c>
      <c r="B53" s="3110" t="s">
        <v>2212</v>
      </c>
      <c r="C53" s="3111"/>
      <c r="D53" s="182">
        <f ca="1">ROUND(D45*'数据-取费表'!B41/(1+'数据-取费表'!C42),0)</f>
        <v>62</v>
      </c>
      <c r="E53" s="11" t="s">
        <v>2209</v>
      </c>
      <c r="F53" s="184">
        <f>'数据-取费表'!B41</f>
        <v>5.6000000000000001E-2</v>
      </c>
      <c r="G53" s="2484"/>
      <c r="H53" s="138"/>
      <c r="I53" s="2482"/>
      <c r="J53" s="1809">
        <v>2</v>
      </c>
      <c r="K53" s="3084" t="s">
        <v>2213</v>
      </c>
      <c r="L53" s="3084"/>
      <c r="M53" s="1751">
        <f t="shared" ref="M53:O54" ca="1" si="0">D55</f>
        <v>35</v>
      </c>
      <c r="N53" s="1809" t="str">
        <f t="shared" si="0"/>
        <v>销售额×税（费）率</v>
      </c>
      <c r="O53" s="1752">
        <f t="shared" si="0"/>
        <v>0.03</v>
      </c>
    </row>
    <row r="54" spans="1:35" ht="12" customHeight="1">
      <c r="A54" s="183" t="s">
        <v>2214</v>
      </c>
      <c r="B54" s="3110" t="s">
        <v>2215</v>
      </c>
      <c r="C54" s="3111"/>
      <c r="D54" s="182">
        <f ca="1">C68</f>
        <v>62</v>
      </c>
      <c r="E54" s="30" t="s">
        <v>2216</v>
      </c>
      <c r="F54" s="184">
        <f>'数据-取费表'!B41</f>
        <v>5.6000000000000001E-2</v>
      </c>
      <c r="G54" s="2484"/>
      <c r="H54" s="2485"/>
      <c r="I54" s="2482"/>
      <c r="J54" s="1809">
        <v>3</v>
      </c>
      <c r="K54" s="3084" t="s">
        <v>2217</v>
      </c>
      <c r="L54" s="3084"/>
      <c r="M54" s="1751">
        <f t="shared" ca="1" si="0"/>
        <v>659</v>
      </c>
      <c r="N54" s="1809" t="str">
        <f t="shared" si="0"/>
        <v>增值额×税（费）率</v>
      </c>
      <c r="O54" s="1753" t="str">
        <f t="shared" si="0"/>
        <v>——</v>
      </c>
    </row>
    <row r="55" spans="1:35" ht="24" customHeight="1">
      <c r="A55" s="3148" t="s">
        <v>2218</v>
      </c>
      <c r="B55" s="3130"/>
      <c r="C55" s="3130"/>
      <c r="D55" s="185">
        <f ca="1">IF(H55="个人住宅",0,ROUND(D45*I55,0))</f>
        <v>35</v>
      </c>
      <c r="E55" s="11" t="s">
        <v>2219</v>
      </c>
      <c r="F55" s="184">
        <f>IF(H55="正常",I55,"免征")</f>
        <v>0.03</v>
      </c>
      <c r="G55" s="2484"/>
      <c r="H55" s="2481" t="s">
        <v>2220</v>
      </c>
      <c r="I55" s="186">
        <f>'数据-取费表'!B49</f>
        <v>0.03</v>
      </c>
      <c r="J55" s="1809" t="str">
        <f>IF(H59="非个人房产","",4)</f>
        <v/>
      </c>
      <c r="K55" s="3084" t="str">
        <f>IF(H59="非个人房产","——","个人所得税")</f>
        <v>——</v>
      </c>
      <c r="L55" s="3084"/>
      <c r="M55" s="1754" t="str">
        <f>D59</f>
        <v>——</v>
      </c>
      <c r="N55" s="1807" t="str">
        <f>E59</f>
        <v>——</v>
      </c>
      <c r="O55" s="1755" t="str">
        <f>F59</f>
        <v>——</v>
      </c>
    </row>
    <row r="56" spans="1:35" ht="24.75">
      <c r="A56" s="3148" t="s">
        <v>2221</v>
      </c>
      <c r="B56" s="3130"/>
      <c r="C56" s="3130"/>
      <c r="D56" s="185">
        <f ca="1">IF(H56="个人住宅",D57,D58)</f>
        <v>659</v>
      </c>
      <c r="E56" s="11" t="s">
        <v>2222</v>
      </c>
      <c r="F56" s="184" t="str">
        <f>IF(H56="正常",F58,"免征")</f>
        <v>——</v>
      </c>
      <c r="G56" s="2486" t="s">
        <v>2223</v>
      </c>
      <c r="H56" s="2487" t="s">
        <v>2220</v>
      </c>
      <c r="I56" s="2488"/>
      <c r="J56" s="1809" t="str">
        <f>IF(项目基本情况!K6="上海银行",IF(J55="",4,J55+1),"")</f>
        <v/>
      </c>
      <c r="K56" s="3067" t="str">
        <f>IF(项目基本情况!K6="上海银行","其他处置费用","")</f>
        <v/>
      </c>
      <c r="L56" s="3068"/>
      <c r="M56" s="1751" t="str">
        <f>IF(项目基本情况!K6="上海银行",M69,"")</f>
        <v/>
      </c>
      <c r="N56" s="3070" t="str">
        <f>IF(项目基本情况!K6="上海银行","包含处置中涉及的律师、诉讼、拍卖、评估等费用","")</f>
        <v/>
      </c>
      <c r="O56" s="3071"/>
    </row>
    <row r="57" spans="1:35" ht="12.75">
      <c r="A57" s="183" t="s">
        <v>2196</v>
      </c>
      <c r="B57" s="3115" t="s">
        <v>2224</v>
      </c>
      <c r="C57" s="3116"/>
      <c r="D57" s="187">
        <v>0</v>
      </c>
      <c r="E57" s="23" t="s">
        <v>2198</v>
      </c>
      <c r="F57" s="155"/>
      <c r="G57" s="2484"/>
      <c r="H57" s="2488"/>
      <c r="I57" s="2488"/>
      <c r="J57" s="3084">
        <f>IF(AND(J55="",J56=""),4,IF(项目基本情况!K6="上海银行",结果表!J56+1,结果表!J55+1))</f>
        <v>4</v>
      </c>
      <c r="K57" s="3084" t="s">
        <v>2225</v>
      </c>
      <c r="L57" s="2489" t="s">
        <v>2226</v>
      </c>
      <c r="M57" s="1756"/>
      <c r="N57" s="1757">
        <f ca="1">SUMIF(M52:M56,"&lt;9e307")</f>
        <v>694</v>
      </c>
      <c r="O57" s="2490"/>
      <c r="P57" s="1750" t="e">
        <f ca="1">N57/M49</f>
        <v>#VALUE!</v>
      </c>
    </row>
    <row r="58" spans="1:35" ht="24.75">
      <c r="A58" s="183" t="s">
        <v>2207</v>
      </c>
      <c r="B58" s="3115" t="s">
        <v>2227</v>
      </c>
      <c r="C58" s="3128"/>
      <c r="D58" s="185">
        <f ca="1">IF(H58="转让取得",C81,C97)</f>
        <v>659</v>
      </c>
      <c r="E58" s="11" t="s">
        <v>2222</v>
      </c>
      <c r="F58" s="24" t="s">
        <v>34</v>
      </c>
      <c r="G58" s="2484"/>
      <c r="H58" s="2487" t="s">
        <v>2228</v>
      </c>
      <c r="I58" s="2488"/>
      <c r="J58" s="3084"/>
      <c r="K58" s="3084"/>
      <c r="L58" s="2489" t="s">
        <v>2229</v>
      </c>
      <c r="M58" s="1758"/>
      <c r="N58" s="2491" t="str">
        <f ca="1">NUMBERSTRING(INT(N57*10000),2)&amp;"元整"</f>
        <v>陆佰玖拾肆万元整</v>
      </c>
      <c r="O58" s="2492"/>
    </row>
    <row r="59" spans="1:35" ht="24.75" thickBot="1">
      <c r="A59" s="3088" t="s">
        <v>2230</v>
      </c>
      <c r="B59" s="3089"/>
      <c r="C59" s="3089"/>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086">
        <f>J57+1</f>
        <v>5</v>
      </c>
      <c r="K59" s="3084" t="s">
        <v>2232</v>
      </c>
      <c r="L59" s="1809" t="s">
        <v>2226</v>
      </c>
      <c r="M59" s="1759"/>
      <c r="N59" s="1760" t="e">
        <f ca="1">M49-N57</f>
        <v>#VALUE!</v>
      </c>
      <c r="O59" s="2494"/>
    </row>
    <row r="60" spans="1:35" ht="12" customHeight="1">
      <c r="A60" s="2495"/>
      <c r="B60" s="2417"/>
      <c r="C60" s="2417"/>
      <c r="D60" s="2417"/>
      <c r="E60" s="2165"/>
      <c r="F60" s="2488"/>
      <c r="G60" s="2488"/>
      <c r="H60" s="2496"/>
      <c r="I60" s="138"/>
      <c r="J60" s="3087"/>
      <c r="K60" s="3084"/>
      <c r="L60" s="2489" t="s">
        <v>2229</v>
      </c>
      <c r="M60" s="1758"/>
      <c r="N60" s="2491" t="e">
        <f ca="1">NUMBERSTRING(INT(N59*10000),2)&amp;"元整"</f>
        <v>#VALUE!</v>
      </c>
      <c r="O60" s="2492"/>
    </row>
    <row r="61" spans="1:35" ht="13.5" thickBot="1">
      <c r="A61" s="3147" t="s">
        <v>2233</v>
      </c>
      <c r="B61" s="3147"/>
      <c r="C61" s="3147"/>
      <c r="D61" s="3147"/>
      <c r="E61" s="3147"/>
      <c r="F61" s="2488"/>
      <c r="G61" s="2488"/>
      <c r="H61" s="2496"/>
      <c r="I61" s="138"/>
      <c r="J61" s="1809">
        <f>J59+1</f>
        <v>6</v>
      </c>
      <c r="K61" s="3084" t="s">
        <v>2234</v>
      </c>
      <c r="L61" s="3084"/>
      <c r="M61" s="1761"/>
      <c r="N61" s="1762" t="e">
        <f ca="1">ROUND(N59*10000/'数据-汇总表'!E3,0)</f>
        <v>#VALUE!</v>
      </c>
      <c r="O61" s="2497"/>
    </row>
    <row r="62" spans="1:35" ht="12.75">
      <c r="A62" s="3104" t="s">
        <v>2235</v>
      </c>
      <c r="B62" s="3105"/>
      <c r="C62" s="1801"/>
      <c r="D62" s="1801" t="s">
        <v>2236</v>
      </c>
      <c r="E62" s="192" t="s">
        <v>2237</v>
      </c>
      <c r="F62" s="2488"/>
      <c r="G62" s="2488"/>
      <c r="H62" s="2496"/>
      <c r="I62" s="138"/>
    </row>
    <row r="63" spans="1:35" ht="12.75">
      <c r="A63" s="203" t="s">
        <v>775</v>
      </c>
      <c r="B63" s="193" t="s">
        <v>2238</v>
      </c>
      <c r="C63" s="194">
        <f ca="1">ROUND((C64+C65)/(1+'数据-取费表'!C42),0)</f>
        <v>1109</v>
      </c>
      <c r="D63" s="195"/>
      <c r="E63" s="196"/>
      <c r="F63" s="2488"/>
      <c r="G63" s="2488"/>
      <c r="H63" s="2496"/>
      <c r="I63" s="138"/>
      <c r="J63" s="3069" t="s">
        <v>2239</v>
      </c>
      <c r="K63" s="2498" t="s">
        <v>2240</v>
      </c>
      <c r="L63" s="1749" t="e">
        <f>IF(M49&gt;10000,M49*0.5%,IF(AND(M49&gt;1000,M49&lt;=10000),M49*1%,IF(AND(M49&gt;100,M49&lt;=1000),M49*3%,IF(AND(M49&gt;10,M49&lt;=100),M49*5%,M49*8%))))</f>
        <v>#VALUE!</v>
      </c>
      <c r="M63" s="24" t="e">
        <f>ROUND(L63,1)</f>
        <v>#VALUE!</v>
      </c>
      <c r="Z63" s="2422"/>
      <c r="AI63" s="2423"/>
    </row>
    <row r="64" spans="1:35" ht="14.25" customHeight="1">
      <c r="A64" s="197" t="s">
        <v>770</v>
      </c>
      <c r="B64" s="198" t="s">
        <v>2241</v>
      </c>
      <c r="C64" s="199">
        <f ca="1">D45</f>
        <v>1164</v>
      </c>
      <c r="D64" s="200" t="s">
        <v>32</v>
      </c>
      <c r="E64" s="201"/>
      <c r="F64" s="2488"/>
      <c r="G64" s="2488"/>
      <c r="H64" s="2496"/>
      <c r="I64" s="138"/>
      <c r="J64" s="3069"/>
      <c r="K64" s="2498" t="s">
        <v>2242</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2"/>
      <c r="AI64" s="2423"/>
    </row>
    <row r="65" spans="1:35" ht="14.25" customHeight="1">
      <c r="A65" s="197" t="s">
        <v>771</v>
      </c>
      <c r="B65" s="198" t="s">
        <v>2244</v>
      </c>
      <c r="C65" s="202"/>
      <c r="D65" s="200"/>
      <c r="E65" s="201"/>
      <c r="F65" s="2488"/>
      <c r="G65" s="2488"/>
      <c r="H65" s="2496"/>
      <c r="I65" s="138"/>
      <c r="J65" s="3069"/>
      <c r="K65" s="2498" t="s">
        <v>2245</v>
      </c>
      <c r="L65" s="1749" t="e">
        <f>IF(M49&gt;1000,M49*0.1%,IF(AND(M49&gt;500,M49&lt;=1000),M49*0.5%,IF(AND(M49&gt;50,M49&lt;=500),M49*1%,IF(AND(M49&gt;1,M49&lt;=50),M49*1.5%))))</f>
        <v>#VALUE!</v>
      </c>
      <c r="M65" s="24" t="e">
        <f t="shared" si="1"/>
        <v>#VALUE!</v>
      </c>
      <c r="N65" s="138" t="s">
        <v>2243</v>
      </c>
      <c r="Z65" s="2422"/>
      <c r="AI65" s="2423"/>
    </row>
    <row r="66" spans="1:35" ht="14.25" customHeight="1">
      <c r="A66" s="203" t="s">
        <v>772</v>
      </c>
      <c r="B66" s="204" t="s">
        <v>2246</v>
      </c>
      <c r="C66" s="205"/>
      <c r="D66" s="206" t="s">
        <v>32</v>
      </c>
      <c r="E66" s="1773" t="s">
        <v>1367</v>
      </c>
      <c r="F66" s="2488"/>
      <c r="G66" s="2488"/>
      <c r="H66" s="2496"/>
      <c r="I66" s="138"/>
      <c r="J66" s="3069"/>
      <c r="K66" s="2498" t="s">
        <v>2247</v>
      </c>
      <c r="L66" s="1749" t="e">
        <f>M49*0.5%</f>
        <v>#VALUE!</v>
      </c>
      <c r="M66" s="24" t="e">
        <f>IF(L66&gt;0.5,0.5,ROUND(L66,0))</f>
        <v>#VALUE!</v>
      </c>
      <c r="N66" s="138" t="s">
        <v>2248</v>
      </c>
      <c r="Z66" s="2422"/>
      <c r="AI66" s="2423"/>
    </row>
    <row r="67" spans="1:35" ht="14.25" customHeight="1">
      <c r="A67" s="203" t="s">
        <v>773</v>
      </c>
      <c r="B67" s="204" t="s">
        <v>2249</v>
      </c>
      <c r="C67" s="207">
        <f ca="1">C63-C66</f>
        <v>1109</v>
      </c>
      <c r="D67" s="200" t="s">
        <v>32</v>
      </c>
      <c r="E67" s="201"/>
      <c r="F67" s="2488"/>
      <c r="G67" s="2488"/>
      <c r="H67" s="2496"/>
      <c r="I67" s="138"/>
      <c r="J67" s="3069"/>
      <c r="K67" s="2498" t="s">
        <v>2250</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2251</v>
      </c>
      <c r="C68" s="210">
        <f ca="1">IF(C67&lt;=0,0,ROUND(C67*D68,0))</f>
        <v>62</v>
      </c>
      <c r="D68" s="211">
        <f>'数据-取费表'!B41</f>
        <v>5.6000000000000001E-2</v>
      </c>
      <c r="E68" s="212"/>
      <c r="F68" s="2488"/>
      <c r="G68" s="2488"/>
      <c r="H68" s="2496"/>
      <c r="I68" s="138"/>
      <c r="J68" s="3069"/>
      <c r="K68" s="2498" t="s">
        <v>2252</v>
      </c>
      <c r="L68" s="1749"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069"/>
      <c r="K69" s="2498" t="s">
        <v>2253</v>
      </c>
      <c r="L69" s="2504"/>
      <c r="M69" s="24" t="e">
        <f>ROUND(SUM(M63:M68),0)</f>
        <v>#VALUE!</v>
      </c>
      <c r="N69" s="1750"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13" t="s">
        <v>2254</v>
      </c>
      <c r="B70" s="3114"/>
      <c r="C70" s="3114"/>
      <c r="D70" s="3114"/>
      <c r="E70" s="3114"/>
      <c r="F70" s="3114"/>
      <c r="G70" s="3114"/>
      <c r="H70" s="311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4" t="s">
        <v>2235</v>
      </c>
      <c r="B71" s="3105"/>
      <c r="C71" s="1801"/>
      <c r="D71" s="1801"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2255</v>
      </c>
      <c r="C72" s="207">
        <f ca="1">ROUND(D45/(1+'数据-取费表'!C42),0)</f>
        <v>1109</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2256</v>
      </c>
      <c r="C73" s="207">
        <f ca="1">C74+C78</f>
        <v>7</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2257</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2258</v>
      </c>
      <c r="C75" s="218"/>
      <c r="D75" s="200" t="s">
        <v>32</v>
      </c>
      <c r="E75" s="219" t="s">
        <v>2259</v>
      </c>
      <c r="F75" s="2510" t="s">
        <v>2260</v>
      </c>
      <c r="G75" s="219" t="s">
        <v>2261</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2262</v>
      </c>
      <c r="C76" s="200">
        <f>IF(F75="购房发票",ROUND(C75*H75*D76,0),0)</f>
        <v>0</v>
      </c>
      <c r="D76" s="222">
        <v>0.05</v>
      </c>
      <c r="E76" s="3110" t="s">
        <v>2263</v>
      </c>
      <c r="F76" s="3109"/>
      <c r="G76" s="3109"/>
      <c r="H76" s="311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2264</v>
      </c>
      <c r="C77" s="200">
        <f>ROUND(IF(G77="个人住宅",0,IF(G77="2016年5月1日前购买",C75*D77,C75*D77/(1+'数据-取费表'!C42))),0)</f>
        <v>0</v>
      </c>
      <c r="D77" s="223">
        <f>'数据-取费表'!B48+'数据-取费表'!B49</f>
        <v>0.06</v>
      </c>
      <c r="E77" s="15" t="s">
        <v>2265</v>
      </c>
      <c r="F77" s="224"/>
      <c r="G77" s="2512" t="s">
        <v>2266</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2267</v>
      </c>
      <c r="C78" s="225">
        <f ca="1">ROUND(D45*D78/(1+'数据-取费表'!C42),0)</f>
        <v>7</v>
      </c>
      <c r="D78" s="226">
        <f>'数据-取费表'!B43</f>
        <v>6.000000000000001E-3</v>
      </c>
      <c r="E78" s="3101" t="s">
        <v>2268</v>
      </c>
      <c r="F78" s="3102"/>
      <c r="G78" s="3102"/>
      <c r="H78" s="310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2269</v>
      </c>
      <c r="C79" s="207">
        <f ca="1">C72-C73</f>
        <v>1102</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2270</v>
      </c>
      <c r="C80" s="227">
        <f ca="1">IF(C79&lt;=0,0,C79/C73)</f>
        <v>157.42857142857142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2271</v>
      </c>
      <c r="C81" s="228">
        <f ca="1">ROUND(IF(C79&lt;=0,0,IF(C80&gt;=200%,C79*60%-C73*35%,IF(C80&gt;=100%,C79*50%-C73*15%,IF(C80&gt;=50%,C79*40%-C73*5%,IF(C80&lt;50%,C79*30%,0))))),0)</f>
        <v>659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3" t="s">
        <v>2272</v>
      </c>
      <c r="B83" s="3114"/>
      <c r="C83" s="3114"/>
      <c r="D83" s="3114"/>
      <c r="E83" s="3114"/>
      <c r="F83" s="3114"/>
      <c r="G83" s="3114"/>
      <c r="H83" s="311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4" t="s">
        <v>2235</v>
      </c>
      <c r="B84" s="3105"/>
      <c r="C84" s="1801"/>
      <c r="D84" s="1801"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2255</v>
      </c>
      <c r="C85" s="207">
        <f ca="1">ROUND(D45/(1+'数据-取费表'!C42),0)</f>
        <v>1109</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2256</v>
      </c>
      <c r="C86" s="207">
        <f ca="1">IF(H88="仅含出让金",C87+C90+C91+C92+C93+C94,C87+C91+C92+C93+C94)</f>
        <v>7</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2273</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2274</v>
      </c>
      <c r="C88" s="236"/>
      <c r="D88" s="226"/>
      <c r="E88" s="237" t="s">
        <v>2275</v>
      </c>
      <c r="F88" s="1797"/>
      <c r="G88" s="238"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2264</v>
      </c>
      <c r="C89" s="225">
        <f>ROUND(C88*D89,0)</f>
        <v>0</v>
      </c>
      <c r="D89" s="226">
        <f>'数据-取费表'!B48+'数据-取费表'!B49</f>
        <v>0.06</v>
      </c>
      <c r="E89" s="237" t="s">
        <v>2277</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2278</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2279</v>
      </c>
      <c r="B91" s="198" t="s">
        <v>2280</v>
      </c>
      <c r="C91" s="225">
        <f>IF(H91="——",成本法!C33,I91)</f>
        <v>0</v>
      </c>
      <c r="D91" s="226"/>
      <c r="E91" s="3101" t="s">
        <v>2281</v>
      </c>
      <c r="F91" s="3102"/>
      <c r="G91" s="3102"/>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2283</v>
      </c>
      <c r="B92" s="198" t="s">
        <v>2284</v>
      </c>
      <c r="C92" s="225">
        <f>ROUND((C87+C90+C91)*D92,0)</f>
        <v>0</v>
      </c>
      <c r="D92" s="226">
        <v>0.1</v>
      </c>
      <c r="E92" s="3101" t="s">
        <v>2285</v>
      </c>
      <c r="F92" s="3102"/>
      <c r="G92" s="3102"/>
      <c r="H92" s="310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2286</v>
      </c>
      <c r="B93" s="198" t="s">
        <v>2267</v>
      </c>
      <c r="C93" s="225">
        <f ca="1">ROUND(D45*D93/(1+'数据-取费表'!C42),0)</f>
        <v>7</v>
      </c>
      <c r="D93" s="226">
        <f>'数据-取费表'!B43</f>
        <v>6.000000000000001E-3</v>
      </c>
      <c r="E93" s="3101" t="s">
        <v>2268</v>
      </c>
      <c r="F93" s="3102"/>
      <c r="G93" s="3102"/>
      <c r="H93" s="310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2287</v>
      </c>
      <c r="B94" s="198" t="s">
        <v>2288</v>
      </c>
      <c r="C94" s="236">
        <f>ROUND((C87+C90+C91)*D94,0)</f>
        <v>0</v>
      </c>
      <c r="D94" s="226">
        <v>0.2</v>
      </c>
      <c r="E94" s="3149" t="s">
        <v>2289</v>
      </c>
      <c r="F94" s="3150"/>
      <c r="G94" s="3150"/>
      <c r="H94" s="315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2269</v>
      </c>
      <c r="C95" s="207">
        <f ca="1">ROUND(C85-C86,0)</f>
        <v>1102</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2270</v>
      </c>
      <c r="C96" s="227">
        <f ca="1">IF(C95&lt;=0,0,C95/C86)</f>
        <v>157.42857142857142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2271</v>
      </c>
      <c r="C97" s="228">
        <f ca="1">ROUND(IF(C95&lt;=0,0,IF(C96&gt;=200%,C95*60%-C86*35%,IF(C96&gt;=100%,C95*50%-C86*15%,IF(C96&gt;=50%,C95*40%-C86*5%,IF(C96&lt;50%,C95*30%,0))))),0)</f>
        <v>659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2290</v>
      </c>
      <c r="B99" s="2417"/>
      <c r="C99" s="2417"/>
      <c r="D99" s="2417"/>
      <c r="E99" s="2165"/>
      <c r="F99" s="2165"/>
      <c r="G99" s="2165"/>
      <c r="H99" s="2164"/>
      <c r="I99" s="138"/>
    </row>
    <row r="100" spans="1:35" ht="18.75" customHeight="1">
      <c r="A100" s="3053" t="s">
        <v>2291</v>
      </c>
      <c r="B100" s="3054"/>
      <c r="C100" s="3054"/>
      <c r="D100" s="3085"/>
      <c r="E100" s="3054" t="s">
        <v>2292</v>
      </c>
      <c r="F100" s="3054"/>
      <c r="G100" s="3054"/>
      <c r="H100" s="3085"/>
      <c r="I100" s="138"/>
    </row>
    <row r="101" spans="1:35" ht="18.75" customHeight="1">
      <c r="A101" s="3093" t="s">
        <v>2293</v>
      </c>
      <c r="B101" s="3094"/>
      <c r="C101" s="736" t="str">
        <f>C4</f>
        <v>收益法</v>
      </c>
      <c r="D101" s="737" t="str">
        <f>D4</f>
        <v>比较法-住宅</v>
      </c>
      <c r="E101" s="3065" t="s">
        <v>2294</v>
      </c>
      <c r="F101" s="3066"/>
      <c r="G101" s="2519" t="s">
        <v>2295</v>
      </c>
      <c r="H101" s="1045">
        <f ca="1">H118</f>
        <v>1164</v>
      </c>
      <c r="I101" s="138"/>
    </row>
    <row r="102" spans="1:35" ht="18.75" customHeight="1">
      <c r="A102" s="3095" t="s">
        <v>2296</v>
      </c>
      <c r="B102" s="2519" t="s">
        <v>2295</v>
      </c>
      <c r="C102" s="736">
        <f ca="1">C19</f>
        <v>810</v>
      </c>
      <c r="D102" s="737">
        <f ca="1">D19</f>
        <v>1316</v>
      </c>
      <c r="E102" s="3065"/>
      <c r="F102" s="3066"/>
      <c r="G102" s="2519" t="s">
        <v>2297</v>
      </c>
      <c r="H102" s="371">
        <f ca="1">I118</f>
        <v>2835</v>
      </c>
      <c r="I102" s="138"/>
    </row>
    <row r="103" spans="1:35" ht="42.75" customHeight="1">
      <c r="A103" s="3095"/>
      <c r="B103" s="2519" t="s">
        <v>2297</v>
      </c>
      <c r="C103" s="738">
        <f ca="1">C20</f>
        <v>1973</v>
      </c>
      <c r="D103" s="739">
        <f ca="1">D20</f>
        <v>3206</v>
      </c>
      <c r="E103" s="3059" t="s">
        <v>2298</v>
      </c>
      <c r="F103" s="3060"/>
      <c r="G103" s="2520" t="s">
        <v>2299</v>
      </c>
      <c r="H103" s="1045">
        <f>IF(D36="正常操作",H104+H105+H106,H105+H106)</f>
        <v>0</v>
      </c>
      <c r="I103" s="138"/>
    </row>
    <row r="104" spans="1:35" ht="18.75" customHeight="1">
      <c r="A104" s="3095" t="s">
        <v>2300</v>
      </c>
      <c r="B104" s="2521" t="s">
        <v>2295</v>
      </c>
      <c r="C104" s="740">
        <f ca="1">H118</f>
        <v>1164</v>
      </c>
      <c r="D104" s="741"/>
      <c r="E104" s="2266" t="s">
        <v>2301</v>
      </c>
      <c r="F104" s="2257"/>
      <c r="G104" s="2520" t="s">
        <v>2299</v>
      </c>
      <c r="H104" s="1046">
        <f>IF(D36="同一抵押权人同一抵押物续贷",C36&amp;"（未扣减，详见特别提示）",C36)</f>
        <v>0</v>
      </c>
      <c r="I104" s="138"/>
    </row>
    <row r="105" spans="1:35" ht="18.75" customHeight="1" thickBot="1">
      <c r="A105" s="3107"/>
      <c r="B105" s="2522" t="s">
        <v>2297</v>
      </c>
      <c r="C105" s="742">
        <f ca="1">I118</f>
        <v>2835</v>
      </c>
      <c r="D105" s="743"/>
      <c r="E105" s="2266" t="s">
        <v>2302</v>
      </c>
      <c r="F105" s="2257"/>
      <c r="G105" s="2520" t="s">
        <v>2299</v>
      </c>
      <c r="H105" s="1046">
        <f>C37</f>
        <v>0</v>
      </c>
      <c r="I105" s="138"/>
    </row>
    <row r="106" spans="1:35" ht="18.75" customHeight="1">
      <c r="A106" s="2417" t="s">
        <v>2303</v>
      </c>
      <c r="B106" s="2417"/>
      <c r="C106" s="2417"/>
      <c r="D106" s="2417"/>
      <c r="E106" s="2523" t="s">
        <v>2304</v>
      </c>
      <c r="F106" s="2257"/>
      <c r="G106" s="2520" t="s">
        <v>2299</v>
      </c>
      <c r="H106" s="1046">
        <f>C38</f>
        <v>0</v>
      </c>
      <c r="I106" s="138"/>
    </row>
    <row r="107" spans="1:35" ht="18.75" customHeight="1">
      <c r="A107" s="138"/>
      <c r="B107" s="138"/>
      <c r="C107" s="138"/>
      <c r="D107" s="138"/>
      <c r="E107" s="3096" t="str">
        <f>IF(项目基本情况!E8="已注销","——","3.房地产抵押价值")</f>
        <v>3.房地产抵押价值</v>
      </c>
      <c r="F107" s="3066"/>
      <c r="G107" s="2519" t="s">
        <v>2295</v>
      </c>
      <c r="H107" s="1045">
        <f ca="1">IF(E107="——","——",H101-H103)</f>
        <v>1164</v>
      </c>
      <c r="I107" s="138"/>
    </row>
    <row r="108" spans="1:35" ht="18.75" customHeight="1">
      <c r="A108" s="138"/>
      <c r="B108" s="138"/>
      <c r="C108" s="138"/>
      <c r="D108" s="138"/>
      <c r="E108" s="3096"/>
      <c r="F108" s="3066"/>
      <c r="G108" s="2519" t="s">
        <v>2297</v>
      </c>
      <c r="H108" s="371">
        <f ca="1">ROUND(H107*10000/'数据-汇总表'!E3,0)</f>
        <v>2835</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66"/>
      <c r="G109" s="2519" t="s">
        <v>2295</v>
      </c>
      <c r="H109" s="348" t="str">
        <f>IF(E109="——","——",H101-H105-H106)</f>
        <v>——</v>
      </c>
      <c r="I109" s="138"/>
    </row>
    <row r="110" spans="1:35" ht="18.75" customHeight="1">
      <c r="A110" s="138"/>
      <c r="B110" s="138"/>
      <c r="C110" s="138"/>
      <c r="D110" s="138"/>
      <c r="E110" s="3096"/>
      <c r="F110" s="3066"/>
      <c r="G110" s="2519" t="s">
        <v>2297</v>
      </c>
      <c r="H110" s="371" t="str">
        <f>IF(H109="——","——",ROUND(H109*10000/'数据-汇总表'!E3,0))</f>
        <v>——</v>
      </c>
      <c r="I110" s="138"/>
    </row>
    <row r="111" spans="1:35" ht="18.75" customHeight="1">
      <c r="A111" s="138"/>
      <c r="B111" s="138"/>
      <c r="C111" s="138"/>
      <c r="D111" s="138"/>
      <c r="E111" s="3097" t="str">
        <f>IF(项目基本情况!E9="抵押净值",IF(OR(项目基本情况!E8="已注销",项目基本情况!E8="房地产抵押价值"),"4.抵押净值","5.抵押净值"),"——")</f>
        <v>——</v>
      </c>
      <c r="F111" s="3098"/>
      <c r="G111" s="2519" t="s">
        <v>2295</v>
      </c>
      <c r="H111" s="1045" t="str">
        <f>IF(E111="——","——",N59)</f>
        <v>——</v>
      </c>
      <c r="I111" s="138"/>
    </row>
    <row r="112" spans="1:35" ht="18.75" customHeight="1" thickBot="1">
      <c r="A112" s="138"/>
      <c r="B112" s="138"/>
      <c r="C112" s="138"/>
      <c r="D112" s="138"/>
      <c r="E112" s="3099"/>
      <c r="F112" s="3100"/>
      <c r="G112" s="2524" t="s">
        <v>2297</v>
      </c>
      <c r="H112" s="790" t="str">
        <f>IF(E111="——","——",N61)</f>
        <v>——</v>
      </c>
      <c r="I112" s="138"/>
    </row>
    <row r="113" spans="1:11" ht="18.75" customHeight="1">
      <c r="A113" s="138"/>
      <c r="B113" s="138"/>
      <c r="C113" s="138"/>
      <c r="D113" s="138"/>
      <c r="E113" s="3108" t="s">
        <v>2303</v>
      </c>
      <c r="F113" s="3108"/>
      <c r="G113" s="3108"/>
      <c r="H113" s="3108"/>
      <c r="I113" s="138"/>
    </row>
    <row r="114" spans="1:11" ht="3.75" customHeight="1">
      <c r="A114" s="2417"/>
      <c r="B114" s="2417"/>
      <c r="C114" s="2417"/>
      <c r="D114" s="2417"/>
      <c r="E114" s="2495"/>
      <c r="F114" s="2495"/>
      <c r="G114" s="2495"/>
      <c r="H114" s="2495"/>
      <c r="I114" s="2417"/>
    </row>
    <row r="115" spans="1:11" ht="18.75" customHeight="1">
      <c r="A115" s="3121" t="s">
        <v>2305</v>
      </c>
      <c r="B115" s="3122"/>
      <c r="C115" s="3122"/>
      <c r="D115" s="3122"/>
      <c r="E115" s="3122"/>
      <c r="F115" s="3122"/>
      <c r="G115" s="3122"/>
      <c r="H115" s="3122"/>
      <c r="I115" s="3123"/>
    </row>
    <row r="116" spans="1:11" ht="27" customHeight="1">
      <c r="A116" s="3032" t="s">
        <v>2306</v>
      </c>
      <c r="B116" s="3075" t="s">
        <v>2307</v>
      </c>
      <c r="C116" s="3075" t="s">
        <v>2308</v>
      </c>
      <c r="D116" s="3081" t="s">
        <v>2309</v>
      </c>
      <c r="E116" s="3082"/>
      <c r="F116" s="3117" t="s">
        <v>2310</v>
      </c>
      <c r="G116" s="3117"/>
      <c r="H116" s="3032" t="s">
        <v>2311</v>
      </c>
      <c r="I116" s="3032"/>
    </row>
    <row r="117" spans="1:11" ht="18.75" customHeight="1">
      <c r="A117" s="3032"/>
      <c r="B117" s="3076"/>
      <c r="C117" s="3076"/>
      <c r="D117" s="1795" t="s">
        <v>2312</v>
      </c>
      <c r="E117" s="1795" t="s">
        <v>2313</v>
      </c>
      <c r="F117" s="1795" t="s">
        <v>2312</v>
      </c>
      <c r="G117" s="1795" t="s">
        <v>2314</v>
      </c>
      <c r="H117" s="1795" t="s">
        <v>2312</v>
      </c>
      <c r="I117" s="1795" t="s">
        <v>2314</v>
      </c>
    </row>
    <row r="118" spans="1:11" ht="24.75" customHeight="1">
      <c r="A118" s="2525" t="str">
        <f>项目基本情况!S2</f>
        <v>陕西省渭南市开发区东府小区10#住宅楼房地产</v>
      </c>
      <c r="B118" s="1795">
        <f>M18</f>
        <v>4106</v>
      </c>
      <c r="C118" s="1795">
        <f>M19</f>
        <v>0</v>
      </c>
      <c r="D118" s="1795" t="e">
        <f ca="1">ROUND(IF(D32="总价",C34,E118*B118/10000),0)</f>
        <v>#DIV/0!</v>
      </c>
      <c r="E118" s="1795" t="e">
        <f ca="1">ROUND(IF(C33="自定义",IF(D32="楼面单价",C34,D118*10000/B118),I118-G118),0)</f>
        <v>#DIV/0!</v>
      </c>
      <c r="F118" s="1795" t="e">
        <f ca="1">ROUND(IF(D32="总价",C35,G118*B118/10000),0)</f>
        <v>#DIV/0!</v>
      </c>
      <c r="G118" s="1795" t="e">
        <f ca="1">ROUND(IF(D32="楼面单价",C35,F118*10000/B118),0)</f>
        <v>#DIV/0!</v>
      </c>
      <c r="H118" s="1795">
        <f ca="1">ROUND(IF(D32="总价",C32,I118*B118/10000),0)</f>
        <v>1164</v>
      </c>
      <c r="I118" s="1795">
        <f ca="1">ROUND(IF(D32="楼面单价",C32,H118*10000/B118),0)</f>
        <v>2835</v>
      </c>
    </row>
    <row r="119" spans="1:11" ht="18.75" customHeight="1">
      <c r="A119" s="3032" t="s">
        <v>2315</v>
      </c>
      <c r="B119" s="3032"/>
      <c r="C119" s="3032"/>
      <c r="D119" s="3077" t="e">
        <f ca="1">NUMBERSTRING(INT(D118*10000),2)&amp;"元整"</f>
        <v>#DIV/0!</v>
      </c>
      <c r="E119" s="3078"/>
      <c r="F119" s="3077" t="e">
        <f ca="1">NUMBERSTRING(INT(F118*10000),2)&amp;"元整"</f>
        <v>#DIV/0!</v>
      </c>
      <c r="G119" s="3078"/>
      <c r="H119" s="3077" t="str">
        <f ca="1">NUMBERSTRING(INT(H118*10000),2)&amp;"元整"</f>
        <v>壹仟壹佰陆拾肆万元整</v>
      </c>
      <c r="I119" s="3078"/>
    </row>
    <row r="120" spans="1:11" ht="18.75" customHeight="1">
      <c r="A120" s="3072" t="str">
        <f>IF(项目基本情况!B9="房地产市场价值","",MID(E103,3,LEN(E103)-2))</f>
        <v>估价师知悉的法定优先受偿款</v>
      </c>
      <c r="B120" s="3073"/>
      <c r="C120" s="3074"/>
      <c r="D120" s="3072">
        <f>H103</f>
        <v>0</v>
      </c>
      <c r="E120" s="3073"/>
      <c r="F120" s="3073"/>
      <c r="G120" s="3073"/>
      <c r="H120" s="3073"/>
      <c r="I120" s="3074"/>
      <c r="K120" s="2422" t="str">
        <f>IF(D120=0,"故，本次评估不存在"&amp;A120,"故，本次评估"&amp;A120&amp;"为人民币"&amp;D120&amp;"万元整。")</f>
        <v>故，本次评估不存在估价师知悉的法定优先受偿款</v>
      </c>
    </row>
    <row r="121" spans="1:11" ht="18.75" customHeight="1">
      <c r="A121" s="3118" t="s">
        <v>2315</v>
      </c>
      <c r="B121" s="3119"/>
      <c r="C121" s="3120"/>
      <c r="D121" s="3077" t="str">
        <f>IF(D120=0,"零元整",NUMBERSTRING(INT(D120*10000),2)&amp;"元整")</f>
        <v>零元整</v>
      </c>
      <c r="E121" s="3079"/>
      <c r="F121" s="3079"/>
      <c r="G121" s="3079"/>
      <c r="H121" s="3079"/>
      <c r="I121" s="3078"/>
    </row>
    <row r="122" spans="1:11" ht="18.75" customHeight="1">
      <c r="A122" s="3083" t="str">
        <f>IF(项目基本情况!B9="房地产市场价值","",MID(E107,3,LEN(E107)-2))</f>
        <v>房地产抵押价值</v>
      </c>
      <c r="B122" s="3083"/>
      <c r="C122" s="3083"/>
      <c r="D122" s="3072">
        <f ca="1">H107</f>
        <v>1164</v>
      </c>
      <c r="E122" s="3073"/>
      <c r="F122" s="3073"/>
      <c r="G122" s="3073"/>
      <c r="H122" s="3073"/>
      <c r="I122" s="3074"/>
    </row>
    <row r="123" spans="1:11" ht="18.75" customHeight="1">
      <c r="A123" s="3032" t="s">
        <v>2315</v>
      </c>
      <c r="B123" s="3032"/>
      <c r="C123" s="3032"/>
      <c r="D123" s="3077" t="str">
        <f ca="1">NUMBERSTRING(INT(D122*10000),2)&amp;"元整"</f>
        <v>壹仟壹佰陆拾肆万元整</v>
      </c>
      <c r="E123" s="3079"/>
      <c r="F123" s="3079"/>
      <c r="G123" s="3079"/>
      <c r="H123" s="3079"/>
      <c r="I123" s="3078"/>
    </row>
    <row r="124" spans="1:11" ht="18.75" customHeight="1">
      <c r="A124" s="3083" t="str">
        <f>IF(项目基本情况!B9="房地产市场价值","",MID(E109,3,LEN(E109)-2))</f>
        <v/>
      </c>
      <c r="B124" s="3083"/>
      <c r="C124" s="3083"/>
      <c r="D124" s="3072" t="str">
        <f>H109</f>
        <v>——</v>
      </c>
      <c r="E124" s="3073"/>
      <c r="F124" s="3073"/>
      <c r="G124" s="3073"/>
      <c r="H124" s="3073"/>
      <c r="I124" s="3074"/>
    </row>
    <row r="125" spans="1:11" ht="18.75" customHeight="1">
      <c r="A125" s="3032" t="s">
        <v>2315</v>
      </c>
      <c r="B125" s="3032"/>
      <c r="C125" s="3032"/>
      <c r="D125" s="3077" t="e">
        <f>NUMBERSTRING(INT(D124*10000),2)&amp;"元整"</f>
        <v>#VALUE!</v>
      </c>
      <c r="E125" s="3079"/>
      <c r="F125" s="3079"/>
      <c r="G125" s="3079"/>
      <c r="H125" s="3079"/>
      <c r="I125" s="3078"/>
    </row>
    <row r="126" spans="1:11" ht="18.75" customHeight="1">
      <c r="A126" s="3083" t="str">
        <f>IF(项目基本情况!B9="房地产市场价值","",MID(E111,3,LEN(E111)-2))</f>
        <v/>
      </c>
      <c r="B126" s="3083"/>
      <c r="C126" s="3083"/>
      <c r="D126" s="3072" t="str">
        <f>H111</f>
        <v>——</v>
      </c>
      <c r="E126" s="3073"/>
      <c r="F126" s="3073"/>
      <c r="G126" s="3073"/>
      <c r="H126" s="3073"/>
      <c r="I126" s="3074"/>
    </row>
    <row r="127" spans="1:11" ht="18.75" customHeight="1">
      <c r="A127" s="3032" t="s">
        <v>2315</v>
      </c>
      <c r="B127" s="3032"/>
      <c r="C127" s="3032"/>
      <c r="D127" s="3077" t="e">
        <f>NUMBERSTRING(INT(D126*10000),2)&amp;"元整"</f>
        <v>#VALUE!</v>
      </c>
      <c r="E127" s="3079"/>
      <c r="F127" s="3079"/>
      <c r="G127" s="3079"/>
      <c r="H127" s="3079"/>
      <c r="I127" s="3078"/>
    </row>
    <row r="128" spans="1:11" ht="21.75" customHeight="1">
      <c r="A128" s="3080" t="s">
        <v>2316</v>
      </c>
      <c r="B128" s="3080"/>
      <c r="C128" s="3080"/>
      <c r="D128" s="3080"/>
      <c r="E128" s="3080"/>
      <c r="F128" s="3080"/>
      <c r="G128" s="3080"/>
      <c r="H128" s="3080"/>
      <c r="I128" s="3080"/>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7"/>
      <c r="C1" s="2554"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937</v>
      </c>
      <c r="C2" s="243" t="s">
        <v>2326</v>
      </c>
      <c r="D2" s="2548" t="s">
        <v>70</v>
      </c>
      <c r="E2" s="1440" t="e">
        <f ca="1">SUMIF(INDIRECT("'"&amp;G2&amp;"'"&amp;"!A:A"),"承租人权益价值",INDIRECT("'"&amp;G2&amp;"'"&amp;"!c:c"))</f>
        <v>#REF!</v>
      </c>
      <c r="F2" s="2549" t="s">
        <v>2326</v>
      </c>
      <c r="G2" s="2550"/>
    </row>
    <row r="3" spans="1:8" s="244" customFormat="1" ht="18" customHeight="1" thickBot="1">
      <c r="A3" s="247" t="s">
        <v>2327</v>
      </c>
      <c r="B3" s="248">
        <f ca="1">ROUND(B2*10000/(IF(B1="",'数据-汇总表'!E3,INDIRECT("'数据-取费表'!k"&amp;$G$1))),0)</f>
        <v>2282</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205300</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'数据-取费表'!B48+'数据-取费表'!B49</f>
        <v>0.06</v>
      </c>
      <c r="G7" s="263"/>
    </row>
    <row r="8" spans="1:8" s="267" customFormat="1">
      <c r="A8" s="949" t="s">
        <v>2339</v>
      </c>
      <c r="B8" s="259" t="s">
        <v>2340</v>
      </c>
      <c r="C8" s="264">
        <f ca="1">IF(G8="已包含在土地购买价格中",0,C9+C10)</f>
        <v>205300</v>
      </c>
      <c r="D8" s="266"/>
      <c r="E8" s="264"/>
      <c r="F8" s="265"/>
      <c r="G8" s="2551"/>
    </row>
    <row r="9" spans="1:8" s="258" customFormat="1" ht="13.5" customHeight="1">
      <c r="A9" s="950" t="s">
        <v>800</v>
      </c>
      <c r="B9" s="268" t="s">
        <v>2341</v>
      </c>
      <c r="C9" s="269">
        <f ca="1">ROUND(D9*E9,0)</f>
        <v>205300</v>
      </c>
      <c r="D9" s="1032">
        <f ca="1">IF(B1="",'数据-汇总表'!E5,IF(INDIRECT("'数据-取费表'!c"&amp;$G$1)="住宅",INDIRECT("'数据-取费表'!k"&amp;$G$1),0))</f>
        <v>4106</v>
      </c>
      <c r="E9" s="269">
        <f>'数据-取费表'!B27</f>
        <v>50</v>
      </c>
      <c r="F9" s="265"/>
      <c r="G9" s="270"/>
    </row>
    <row r="10" spans="1:8" s="258" customFormat="1" ht="13.5" customHeight="1">
      <c r="A10" s="950" t="s">
        <v>801</v>
      </c>
      <c r="B10" s="268" t="s">
        <v>2343</v>
      </c>
      <c r="C10" s="269">
        <f ca="1">ROUND(D10*E10,0)</f>
        <v>0</v>
      </c>
      <c r="D10" s="1032">
        <f ca="1">IF(B1="",'数据-汇总表'!E6,IF(INDIRECT("'数据-取费表'!c"&amp;$G$1)="住宅",INDIRECT("'数据-取费表'!s"&amp;$G$1),INDIRECT("'数据-取费表'!k"&amp;$G$1)+INDIRECT("'数据-取费表'!s"&amp;$G$1)))</f>
        <v>0</v>
      </c>
      <c r="E10" s="269">
        <f>'数据-取费表'!B28</f>
        <v>50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821200</v>
      </c>
      <c r="D19" s="1036">
        <f ca="1">D9+D10</f>
        <v>4106</v>
      </c>
      <c r="E19" s="255">
        <f>'数据-取费表'!B31</f>
        <v>200</v>
      </c>
      <c r="F19" s="275"/>
      <c r="G19" s="2551"/>
    </row>
    <row r="20" spans="1:7" s="258" customFormat="1" ht="13.5" customHeight="1">
      <c r="A20" s="299" t="s">
        <v>2437</v>
      </c>
      <c r="B20" s="254" t="s">
        <v>2438</v>
      </c>
      <c r="C20" s="276">
        <f ca="1">ROUND((C5+C19)*F20,0)</f>
        <v>20530</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100809</v>
      </c>
      <c r="D22" s="279">
        <f ca="1">C26</f>
        <v>1E-3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19967</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79867</v>
      </c>
      <c r="D24" s="282"/>
      <c r="E24" s="282"/>
      <c r="F24" s="283"/>
      <c r="G24" s="284" t="s">
        <v>2449</v>
      </c>
    </row>
    <row r="25" spans="1:7" s="258" customFormat="1" ht="24">
      <c r="A25" s="951" t="s">
        <v>2339</v>
      </c>
      <c r="B25" s="259" t="s">
        <v>2450</v>
      </c>
      <c r="C25" s="1381">
        <f ca="1">ROUND(IF('数据-取费表'!B22&lt;=1,C20*F22*'数据-取费表'!B22/2,C20*(POWER((1+F22),'数据-取费表'!B22/2)-1)),0)</f>
        <v>975</v>
      </c>
      <c r="D25" s="282"/>
      <c r="E25" s="285"/>
      <c r="F25" s="283"/>
      <c r="G25" s="286" t="s">
        <v>2451</v>
      </c>
    </row>
    <row r="26" spans="1:7" s="258" customFormat="1">
      <c r="A26" s="951"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104703</v>
      </c>
      <c r="D27" s="279">
        <f ca="1">C29</f>
        <v>2E-3</v>
      </c>
      <c r="E27" s="280" t="s">
        <v>2377</v>
      </c>
      <c r="F27" s="290">
        <f ca="1">IF(B1="",'数据-取费表'!Q16,INDIRECT("'数据-取费表'!q"&amp;$G$1))</f>
        <v>0.1</v>
      </c>
      <c r="G27" s="291" t="s">
        <v>2378</v>
      </c>
    </row>
    <row r="28" spans="1:7" s="258" customFormat="1" ht="13.5" customHeight="1">
      <c r="A28" s="951" t="s">
        <v>791</v>
      </c>
      <c r="B28" s="292" t="s">
        <v>2379</v>
      </c>
      <c r="C28" s="293">
        <f ca="1">ROUND((C5+C19+C20)*F27,0)</f>
        <v>104703</v>
      </c>
      <c r="D28" s="279"/>
      <c r="E28" s="280"/>
      <c r="F28" s="290"/>
      <c r="G28" s="291"/>
    </row>
    <row r="29" spans="1:7" s="258" customFormat="1" ht="13.5" customHeight="1">
      <c r="A29" s="951" t="s">
        <v>792</v>
      </c>
      <c r="B29" s="292" t="s">
        <v>2380</v>
      </c>
      <c r="C29" s="282">
        <f ca="1">ROUND(C21*F27,4)</f>
        <v>2E-3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1356005</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9731220</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8212000</v>
      </c>
      <c r="D34" s="261"/>
      <c r="E34" s="264"/>
      <c r="F34" s="301"/>
      <c r="G34" s="263"/>
    </row>
    <row r="35" spans="1:7" ht="13.5" customHeight="1">
      <c r="A35" s="951" t="s">
        <v>796</v>
      </c>
      <c r="B35" s="259" t="s">
        <v>2390</v>
      </c>
      <c r="C35" s="264">
        <f ca="1">ROUND(C34*F35,0)</f>
        <v>246360</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328480</v>
      </c>
      <c r="D36" s="264"/>
      <c r="E36" s="264"/>
      <c r="F36" s="303">
        <f>'数据-取费表'!B34</f>
        <v>0.04</v>
      </c>
      <c r="G36" s="304" t="s">
        <v>2393</v>
      </c>
    </row>
    <row r="37" spans="1:7" s="302" customFormat="1" ht="13.5" customHeight="1">
      <c r="A37" s="951" t="s">
        <v>798</v>
      </c>
      <c r="B37" s="259" t="s">
        <v>2394</v>
      </c>
      <c r="C37" s="293">
        <f ca="1">ROUND(E37*D37,0)</f>
        <v>821200</v>
      </c>
      <c r="D37" s="261">
        <f ca="1">D19</f>
        <v>4106</v>
      </c>
      <c r="E37" s="293">
        <f>'数据-取费表'!B35</f>
        <v>200</v>
      </c>
      <c r="F37" s="303"/>
      <c r="G37" s="305"/>
    </row>
    <row r="38" spans="1:7" ht="13.5" customHeight="1">
      <c r="A38" s="951" t="s">
        <v>799</v>
      </c>
      <c r="B38" s="259" t="s">
        <v>2396</v>
      </c>
      <c r="C38" s="264">
        <f ca="1">ROUND(C34*F38,0)</f>
        <v>123180</v>
      </c>
      <c r="D38" s="264"/>
      <c r="E38" s="264"/>
      <c r="F38" s="303">
        <f>'数据-取费表'!B36</f>
        <v>1.4999999999999999E-2</v>
      </c>
      <c r="G38" s="263" t="s">
        <v>2391</v>
      </c>
    </row>
    <row r="39" spans="1:7" s="258" customFormat="1" ht="13.5" customHeight="1">
      <c r="A39" s="299" t="s">
        <v>2397</v>
      </c>
      <c r="B39" s="254" t="s">
        <v>2398</v>
      </c>
      <c r="C39" s="276">
        <f ca="1">ROUND(C33*F20,0)</f>
        <v>194624</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471478</v>
      </c>
      <c r="D41" s="279">
        <f ca="1">C44</f>
        <v>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462233</v>
      </c>
      <c r="D42" s="282"/>
      <c r="E42" s="282"/>
      <c r="F42" s="283"/>
      <c r="G42" s="3152" t="s">
        <v>2454</v>
      </c>
    </row>
    <row r="43" spans="1:7" ht="13.5" customHeight="1">
      <c r="A43" s="951" t="s">
        <v>792</v>
      </c>
      <c r="B43" s="259" t="s">
        <v>2408</v>
      </c>
      <c r="C43" s="282">
        <f ca="1">ROUND(IF('数据-取费表'!B22&lt;=1,C39*F22*'数据-取费表'!B20/2,C39*(POWER((1+F22),'数据-取费表'!B20/2)-1)),0)</f>
        <v>9245</v>
      </c>
      <c r="D43" s="282"/>
      <c r="E43" s="282"/>
      <c r="F43" s="283"/>
      <c r="G43" s="3153"/>
    </row>
    <row r="44" spans="1:7" ht="13.5" customHeight="1">
      <c r="A44" s="951" t="s">
        <v>793</v>
      </c>
      <c r="B44" s="259" t="s">
        <v>2409</v>
      </c>
      <c r="C44" s="282">
        <f ca="1">ROUND(IF('数据-取费表'!B22&lt;=1,C40*F22*'数据-取费表'!B20/2,C40*(POWER((1+F22),'数据-取费表'!B20/2)-1)),4)</f>
        <v>1E-3</v>
      </c>
      <c r="D44" s="282"/>
      <c r="E44" s="282"/>
      <c r="F44" s="283"/>
      <c r="G44" s="3154"/>
    </row>
    <row r="45" spans="1:7" s="258" customFormat="1" ht="13.5" customHeight="1">
      <c r="A45" s="299" t="s">
        <v>2410</v>
      </c>
      <c r="B45" s="288" t="s">
        <v>2376</v>
      </c>
      <c r="C45" s="289">
        <f ca="1">C46</f>
        <v>992584</v>
      </c>
      <c r="D45" s="279">
        <f ca="1">C47</f>
        <v>2E-3</v>
      </c>
      <c r="E45" s="280" t="s">
        <v>2402</v>
      </c>
      <c r="F45" s="290"/>
      <c r="G45" s="291" t="s">
        <v>2411</v>
      </c>
    </row>
    <row r="46" spans="1:7" s="258" customFormat="1" ht="13.5" customHeight="1">
      <c r="A46" s="951" t="s">
        <v>791</v>
      </c>
      <c r="B46" s="292" t="s">
        <v>2412</v>
      </c>
      <c r="C46" s="293">
        <f ca="1">ROUND((C33+C39)*F27,0)</f>
        <v>992584</v>
      </c>
      <c r="D46" s="307"/>
      <c r="E46" s="280"/>
      <c r="F46" s="290"/>
      <c r="G46" s="291"/>
    </row>
    <row r="47" spans="1:7" s="258" customFormat="1" ht="13.5" customHeight="1">
      <c r="A47" s="951" t="s">
        <v>792</v>
      </c>
      <c r="B47" s="292" t="s">
        <v>2413</v>
      </c>
      <c r="C47" s="282">
        <f ca="1">ROUND(C40*F27,4)</f>
        <v>2E-3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12330742</v>
      </c>
      <c r="D49" s="276"/>
      <c r="E49" s="276"/>
      <c r="F49" s="308"/>
      <c r="G49" s="278" t="s">
        <v>2417</v>
      </c>
    </row>
    <row r="50" spans="1:7" s="302" customFormat="1">
      <c r="A50" s="299" t="s">
        <v>2418</v>
      </c>
      <c r="B50" s="254" t="s">
        <v>2419</v>
      </c>
      <c r="C50" s="276"/>
      <c r="D50" s="276"/>
      <c r="E50" s="276"/>
      <c r="F50" s="308">
        <f>IF('数据-取费表'!B24=0,'数据-取费表'!N16,1)</f>
        <v>0.65</v>
      </c>
      <c r="G50" s="291"/>
    </row>
    <row r="51" spans="1:7" ht="16.5" customHeight="1">
      <c r="A51" s="299" t="s">
        <v>2421</v>
      </c>
      <c r="B51" s="254" t="s">
        <v>2456</v>
      </c>
      <c r="C51" s="276">
        <f ca="1">ROUND(C49*F50,0)</f>
        <v>8014982</v>
      </c>
      <c r="D51" s="276"/>
      <c r="E51" s="276"/>
      <c r="F51" s="308"/>
      <c r="G51" s="278" t="s">
        <v>2423</v>
      </c>
    </row>
    <row r="52" spans="1:7" s="252" customFormat="1" ht="16.5" thickBot="1">
      <c r="A52" s="309" t="s">
        <v>2424</v>
      </c>
      <c r="B52" s="310"/>
      <c r="C52" s="311">
        <f ca="1">C31+C51</f>
        <v>9370987</v>
      </c>
      <c r="D52" s="310"/>
      <c r="E52" s="310"/>
      <c r="F52" s="310"/>
      <c r="G52" s="312"/>
    </row>
    <row r="55" spans="1:7" ht="15">
      <c r="B55" s="314" t="s">
        <v>2425</v>
      </c>
      <c r="C55" s="315"/>
    </row>
    <row r="56" spans="1:7">
      <c r="B56" s="317" t="s">
        <v>1509</v>
      </c>
      <c r="C56" s="319">
        <f ca="1">1-C57</f>
        <v>0.14500000000000002</v>
      </c>
    </row>
    <row r="57" spans="1:7">
      <c r="B57" s="317" t="s">
        <v>1510</v>
      </c>
      <c r="C57" s="318">
        <f ca="1">ROUND(C51/C52,3)</f>
        <v>0.85499999999999998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6" t="str">
        <f>项目基本情况!B1</f>
        <v>陕西省渭南市开发区东府小区10#住宅楼预评估</v>
      </c>
      <c r="C37" s="2966"/>
      <c r="D37" s="2966"/>
      <c r="E37" s="2966"/>
      <c r="F37" s="2966"/>
      <c r="G37" s="2966"/>
      <c r="H37" s="2966"/>
      <c r="I37" s="2966"/>
    </row>
    <row r="38" spans="1:9">
      <c r="A38" s="1016"/>
      <c r="B38" s="1016"/>
    </row>
    <row r="39" spans="1:9">
      <c r="A39" s="1014" t="s">
        <v>818</v>
      </c>
      <c r="B39" s="1014" t="s">
        <v>820</v>
      </c>
    </row>
    <row r="40" spans="1:9">
      <c r="A40" s="1014"/>
      <c r="B40" s="1942" t="str">
        <f>项目基本情况!B5</f>
        <v>中化第十三建设公司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5" t="s">
        <v>2463</v>
      </c>
      <c r="D5" s="2555" t="s">
        <v>2464</v>
      </c>
      <c r="E5" s="2555" t="s">
        <v>2465</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2479</v>
      </c>
      <c r="C12" s="24">
        <f ca="1">ROUND(C11*F12,0)</f>
        <v>0</v>
      </c>
      <c r="D12" s="973"/>
      <c r="E12" s="375"/>
      <c r="F12" s="976">
        <f>'数据-取费表'!B33</f>
        <v>0.03</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0</v>
      </c>
      <c r="D13" s="1033"/>
      <c r="E13" s="375"/>
      <c r="F13" s="976">
        <f>'数据-取费表'!B34</f>
        <v>0.04</v>
      </c>
      <c r="G13" s="8" t="s">
        <v>2482</v>
      </c>
      <c r="H13" s="968"/>
      <c r="I13" s="968"/>
      <c r="J13" s="968"/>
      <c r="K13" s="969"/>
    </row>
    <row r="14" spans="1:33" s="977" customFormat="1" ht="13.5" customHeight="1">
      <c r="A14" s="971" t="s">
        <v>1333</v>
      </c>
      <c r="B14" s="972" t="s">
        <v>2483</v>
      </c>
      <c r="C14" s="24">
        <f ca="1">ROUND(D14*E14*F11/10000,0)</f>
        <v>0</v>
      </c>
      <c r="D14" s="1033">
        <f ca="1">IF(C1="",'数据-汇总表'!E3,INDIRECT("'数据-取费表'!K"&amp;$K$1)+INDIRECT("'数据-取费表'!S"&amp;$K$1))</f>
        <v>4106</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4106</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7"/>
      <c r="H18" s="1577"/>
      <c r="I18" s="2558" t="s">
        <v>2491</v>
      </c>
      <c r="J18" s="979"/>
      <c r="K18" s="980"/>
    </row>
    <row r="19" spans="1:33" s="975" customFormat="1" ht="13.5" customHeight="1">
      <c r="A19" s="971" t="s">
        <v>805</v>
      </c>
      <c r="B19" s="972" t="s">
        <v>2492</v>
      </c>
      <c r="C19" s="24">
        <f ca="1">ROUND(D19*E19/10000,0)</f>
        <v>21</v>
      </c>
      <c r="D19" s="1033">
        <f ca="1">IF(C1="",'数据-汇总表'!E5,IF(INDIRECT("'数据-取费表'!c"&amp;$K$1)="住宅",INDIRECT("'数据-取费表'!k"&amp;$K$1),0))</f>
        <v>4106</v>
      </c>
      <c r="E19" s="24">
        <f>'数据-取费表'!B27</f>
        <v>50</v>
      </c>
      <c r="F19" s="976"/>
      <c r="G19" s="15"/>
      <c r="H19" s="1579"/>
      <c r="I19" s="981"/>
      <c r="J19" s="981"/>
      <c r="K19" s="982"/>
    </row>
    <row r="20" spans="1:33" s="975" customFormat="1" ht="13.5" customHeight="1">
      <c r="A20" s="971" t="s">
        <v>806</v>
      </c>
      <c r="B20" s="972" t="s">
        <v>2493</v>
      </c>
      <c r="C20" s="24">
        <f ca="1">ROUND(D20*E20/10000,0)</f>
        <v>0</v>
      </c>
      <c r="D20" s="1033">
        <f ca="1">IF(C1="",'数据-汇总表'!E6,IF(INDIRECT("'数据-取费表'!c"&amp;$K$1)="住宅",INDIRECT("'数据-取费表'!s"&amp;$K$1),INDIRECT("'数据-取费表'!k"&amp;$K$1)+INDIRECT("'数据-取费表'!s"&amp;$K$1)))</f>
        <v>0</v>
      </c>
      <c r="E20" s="24">
        <f>'数据-取费表'!B28</f>
        <v>50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5.7099999999999998E-2</v>
      </c>
      <c r="D24" s="325" t="s">
        <v>15</v>
      </c>
      <c r="E24" s="325"/>
      <c r="F24" s="988">
        <f>'数据-取费表'!B48+'数据-取费表'!B49</f>
        <v>0.06</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2507</v>
      </c>
      <c r="B28" s="2560" t="s">
        <v>2508</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61" t="s">
        <v>2512</v>
      </c>
      <c r="B31" s="1005" t="s">
        <v>2513</v>
      </c>
      <c r="C31" s="1006">
        <f>ROUND(C4*F31/(1+'数据-取费表'!C42),0)</f>
        <v>0</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5" zoomScaleNormal="85" zoomScaleSheetLayoutView="90" workbookViewId="0">
      <selection activeCell="C33" sqref="C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3160</v>
      </c>
      <c r="D1" s="1820" t="s">
        <v>70</v>
      </c>
      <c r="E1" s="1821" t="s">
        <v>1383</v>
      </c>
      <c r="F1" s="1283">
        <f ca="1">J53</f>
        <v>46.03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810</v>
      </c>
      <c r="C2" s="1845" t="s">
        <v>1512</v>
      </c>
      <c r="D2" s="1845"/>
      <c r="E2" s="1846"/>
      <c r="F2" s="1847"/>
      <c r="G2" s="1848"/>
      <c r="H2" s="1840"/>
      <c r="I2" s="1840"/>
      <c r="J2" s="1840"/>
      <c r="K2" s="1841"/>
      <c r="L2" s="1840"/>
      <c r="M2" s="1840"/>
    </row>
    <row r="3" spans="1:37" ht="18" customHeight="1" thickBot="1">
      <c r="A3" s="1849" t="s">
        <v>1513</v>
      </c>
      <c r="B3" s="1850">
        <f ca="1">IF(ISERROR(B2*10000/F43),0,ROUND(B2*10000/F43,0))</f>
        <v>1973</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64</v>
      </c>
      <c r="D5" s="1822" t="s">
        <v>1398</v>
      </c>
      <c r="E5" s="1293"/>
      <c r="F5" s="1294"/>
      <c r="G5" s="1851"/>
      <c r="H5" s="344">
        <v>1</v>
      </c>
      <c r="I5" s="345" t="s">
        <v>1397</v>
      </c>
      <c r="J5" s="1292">
        <f ca="1">J6+J10+J12</f>
        <v>0</v>
      </c>
      <c r="K5" s="1822" t="s">
        <v>1398</v>
      </c>
      <c r="L5" s="1293"/>
      <c r="M5" s="1294"/>
    </row>
    <row r="6" spans="1:37" ht="18" customHeight="1">
      <c r="A6" s="1291" t="s">
        <v>1032</v>
      </c>
      <c r="B6" s="3157" t="s">
        <v>1399</v>
      </c>
      <c r="C6" s="1296">
        <f ca="1">ROUND(F6*F8*F7*(1-F9)/10000,0)</f>
        <v>64</v>
      </c>
      <c r="D6" s="164" t="s">
        <v>3031</v>
      </c>
      <c r="E6" s="347" t="s">
        <v>1401</v>
      </c>
      <c r="F6" s="348">
        <f ca="1">INDIRECT("'数据-取费表'!u"&amp;$G$1)</f>
        <v>900</v>
      </c>
      <c r="G6" s="1851"/>
      <c r="H6" s="1291" t="s">
        <v>1032</v>
      </c>
      <c r="I6" s="3157" t="s">
        <v>1399</v>
      </c>
      <c r="J6" s="346">
        <f ca="1">ROUND(M6*M8*M7*(1-M9)/10000,0)</f>
        <v>0</v>
      </c>
      <c r="K6" s="164" t="s">
        <v>3030</v>
      </c>
      <c r="L6" s="347" t="s">
        <v>1401</v>
      </c>
      <c r="M6" s="348">
        <f ca="1">INDIRECT("'数据-取费表'!z"&amp;$G$1)</f>
        <v>0</v>
      </c>
    </row>
    <row r="7" spans="1:37" ht="18" customHeight="1">
      <c r="A7" s="1295"/>
      <c r="B7" s="3158"/>
      <c r="C7" s="1297"/>
      <c r="D7" s="352"/>
      <c r="E7" s="1298" t="s">
        <v>1402</v>
      </c>
      <c r="F7" s="348">
        <f ca="1">IF(INDIRECT("'数据-取费表'!ah"&amp;$G$1)="",INDIRECT("'数据-取费表'!k"&amp;$G$1),INDIRECT("'数据-取费表'!ah"&amp;$G$1))</f>
        <v>66</v>
      </c>
      <c r="G7" s="1851"/>
      <c r="H7" s="349"/>
      <c r="I7" s="3158"/>
      <c r="J7" s="351"/>
      <c r="K7" s="352"/>
      <c r="L7" s="347" t="s">
        <v>1402</v>
      </c>
      <c r="M7" s="348">
        <f ca="1">F7</f>
        <v>66</v>
      </c>
    </row>
    <row r="8" spans="1:37" ht="18" customHeight="1">
      <c r="A8" s="349"/>
      <c r="B8" s="3158"/>
      <c r="C8" s="351"/>
      <c r="D8" s="352"/>
      <c r="E8" s="347" t="s">
        <v>1403</v>
      </c>
      <c r="F8" s="348">
        <f ca="1">INDIRECT("'数据-取费表'!ai"&amp;$G$1)</f>
        <v>12</v>
      </c>
      <c r="G8" s="1851"/>
      <c r="H8" s="349"/>
      <c r="I8" s="3158"/>
      <c r="J8" s="351"/>
      <c r="K8" s="352"/>
      <c r="L8" s="347" t="s">
        <v>1403</v>
      </c>
      <c r="M8" s="348">
        <f ca="1">INDIRECT("'数据-取费表'!ai"&amp;$G$1)</f>
        <v>12</v>
      </c>
    </row>
    <row r="9" spans="1:37" ht="18" customHeight="1">
      <c r="A9" s="349"/>
      <c r="B9" s="3159"/>
      <c r="C9" s="351"/>
      <c r="D9" s="352"/>
      <c r="E9" s="347" t="s">
        <v>1404</v>
      </c>
      <c r="F9" s="357">
        <f ca="1">INDIRECT("'数据-取费表'!w"&amp;$G$1)</f>
        <v>0.1</v>
      </c>
      <c r="G9" s="1851"/>
      <c r="H9" s="349"/>
      <c r="I9" s="3159"/>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3040</v>
      </c>
      <c r="E10" s="358" t="s">
        <v>1406</v>
      </c>
      <c r="F10" s="1366" t="s">
        <v>3166</v>
      </c>
      <c r="G10" s="1851"/>
      <c r="H10" s="1291" t="s">
        <v>1036</v>
      </c>
      <c r="I10" s="1823" t="s">
        <v>1405</v>
      </c>
      <c r="J10" s="346">
        <f ca="1">ROUND(IF(M10="押一",J6/12*M11,IF(M10="押二",J6/12*2*M11,IF(M10="押三",J6/12*3*M11,J11*M11))),0)</f>
        <v>0</v>
      </c>
      <c r="K10" s="1824" t="s">
        <v>3039</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801</v>
      </c>
      <c r="D13" s="1331" t="s">
        <v>1411</v>
      </c>
      <c r="E13" s="1331" t="s">
        <v>1412</v>
      </c>
      <c r="F13" s="1332">
        <f ca="1">INDIRECT("'数据-取费表'!y"&amp;$G$1)</f>
        <v>0.65</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821</v>
      </c>
      <c r="D14" s="1800" t="s">
        <v>1414</v>
      </c>
      <c r="E14" s="1794"/>
      <c r="F14" s="364"/>
      <c r="G14" s="1851"/>
      <c r="H14" s="1201" t="s">
        <v>1032</v>
      </c>
      <c r="I14" s="347" t="s">
        <v>1415</v>
      </c>
      <c r="J14" s="24">
        <f ca="1">C29</f>
        <v>1232</v>
      </c>
      <c r="K14" s="15"/>
      <c r="L14" s="979"/>
      <c r="M14" s="980"/>
    </row>
    <row r="15" spans="1:37" s="1858" customFormat="1" ht="18" customHeight="1" thickBot="1">
      <c r="A15" s="1201" t="s">
        <v>1033</v>
      </c>
      <c r="B15" s="347" t="s">
        <v>1416</v>
      </c>
      <c r="C15" s="24">
        <f ca="1">ROUND(C14*F15,0)</f>
        <v>25</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33</v>
      </c>
      <c r="D16" s="347" t="s">
        <v>1417</v>
      </c>
      <c r="E16" s="347" t="s">
        <v>1418</v>
      </c>
      <c r="F16" s="367">
        <f ca="1">IF(INDIRECT("'数据-取费表'!c"&amp;$G$1)="住宅",'数据-取费表'!B34,0)</f>
        <v>0.04</v>
      </c>
      <c r="G16" s="1851"/>
      <c r="H16" s="1329" t="s">
        <v>1027</v>
      </c>
      <c r="I16" s="1330" t="s">
        <v>1420</v>
      </c>
      <c r="J16" s="355">
        <f ca="1">ROUND(J17+J22+J23+J24,0)</f>
        <v>29</v>
      </c>
      <c r="K16" s="1337" t="s">
        <v>1421</v>
      </c>
      <c r="L16" s="1338"/>
      <c r="M16" s="1294"/>
    </row>
    <row r="17" spans="1:37" s="1858" customFormat="1" ht="18" customHeight="1">
      <c r="A17" s="1201" t="s">
        <v>1386</v>
      </c>
      <c r="B17" s="347" t="s">
        <v>1422</v>
      </c>
      <c r="C17" s="24">
        <f ca="1">ROUND(F17*(F43+INDIRECT("'数据-取费表'!S"&amp;$G$1))/10000,0)</f>
        <v>82</v>
      </c>
      <c r="D17" s="347" t="s">
        <v>1423</v>
      </c>
      <c r="E17" s="347" t="s">
        <v>1424</v>
      </c>
      <c r="F17" s="26">
        <f>'数据-取费表'!B35</f>
        <v>200</v>
      </c>
      <c r="G17" s="1854"/>
      <c r="H17" s="1201" t="s">
        <v>1032</v>
      </c>
      <c r="I17" s="347" t="s">
        <v>1425</v>
      </c>
      <c r="J17" s="24">
        <f ca="1">ROUND(IF(项目基本情况!B11="自然人",J5*M17,J18+J19+J20),1)</f>
        <v>10.4</v>
      </c>
      <c r="K17" s="1800" t="s">
        <v>1426</v>
      </c>
      <c r="L17" s="1798" t="s">
        <v>1427</v>
      </c>
      <c r="M17" s="368">
        <f ca="1">IF(项目基本情况!B11="企业","",IF(INDIRECT("'数据-取费表'!c"&amp;$G$1)="住宅",5%,IF(M6*M7*M8/12/(1+'数据-取费表'!C42)&gt;20000,12%,7%)))</f>
        <v>0.05</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12</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973</v>
      </c>
      <c r="D19" s="140" t="s">
        <v>1432</v>
      </c>
      <c r="E19" s="1818"/>
      <c r="F19" s="26"/>
      <c r="G19" s="1851"/>
      <c r="H19" s="1201" t="s">
        <v>1033</v>
      </c>
      <c r="I19" s="347" t="s">
        <v>1433</v>
      </c>
      <c r="J19" s="24">
        <f ca="1">IF(K19="按租金收入计税",ROUND(J5*M19,2),ROUND(C29*M19*0.7,2))</f>
        <v>10.35</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19</v>
      </c>
      <c r="D20" s="369" t="s">
        <v>1436</v>
      </c>
      <c r="E20" s="347" t="s">
        <v>1418</v>
      </c>
      <c r="F20" s="367">
        <f>'数据-取费表'!B37</f>
        <v>0.02</v>
      </c>
      <c r="G20" s="1854"/>
      <c r="H20" s="1201" t="s">
        <v>1385</v>
      </c>
      <c r="I20" s="164" t="s">
        <v>1437</v>
      </c>
      <c r="J20" s="25">
        <f ca="1">ROUND(M20*M21/10000,2)</f>
        <v>0</v>
      </c>
      <c r="K20" s="370" t="s">
        <v>1438</v>
      </c>
      <c r="L20" s="347" t="s">
        <v>1439</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18.5</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47</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-29</v>
      </c>
      <c r="K25" s="1345" t="s">
        <v>1460</v>
      </c>
      <c r="L25" s="1346"/>
      <c r="M25" s="1347"/>
    </row>
    <row r="26" spans="1:37">
      <c r="A26" s="1201" t="s">
        <v>1031</v>
      </c>
      <c r="B26" s="347" t="s">
        <v>1461</v>
      </c>
      <c r="C26" s="24">
        <f ca="1">ROUND((C19+C20)*F26,0)</f>
        <v>99</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2E-3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1232</v>
      </c>
      <c r="D29" s="1342"/>
      <c r="E29" s="1340"/>
      <c r="F29" s="1343"/>
      <c r="G29" s="1854"/>
      <c r="H29" s="380" t="s">
        <v>1030</v>
      </c>
      <c r="I29" s="381" t="s">
        <v>1475</v>
      </c>
      <c r="J29" s="382">
        <f ca="1">ROUND(J26/(1+F40)^F41,0)</f>
        <v>0</v>
      </c>
      <c r="K29" s="383" t="s">
        <v>1476</v>
      </c>
      <c r="L29" s="384"/>
      <c r="M29" s="385">
        <f ca="1">INDIRECT("'数据-取费表'!k"&amp;$G$1)</f>
        <v>4106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31</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10.7</v>
      </c>
      <c r="D31" s="1800" t="s">
        <v>1426</v>
      </c>
      <c r="E31" s="1798" t="s">
        <v>1477</v>
      </c>
      <c r="F31" s="368">
        <f ca="1">IF(项目基本情况!B11="企业","",IF(INDIRECT("'数据-取费表'!c"&amp;$G$1)="住宅",5%,IF(F6*F7*F8/12/(1+'数据-取费表'!C42)&gt;20000,12%,7%)))</f>
        <v>0.05</v>
      </c>
      <c r="G31" s="1851"/>
      <c r="H31" s="745"/>
      <c r="I31" s="746"/>
      <c r="J31" s="747"/>
      <c r="K31" s="748"/>
      <c r="L31" s="749"/>
      <c r="M31" s="750"/>
    </row>
    <row r="32" spans="1:37" ht="18" customHeight="1">
      <c r="A32" s="1201" t="s">
        <v>1031</v>
      </c>
      <c r="B32" s="347" t="s">
        <v>1429</v>
      </c>
      <c r="C32" s="24">
        <f ca="1">IF(项目基本情况!B11="自然人","——",ROUND(C5*F32/(1+'数据-取费表'!C42),2))</f>
        <v>3.41</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IF(项目基本情况!B11="自然人","——",IF(D33="按租金收入计税",ROUND(C6*F33/(1+'数据-取费表'!C42),2),IF(D33="按房产原值计税",ROUND(C29*F33*0.7,2),INDIRECT("'数据-取费表'!Aj"&amp;$G$1))))</f>
        <v>7.31</v>
      </c>
      <c r="D33" s="1828" t="s">
        <v>3167</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f>'数据-取费表'!B52</f>
        <v>0</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ROUND(C29*F36,1)</f>
        <v>18.5</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1.2</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0.6</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33</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810</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46.03</v>
      </c>
      <c r="G41" s="1851"/>
      <c r="H41" s="732"/>
      <c r="I41" s="1860"/>
      <c r="J41" s="1861"/>
      <c r="K41" s="751"/>
      <c r="L41" s="732"/>
      <c r="M41" s="732"/>
    </row>
    <row r="42" spans="1:18" ht="18" customHeight="1">
      <c r="A42" s="353"/>
      <c r="B42" s="354"/>
      <c r="C42" s="355"/>
      <c r="D42" s="373"/>
      <c r="E42" s="347" t="s">
        <v>1473</v>
      </c>
      <c r="F42" s="357">
        <f ca="1">INDIRECT("'数据-取费表'!v"&amp;$G$1)</f>
        <v>0.02</v>
      </c>
      <c r="G42" s="1851"/>
      <c r="H42" s="732"/>
      <c r="I42" s="1860"/>
      <c r="J42" s="1861"/>
      <c r="K42" s="751"/>
      <c r="L42" s="732"/>
      <c r="M42" s="732"/>
    </row>
    <row r="43" spans="1:18" ht="18" customHeight="1" thickBot="1">
      <c r="A43" s="380" t="s">
        <v>1030</v>
      </c>
      <c r="B43" s="381" t="s">
        <v>1483</v>
      </c>
      <c r="C43" s="382">
        <f ca="1">ROUND(C40*10000/F43,0)</f>
        <v>1973</v>
      </c>
      <c r="D43" s="383" t="s">
        <v>1484</v>
      </c>
      <c r="E43" s="384" t="s">
        <v>1485</v>
      </c>
      <c r="F43" s="385">
        <f ca="1">INDIRECT("'数据-取费表'!k"&amp;$G$1)</f>
        <v>4106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-3010</v>
      </c>
      <c r="D46" s="1872" t="str">
        <f>C2</f>
        <v>万元</v>
      </c>
      <c r="E46" s="1866"/>
      <c r="F46" s="1866"/>
      <c r="I46" s="1873" t="s">
        <v>1517</v>
      </c>
      <c r="J46" s="1874"/>
      <c r="K46" s="1875"/>
      <c r="L46" s="1876">
        <f>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3226</v>
      </c>
      <c r="K47" s="1882" t="s">
        <v>1523</v>
      </c>
      <c r="L47" s="1883">
        <f ca="1">INDIRECT("'数据-取费表'!d"&amp;$G$1)</f>
        <v>70</v>
      </c>
      <c r="M47" s="1838" t="str">
        <f>IF(ISNUMBER(FIND("住宅",C1)),"住宅","非住宅")</f>
        <v>住宅</v>
      </c>
      <c r="O47" s="1884" t="s">
        <v>1037</v>
      </c>
      <c r="P47" s="1885" t="s">
        <v>1524</v>
      </c>
      <c r="Q47" s="1886">
        <f ca="1">C40+J29</f>
        <v>810</v>
      </c>
      <c r="R47" s="1886" t="s">
        <v>1525</v>
      </c>
    </row>
    <row r="48" spans="1:18" s="1842" customFormat="1" ht="28.5" thickBot="1">
      <c r="A48" s="1360" t="s">
        <v>1132</v>
      </c>
      <c r="B48" s="345" t="s">
        <v>1397</v>
      </c>
      <c r="C48" s="1817">
        <f ca="1">C49+C53+C55</f>
        <v>0</v>
      </c>
      <c r="D48" s="1362"/>
      <c r="E48" s="1363"/>
      <c r="F48" s="1181"/>
      <c r="G48" s="792"/>
      <c r="H48" s="793"/>
      <c r="I48" s="1887" t="s">
        <v>1526</v>
      </c>
      <c r="J48" s="1888" t="s">
        <v>3169</v>
      </c>
      <c r="K48" s="1889" t="s">
        <v>1527</v>
      </c>
      <c r="L48" s="1890">
        <f ca="1">INDIRECT("'数据-取费表'!f"&amp;$G$1)</f>
        <v>46.03</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3032</v>
      </c>
      <c r="E49" s="1830" t="s">
        <v>1487</v>
      </c>
      <c r="F49" s="1281"/>
      <c r="G49" s="1891"/>
      <c r="H49" s="793"/>
      <c r="I49" s="1887" t="s">
        <v>1530</v>
      </c>
      <c r="J49" s="1892">
        <v>1996</v>
      </c>
      <c r="K49" s="1889" t="s">
        <v>1531</v>
      </c>
      <c r="L49" s="1893"/>
      <c r="O49" s="1894" t="s">
        <v>1039</v>
      </c>
      <c r="P49" s="1885" t="s">
        <v>1532</v>
      </c>
      <c r="Q49" s="1886">
        <f ca="1">C29</f>
        <v>1232</v>
      </c>
      <c r="R49" s="1886" t="s">
        <v>1525</v>
      </c>
    </row>
    <row r="50" spans="1:18" s="1842" customFormat="1" ht="13.5" thickBot="1">
      <c r="A50" s="1195"/>
      <c r="B50" s="1198"/>
      <c r="C50" s="1368"/>
      <c r="D50" s="1172"/>
      <c r="E50" s="1277" t="s">
        <v>1402</v>
      </c>
      <c r="F50" s="1278">
        <f ca="1">F7</f>
        <v>66</v>
      </c>
      <c r="H50" s="793"/>
      <c r="I50" s="1887" t="s">
        <v>1533</v>
      </c>
      <c r="J50" s="1895">
        <f>SUMPRODUCT((I63:I65=J47)*(J62:L62=J48)*(J63:L65))</f>
        <v>50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12</v>
      </c>
      <c r="I51" s="1898" t="s">
        <v>1536</v>
      </c>
      <c r="J51" s="1899">
        <f>IF(J49="",J50,J49+J50-YEAR('数据-取费表'!B2))</f>
        <v>27</v>
      </c>
      <c r="K51" s="1900" t="s">
        <v>1537</v>
      </c>
      <c r="L51" s="1901">
        <f ca="1">ROUND(-PV(INDIRECT("'数据-取费表'!h"&amp;$G$1),L48,(C39-C13*C76),0),0)</f>
        <v>-677</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f ca="1">J53</f>
        <v>46.03</v>
      </c>
      <c r="R52" s="1886" t="s">
        <v>1542</v>
      </c>
    </row>
    <row r="53" spans="1:18" s="1842" customFormat="1" ht="24.75" thickBot="1">
      <c r="A53" s="1405" t="s">
        <v>1134</v>
      </c>
      <c r="B53" s="1831" t="s">
        <v>1405</v>
      </c>
      <c r="C53" s="361">
        <f ca="1">ROUND(IF(F53="押一",C49/12*F11,IF(F53="押二",C49/12*2*F11,IF(F53="押三",C49/12*3*F11,C54*F11))),0)</f>
        <v>0</v>
      </c>
      <c r="D53" s="1824" t="s">
        <v>3039</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46.03</v>
      </c>
      <c r="K53" s="3155" t="s">
        <v>1544</v>
      </c>
      <c r="L53" s="3156"/>
      <c r="O53" s="1884" t="s">
        <v>1043</v>
      </c>
      <c r="P53" s="1885" t="s">
        <v>1545</v>
      </c>
      <c r="Q53" s="1886">
        <f ca="1">Q47+Q48</f>
        <v>810</v>
      </c>
      <c r="R53" s="1886" t="s">
        <v>1044</v>
      </c>
    </row>
    <row r="54" spans="1:18" s="1842" customFormat="1" ht="13.5" thickBot="1">
      <c r="A54" s="1406"/>
      <c r="B54" s="1825" t="s">
        <v>1384</v>
      </c>
      <c r="C54" s="1178"/>
      <c r="D54" s="1824"/>
      <c r="E54" s="1832"/>
      <c r="F54" s="1907"/>
      <c r="I54" s="190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801</v>
      </c>
      <c r="D56" s="1914"/>
      <c r="E56" s="1915"/>
      <c r="F56" s="1907"/>
      <c r="I56" s="1916" t="s">
        <v>1550</v>
      </c>
      <c r="J56" s="1917" t="s">
        <v>3158</v>
      </c>
      <c r="K56" s="1887" t="s">
        <v>1551</v>
      </c>
      <c r="L56" s="1890">
        <f ca="1">IF(L48&lt;J51,"——",L48-J53)</f>
        <v>0</v>
      </c>
      <c r="O56" s="1884" t="s">
        <v>1037</v>
      </c>
      <c r="P56" s="1885" t="s">
        <v>1524</v>
      </c>
      <c r="Q56" s="1886">
        <f ca="1">C40+J29</f>
        <v>810</v>
      </c>
      <c r="R56" s="1886" t="s">
        <v>1525</v>
      </c>
    </row>
    <row r="57" spans="1:18" s="1842" customFormat="1" ht="24.75" thickBot="1">
      <c r="A57" s="1918"/>
      <c r="B57" s="1169" t="s">
        <v>1474</v>
      </c>
      <c r="C57" s="282">
        <f ca="1">C29</f>
        <v>1232</v>
      </c>
      <c r="D57" s="1919"/>
      <c r="E57" s="1920"/>
      <c r="F57" s="1921"/>
      <c r="I57" s="1922" t="s">
        <v>1552</v>
      </c>
      <c r="J57" s="1923" t="str">
        <f ca="1">IF(OR(M47="住宅",J51&lt;L48,J56="是"),"——",J51-L48)</f>
        <v>——</v>
      </c>
      <c r="K57" s="1887" t="s">
        <v>1553</v>
      </c>
      <c r="L57" s="1890">
        <f ca="1">IF(L48&lt;J51,"——",IF(L55="比较法",L49,IF(L55="基准地价",L50,L51)))</f>
        <v>-677</v>
      </c>
      <c r="O57" s="1884" t="s">
        <v>1038</v>
      </c>
      <c r="P57" s="1885" t="s">
        <v>1554</v>
      </c>
      <c r="Q57" s="1886">
        <f ca="1">L60</f>
        <v>0</v>
      </c>
      <c r="R57" s="1886" t="s">
        <v>1555</v>
      </c>
    </row>
    <row r="58" spans="1:18" s="1842" customFormat="1" ht="24.75" thickBot="1">
      <c r="A58" s="360" t="s">
        <v>1027</v>
      </c>
      <c r="B58" s="1177" t="s">
        <v>1420</v>
      </c>
      <c r="C58" s="361">
        <f ca="1">ROUND(C59+C64+C65+C66,0)</f>
        <v>123</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103.5</v>
      </c>
      <c r="D59" s="1182" t="s">
        <v>1426</v>
      </c>
      <c r="E59" s="1183" t="s">
        <v>1427</v>
      </c>
      <c r="F59" s="368">
        <f ca="1">IF(项目基本情况!B11="企业","",IF(INDIRECT("'数据-取费表'!c"&amp;$G$1)="住宅",5%,IF(F49*F50*F51/12/(1+'数据-取费表'!C42)&gt;20000,12%,7%)))</f>
        <v>0.05</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103.49</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v>
      </c>
      <c r="D62" s="1184" t="s">
        <v>1493</v>
      </c>
      <c r="E62" s="1169" t="s">
        <v>1494</v>
      </c>
      <c r="F62" s="371">
        <f t="shared" si="0"/>
        <v>0</v>
      </c>
      <c r="I62" s="1929" t="s">
        <v>1566</v>
      </c>
      <c r="J62" s="1930" t="s">
        <v>1567</v>
      </c>
      <c r="K62" s="1930" t="s">
        <v>1568</v>
      </c>
      <c r="L62" s="1930" t="s">
        <v>1569</v>
      </c>
      <c r="M62" s="1931" t="s">
        <v>1570</v>
      </c>
      <c r="O62" s="1884" t="s">
        <v>1043</v>
      </c>
      <c r="P62" s="1885" t="s">
        <v>1571</v>
      </c>
      <c r="Q62" s="1886">
        <f ca="1">Q56+Q57</f>
        <v>810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18.5</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1.2</v>
      </c>
      <c r="D65" s="1183" t="s">
        <v>1450</v>
      </c>
      <c r="E65" s="1169" t="s">
        <v>1451</v>
      </c>
      <c r="F65" s="376">
        <f t="shared" ca="1" si="0"/>
        <v>1.5E-3</v>
      </c>
      <c r="I65" s="1929" t="s">
        <v>1575</v>
      </c>
      <c r="J65" s="1930">
        <v>40</v>
      </c>
      <c r="K65" s="1930">
        <v>30</v>
      </c>
      <c r="L65" s="1930">
        <v>50</v>
      </c>
      <c r="M65" s="1932">
        <v>0.02</v>
      </c>
      <c r="O65" s="1884" t="s">
        <v>1037</v>
      </c>
      <c r="P65" s="1885" t="s">
        <v>1576</v>
      </c>
      <c r="Q65" s="1886">
        <f ca="1">C40+J29</f>
        <v>810</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-123</v>
      </c>
      <c r="D67" s="1182" t="s">
        <v>1460</v>
      </c>
      <c r="E67" s="1187"/>
      <c r="F67" s="1188"/>
      <c r="O67" s="1894" t="s">
        <v>1039</v>
      </c>
      <c r="P67" s="1885" t="s">
        <v>1558</v>
      </c>
      <c r="Q67" s="1933">
        <f ca="1">L51</f>
        <v>-677</v>
      </c>
      <c r="R67" s="1886" t="s">
        <v>1578</v>
      </c>
    </row>
    <row r="68" spans="1:18" s="1842" customFormat="1" ht="16.5" thickBot="1">
      <c r="A68" s="1166" t="s">
        <v>1029</v>
      </c>
      <c r="B68" s="1167" t="s">
        <v>1481</v>
      </c>
      <c r="C68" s="346">
        <f ca="1">ROUND(C67*(1-((1+F70)/(1+F68))^F69)/(F68-F70),0)</f>
        <v>-2200</v>
      </c>
      <c r="D68" s="1184" t="s">
        <v>1465</v>
      </c>
      <c r="E68" s="1169" t="s">
        <v>1466</v>
      </c>
      <c r="F68" s="357">
        <f ca="1">F40</f>
        <v>0.05</v>
      </c>
      <c r="O68" s="1894" t="s">
        <v>1040</v>
      </c>
      <c r="P68" s="1934" t="s">
        <v>1579</v>
      </c>
      <c r="Q68" s="1886">
        <f ca="1">ROUND(Q69-Q70*Q71,0)</f>
        <v>-35</v>
      </c>
      <c r="R68" s="1886" t="s">
        <v>1048</v>
      </c>
    </row>
    <row r="69" spans="1:18" s="1842" customFormat="1" ht="13.5" thickBot="1">
      <c r="A69" s="1170"/>
      <c r="B69" s="1171"/>
      <c r="C69" s="351"/>
      <c r="D69" s="1189" t="s">
        <v>1469</v>
      </c>
      <c r="E69" s="1169" t="s">
        <v>1470</v>
      </c>
      <c r="F69" s="379">
        <f ca="1">F41</f>
        <v>46.03</v>
      </c>
      <c r="O69" s="1894" t="s">
        <v>1045</v>
      </c>
      <c r="P69" s="1934" t="s">
        <v>1580</v>
      </c>
      <c r="Q69" s="1886">
        <f ca="1">C39</f>
        <v>33</v>
      </c>
      <c r="R69" s="1886" t="s">
        <v>1525</v>
      </c>
    </row>
    <row r="70" spans="1:18" s="1842" customFormat="1" ht="13.5" thickBot="1">
      <c r="A70" s="1173"/>
      <c r="B70" s="1174"/>
      <c r="C70" s="355"/>
      <c r="D70" s="1185"/>
      <c r="E70" s="1169" t="s">
        <v>1473</v>
      </c>
      <c r="F70" s="1275"/>
      <c r="O70" s="1894" t="s">
        <v>1046</v>
      </c>
      <c r="P70" s="1934" t="s">
        <v>1581</v>
      </c>
      <c r="Q70" s="1886">
        <f ca="1">C13</f>
        <v>801</v>
      </c>
      <c r="R70" s="1886" t="s">
        <v>1525</v>
      </c>
    </row>
    <row r="71" spans="1:18" s="1842" customFormat="1" ht="13.5" thickBot="1">
      <c r="A71" s="1190" t="s">
        <v>1030</v>
      </c>
      <c r="B71" s="1191" t="s">
        <v>1483</v>
      </c>
      <c r="C71" s="382">
        <f ca="1">ROUND(C68*10000/F71,0)</f>
        <v>-5358</v>
      </c>
      <c r="D71" s="1192" t="s">
        <v>1484</v>
      </c>
      <c r="E71" s="1193" t="s">
        <v>1485</v>
      </c>
      <c r="F71" s="385">
        <f ca="1">F43</f>
        <v>4106</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68</v>
      </c>
      <c r="D75" s="1842"/>
      <c r="E75" s="1842"/>
      <c r="F75" s="1842"/>
      <c r="K75" s="1868"/>
      <c r="L75" s="1842"/>
      <c r="O75" s="1884" t="s">
        <v>1043</v>
      </c>
      <c r="P75" s="1885" t="s">
        <v>1545</v>
      </c>
      <c r="Q75" s="1886">
        <f ca="1">Q65+Q66</f>
        <v>810</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-1.0609999999999999</v>
      </c>
    </row>
    <row r="80" spans="1:18">
      <c r="B80" s="386" t="s">
        <v>1507</v>
      </c>
      <c r="C80" s="318">
        <f ca="1">ROUND(C75/C39,3)</f>
        <v>2.0609999999999999</v>
      </c>
    </row>
    <row r="81" spans="2:3">
      <c r="B81" s="314" t="s">
        <v>1508</v>
      </c>
      <c r="C81" s="282"/>
    </row>
    <row r="82" spans="2:3">
      <c r="B82" s="317" t="s">
        <v>1509</v>
      </c>
      <c r="C82" s="319">
        <f ca="1">1-C83</f>
        <v>1.100000000000001E-2</v>
      </c>
    </row>
    <row r="83" spans="2:3">
      <c r="B83" s="317" t="s">
        <v>1510</v>
      </c>
      <c r="C83" s="318">
        <f ca="1">ROUND(C13/C40,3)</f>
        <v>0.98899999999999999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57" t="s">
        <v>1399</v>
      </c>
      <c r="C6" s="1296">
        <f ca="1">ROUND(F6*F8*F7*(1-F9),0)</f>
        <v>0</v>
      </c>
      <c r="D6" s="164" t="s">
        <v>3028</v>
      </c>
      <c r="E6" s="347" t="s">
        <v>1401</v>
      </c>
      <c r="F6" s="348">
        <f ca="1">INDIRECT("'数据-取费表'!u"&amp;$G$1)</f>
        <v>0</v>
      </c>
      <c r="G6" s="1851"/>
      <c r="H6" s="1291" t="s">
        <v>1032</v>
      </c>
      <c r="I6" s="3157" t="s">
        <v>1399</v>
      </c>
      <c r="J6" s="346">
        <f ca="1">ROUND(M6*M8*M7*(1-M9),0)</f>
        <v>0</v>
      </c>
      <c r="K6" s="1834" t="s">
        <v>3029</v>
      </c>
      <c r="L6" s="347" t="s">
        <v>1401</v>
      </c>
      <c r="M6" s="348">
        <f ca="1">INDIRECT("'数据-取费表'!z"&amp;$G$1)</f>
        <v>0</v>
      </c>
    </row>
    <row r="7" spans="1:37" ht="18" customHeight="1">
      <c r="A7" s="1295"/>
      <c r="B7" s="3158"/>
      <c r="C7" s="1297"/>
      <c r="D7" s="352"/>
      <c r="E7" s="1298" t="s">
        <v>1402</v>
      </c>
      <c r="F7" s="348">
        <f ca="1">IF(INDIRECT("'数据-取费表'!ah"&amp;$G$1)="",INDIRECT("'数据-取费表'!k"&amp;$G$1),INDIRECT("'数据-取费表'!ah"&amp;$G$1))</f>
        <v>0</v>
      </c>
      <c r="G7" s="1851"/>
      <c r="H7" s="349"/>
      <c r="I7" s="3158"/>
      <c r="J7" s="351"/>
      <c r="K7" s="352"/>
      <c r="L7" s="347" t="s">
        <v>1402</v>
      </c>
      <c r="M7" s="348">
        <f ca="1">F7</f>
        <v>0</v>
      </c>
    </row>
    <row r="8" spans="1:37" ht="18" customHeight="1">
      <c r="A8" s="349"/>
      <c r="B8" s="3158"/>
      <c r="C8" s="351"/>
      <c r="D8" s="352"/>
      <c r="E8" s="347" t="s">
        <v>1403</v>
      </c>
      <c r="F8" s="348">
        <f ca="1">INDIRECT("'数据-取费表'!ai"&amp;$G$1)</f>
        <v>0</v>
      </c>
      <c r="G8" s="1851"/>
      <c r="H8" s="349"/>
      <c r="I8" s="3158"/>
      <c r="J8" s="351"/>
      <c r="K8" s="352"/>
      <c r="L8" s="347" t="s">
        <v>1403</v>
      </c>
      <c r="M8" s="348">
        <f ca="1">INDIRECT("'数据-取费表'!ai"&amp;$G$1)</f>
        <v>0</v>
      </c>
    </row>
    <row r="9" spans="1:37" ht="18" customHeight="1">
      <c r="A9" s="349"/>
      <c r="B9" s="3159"/>
      <c r="C9" s="351"/>
      <c r="D9" s="352"/>
      <c r="E9" s="347" t="s">
        <v>1404</v>
      </c>
      <c r="F9" s="357">
        <f ca="1">INDIRECT("'数据-取费表'!w"&amp;$G$1)</f>
        <v>0</v>
      </c>
      <c r="G9" s="1851"/>
      <c r="H9" s="349"/>
      <c r="I9" s="3159"/>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3039</v>
      </c>
      <c r="E10" s="358" t="s">
        <v>1406</v>
      </c>
      <c r="F10" s="1366"/>
      <c r="G10" s="1851"/>
      <c r="H10" s="1291" t="s">
        <v>1036</v>
      </c>
      <c r="I10" s="1823" t="s">
        <v>1405</v>
      </c>
      <c r="J10" s="346">
        <f ca="1">ROUND(IF(M10="押一",J6/12*M11,IF(M10="押二",J6/12*2*M11,IF(M10="押三",J6/12*3*M11,J11*M11))),0)</f>
        <v>0</v>
      </c>
      <c r="K10" s="1835" t="s">
        <v>3041</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0</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3042</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55" t="s">
        <v>1544</v>
      </c>
      <c r="L53" s="3156"/>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f ca="1">IF(项目基本情况!B11="企业","",IF(INDIRECT("'数据-取费表'!c"&amp;$G$1)="住宅",5%,IF(F49*F50*F51/12/(1+'数据-取费表'!C42)&gt;20000,12%,7%)))</f>
        <v>7.0000000000000007E-2</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0</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2" t="s">
        <v>2524</v>
      </c>
      <c r="B1" s="2563"/>
      <c r="C1" s="2563"/>
      <c r="D1" s="2563"/>
      <c r="E1" s="2564"/>
    </row>
    <row r="2" spans="1:6" ht="15.75">
      <c r="A2" s="2565" t="s">
        <v>2325</v>
      </c>
      <c r="B2" s="2566">
        <f ca="1">SUMIF(B6:B13,"&lt;&gt;#ref!",B6:B13)</f>
        <v>810</v>
      </c>
      <c r="C2" s="2567" t="s">
        <v>2517</v>
      </c>
      <c r="D2" s="2568" t="s">
        <v>2518</v>
      </c>
      <c r="E2" s="2569">
        <f>SUM(E6:E13)</f>
        <v>4106</v>
      </c>
    </row>
    <row r="3" spans="1:6" ht="15.75">
      <c r="A3" s="2565" t="s">
        <v>1391</v>
      </c>
      <c r="B3" s="2566">
        <f ca="1">ROUND(B2*10000/E2,0)</f>
        <v>1973</v>
      </c>
      <c r="C3" s="2567" t="s">
        <v>2525</v>
      </c>
      <c r="D3" s="2570"/>
      <c r="E3" s="2571"/>
    </row>
    <row r="4" spans="1:6" ht="15.75">
      <c r="A4" s="2572"/>
      <c r="B4" s="2570"/>
      <c r="C4" s="2570"/>
      <c r="D4" s="2570"/>
      <c r="E4" s="2571"/>
    </row>
    <row r="5" spans="1:6" ht="15">
      <c r="A5" s="2573" t="s">
        <v>2519</v>
      </c>
      <c r="B5" s="3160" t="s">
        <v>2520</v>
      </c>
      <c r="C5" s="3160"/>
      <c r="D5" s="2574"/>
      <c r="E5" s="2575" t="s">
        <v>2521</v>
      </c>
      <c r="F5" s="2576" t="s">
        <v>2522</v>
      </c>
    </row>
    <row r="6" spans="1:6">
      <c r="A6" s="2577" t="str">
        <f>'数据-取费表'!AN6</f>
        <v>收益法</v>
      </c>
      <c r="B6" s="2576">
        <f ca="1">IF(F6="是",'数据-取费表'!AO6,0)</f>
        <v>810</v>
      </c>
      <c r="C6" s="2567" t="s">
        <v>2517</v>
      </c>
      <c r="D6" s="2570"/>
      <c r="E6" s="2578">
        <f>IF(OR(A6=0,F6="否"),0,'数据-取费表'!K6+'数据-取费表'!S6)</f>
        <v>4106</v>
      </c>
      <c r="F6" s="2579" t="s">
        <v>2523</v>
      </c>
    </row>
    <row r="7" spans="1:6">
      <c r="A7" s="2577">
        <f>'数据-取费表'!AN7</f>
        <v>0</v>
      </c>
      <c r="B7" s="2576" t="e">
        <f ca="1">IF(F7="是",'数据-取费表'!AO7,0)</f>
        <v>#REF!</v>
      </c>
      <c r="C7" s="2567" t="s">
        <v>2517</v>
      </c>
      <c r="D7" s="2570"/>
      <c r="E7" s="2578">
        <f>IF(OR(A7=0,F7="否"),0,'数据-取费表'!K7+'数据-取费表'!S7)</f>
        <v>0</v>
      </c>
      <c r="F7" s="2579" t="s">
        <v>2523</v>
      </c>
    </row>
    <row r="8" spans="1:6">
      <c r="A8" s="2577">
        <f>'数据-取费表'!AN8</f>
        <v>0</v>
      </c>
      <c r="B8" s="2576" t="e">
        <f ca="1">IF(F8="是",'数据-取费表'!AO8,0)</f>
        <v>#REF!</v>
      </c>
      <c r="C8" s="2567" t="s">
        <v>2517</v>
      </c>
      <c r="D8" s="2570"/>
      <c r="E8" s="2578">
        <f>IF(OR(A8=0,F8="否"),0,'数据-取费表'!K8+'数据-取费表'!S8)</f>
        <v>0</v>
      </c>
      <c r="F8" s="2579" t="s">
        <v>2523</v>
      </c>
    </row>
    <row r="9" spans="1:6">
      <c r="A9" s="2577">
        <f>'数据-取费表'!AN9</f>
        <v>0</v>
      </c>
      <c r="B9" s="2576" t="e">
        <f ca="1">IF(F9="是",'数据-取费表'!AO9,0)</f>
        <v>#REF!</v>
      </c>
      <c r="C9" s="2567" t="s">
        <v>2517</v>
      </c>
      <c r="D9" s="2570"/>
      <c r="E9" s="2578">
        <f>IF(OR(A9=0,F9="否"),0,'数据-取费表'!K9+'数据-取费表'!S9)</f>
        <v>0</v>
      </c>
      <c r="F9" s="2579" t="s">
        <v>2523</v>
      </c>
    </row>
    <row r="10" spans="1:6">
      <c r="A10" s="2577">
        <f>'数据-取费表'!AN10</f>
        <v>0</v>
      </c>
      <c r="B10" s="2576" t="e">
        <f ca="1">IF(F10="是",'数据-取费表'!AO10,0)</f>
        <v>#REF!</v>
      </c>
      <c r="C10" s="2567" t="s">
        <v>2517</v>
      </c>
      <c r="D10" s="2570"/>
      <c r="E10" s="2578">
        <f>IF(OR(A10=0,F10="否"),0,'数据-取费表'!K10+'数据-取费表'!S10)</f>
        <v>0</v>
      </c>
      <c r="F10" s="2579" t="s">
        <v>2523</v>
      </c>
    </row>
    <row r="11" spans="1:6">
      <c r="A11" s="2577">
        <f>'数据-取费表'!AN11</f>
        <v>0</v>
      </c>
      <c r="B11" s="2576" t="e">
        <f ca="1">IF(F11="是",'数据-取费表'!AO11,0)</f>
        <v>#REF!</v>
      </c>
      <c r="C11" s="2567" t="s">
        <v>2517</v>
      </c>
      <c r="D11" s="2570"/>
      <c r="E11" s="2578">
        <f>IF(OR(A11=0,F11="否"),0,'数据-取费表'!K11+'数据-取费表'!S11)</f>
        <v>0</v>
      </c>
      <c r="F11" s="2579" t="s">
        <v>2523</v>
      </c>
    </row>
    <row r="12" spans="1:6">
      <c r="A12" s="2577">
        <f>'数据-取费表'!AN12</f>
        <v>0</v>
      </c>
      <c r="B12" s="2576" t="e">
        <f ca="1">IF(F12="是",'数据-取费表'!AO12,0)</f>
        <v>#REF!</v>
      </c>
      <c r="C12" s="2567" t="s">
        <v>2517</v>
      </c>
      <c r="D12" s="2570"/>
      <c r="E12" s="2578">
        <f>IF(OR(A12=0,F12="否"),0,'数据-取费表'!K12+'数据-取费表'!S12)</f>
        <v>0</v>
      </c>
      <c r="F12" s="2579" t="s">
        <v>2523</v>
      </c>
    </row>
    <row r="13" spans="1:6" ht="15" thickBot="1">
      <c r="A13" s="2580">
        <f>'数据-取费表'!AN13</f>
        <v>0</v>
      </c>
      <c r="B13" s="2576" t="e">
        <f ca="1">IF(F13="是",'数据-取费表'!AO13,0)</f>
        <v>#REF!</v>
      </c>
      <c r="C13" s="2581" t="s">
        <v>2517</v>
      </c>
      <c r="D13" s="2582"/>
      <c r="E13" s="2578">
        <f>IF(OR(A13=0,F13="否"),0,'数据-取费表'!K13+'数据-取费表'!S13)</f>
        <v>0</v>
      </c>
      <c r="F13" s="2579"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1" t="s">
        <v>1073</v>
      </c>
      <c r="B1" s="3162"/>
      <c r="C1" s="3163"/>
      <c r="D1" s="3164">
        <f>SUM(I10,I15,I20,I21,I23)</f>
        <v>0</v>
      </c>
      <c r="E1" s="3164"/>
      <c r="F1" s="3164"/>
      <c r="G1" s="3164"/>
      <c r="H1" s="3164"/>
      <c r="I1" s="3165"/>
    </row>
    <row r="2" spans="1:9">
      <c r="A2" s="3166" t="s">
        <v>1074</v>
      </c>
      <c r="B2" s="3167" t="s">
        <v>1075</v>
      </c>
      <c r="C2" s="3167"/>
      <c r="D2" s="1301" t="s">
        <v>1076</v>
      </c>
      <c r="E2" s="1301" t="s">
        <v>1077</v>
      </c>
      <c r="F2" s="1301" t="s">
        <v>1078</v>
      </c>
      <c r="G2" s="1301" t="s">
        <v>1079</v>
      </c>
      <c r="H2" s="1301" t="s">
        <v>1080</v>
      </c>
      <c r="I2" s="1302" t="s">
        <v>1081</v>
      </c>
    </row>
    <row r="3" spans="1:9">
      <c r="A3" s="3166"/>
      <c r="B3" s="3167" t="s">
        <v>1082</v>
      </c>
      <c r="C3" s="3167"/>
      <c r="D3" s="1303"/>
      <c r="E3" s="1301"/>
      <c r="F3" s="1304"/>
      <c r="G3" s="1304"/>
      <c r="H3" s="1305"/>
      <c r="I3" s="1306">
        <f>ROUND(D3*E3*F3*G3*H3/10000,0)</f>
        <v>0</v>
      </c>
    </row>
    <row r="4" spans="1:9">
      <c r="A4" s="3166"/>
      <c r="B4" s="3167" t="s">
        <v>1083</v>
      </c>
      <c r="C4" s="3167"/>
      <c r="D4" s="1303"/>
      <c r="E4" s="1301"/>
      <c r="F4" s="1304"/>
      <c r="G4" s="1304"/>
      <c r="H4" s="1305"/>
      <c r="I4" s="1306">
        <f t="shared" ref="I4:I9" si="0">ROUND(D4*E4*F4*G4*H4/10000,0)</f>
        <v>0</v>
      </c>
    </row>
    <row r="5" spans="1:9">
      <c r="A5" s="3166"/>
      <c r="B5" s="3167" t="s">
        <v>1084</v>
      </c>
      <c r="C5" s="3167"/>
      <c r="D5" s="1303"/>
      <c r="E5" s="1301"/>
      <c r="F5" s="1304"/>
      <c r="G5" s="1304"/>
      <c r="H5" s="1305"/>
      <c r="I5" s="1306">
        <f t="shared" si="0"/>
        <v>0</v>
      </c>
    </row>
    <row r="6" spans="1:9">
      <c r="A6" s="3166"/>
      <c r="B6" s="3167" t="s">
        <v>1085</v>
      </c>
      <c r="C6" s="3167"/>
      <c r="D6" s="1303"/>
      <c r="E6" s="1301"/>
      <c r="F6" s="1304"/>
      <c r="G6" s="1304"/>
      <c r="H6" s="1305"/>
      <c r="I6" s="1306">
        <f t="shared" si="0"/>
        <v>0</v>
      </c>
    </row>
    <row r="7" spans="1:9">
      <c r="A7" s="3166"/>
      <c r="B7" s="3167" t="s">
        <v>1086</v>
      </c>
      <c r="C7" s="3167"/>
      <c r="D7" s="1303"/>
      <c r="E7" s="1301"/>
      <c r="F7" s="1304"/>
      <c r="G7" s="1304"/>
      <c r="H7" s="1305"/>
      <c r="I7" s="1306">
        <f t="shared" si="0"/>
        <v>0</v>
      </c>
    </row>
    <row r="8" spans="1:9">
      <c r="A8" s="3166"/>
      <c r="B8" s="3167" t="s">
        <v>1087</v>
      </c>
      <c r="C8" s="3167"/>
      <c r="D8" s="1303"/>
      <c r="E8" s="1301"/>
      <c r="F8" s="1304"/>
      <c r="G8" s="1304"/>
      <c r="H8" s="1305"/>
      <c r="I8" s="1306">
        <f t="shared" si="0"/>
        <v>0</v>
      </c>
    </row>
    <row r="9" spans="1:9">
      <c r="A9" s="3166"/>
      <c r="B9" s="3167" t="s">
        <v>1088</v>
      </c>
      <c r="C9" s="3167"/>
      <c r="D9" s="1303"/>
      <c r="E9" s="1301"/>
      <c r="F9" s="1304"/>
      <c r="G9" s="1304"/>
      <c r="H9" s="1305"/>
      <c r="I9" s="1306">
        <f t="shared" si="0"/>
        <v>0</v>
      </c>
    </row>
    <row r="10" spans="1:9">
      <c r="A10" s="3166"/>
      <c r="B10" s="3168" t="s">
        <v>1089</v>
      </c>
      <c r="C10" s="3168"/>
      <c r="D10" s="1307"/>
      <c r="E10" s="1307" t="e">
        <f>ROUND(D1*10000/D10/H9,0)</f>
        <v>#DIV/0!</v>
      </c>
      <c r="F10" s="1308"/>
      <c r="G10" s="1308"/>
      <c r="H10" s="1309"/>
      <c r="I10" s="1310">
        <f>SUM(I3:I9)</f>
        <v>0</v>
      </c>
    </row>
    <row r="11" spans="1:9" ht="14.25">
      <c r="A11" s="3166" t="s">
        <v>1090</v>
      </c>
      <c r="B11" s="3167" t="s">
        <v>1091</v>
      </c>
      <c r="C11" s="3167"/>
      <c r="D11" s="1303" t="s">
        <v>1092</v>
      </c>
      <c r="E11" s="1303" t="s">
        <v>1093</v>
      </c>
      <c r="F11" s="1304" t="s">
        <v>1094</v>
      </c>
      <c r="G11" s="1304" t="s">
        <v>1080</v>
      </c>
      <c r="H11" s="1311" t="s">
        <v>1095</v>
      </c>
      <c r="I11" s="1302" t="s">
        <v>1081</v>
      </c>
    </row>
    <row r="12" spans="1:9">
      <c r="A12" s="3166"/>
      <c r="B12" s="3167" t="s">
        <v>1096</v>
      </c>
      <c r="C12" s="3167"/>
      <c r="D12" s="1303"/>
      <c r="E12" s="1303"/>
      <c r="F12" s="1304"/>
      <c r="G12" s="1305"/>
      <c r="H12" s="1312"/>
      <c r="I12" s="1302">
        <f>ROUND(D12*E12*F12*G12/10000,0)</f>
        <v>0</v>
      </c>
    </row>
    <row r="13" spans="1:9">
      <c r="A13" s="3166"/>
      <c r="B13" s="3167" t="s">
        <v>1097</v>
      </c>
      <c r="C13" s="3167"/>
      <c r="D13" s="1303"/>
      <c r="E13" s="1303"/>
      <c r="F13" s="1304"/>
      <c r="G13" s="1305"/>
      <c r="H13" s="1312"/>
      <c r="I13" s="1302">
        <f>ROUND(D13*E13*F13*G13/10000,0)</f>
        <v>0</v>
      </c>
    </row>
    <row r="14" spans="1:9">
      <c r="A14" s="3166"/>
      <c r="B14" s="3167" t="s">
        <v>1098</v>
      </c>
      <c r="C14" s="3167"/>
      <c r="D14" s="1303"/>
      <c r="E14" s="1303"/>
      <c r="F14" s="1304"/>
      <c r="G14" s="1305"/>
      <c r="H14" s="1312"/>
      <c r="I14" s="1302">
        <f>ROUND(D14*E14*F14*G14/10000,0)</f>
        <v>0</v>
      </c>
    </row>
    <row r="15" spans="1:9">
      <c r="A15" s="3166"/>
      <c r="B15" s="3168" t="s">
        <v>1089</v>
      </c>
      <c r="C15" s="3168"/>
      <c r="D15" s="1307"/>
      <c r="E15" s="1307">
        <f>SUM(E12:E14)</f>
        <v>0</v>
      </c>
      <c r="F15" s="1308"/>
      <c r="G15" s="1305"/>
      <c r="H15" s="1312"/>
      <c r="I15" s="1313">
        <f>SUM(I12:I14)</f>
        <v>0</v>
      </c>
    </row>
    <row r="16" spans="1:9" ht="24">
      <c r="A16" s="3166" t="s">
        <v>1099</v>
      </c>
      <c r="B16" s="3167" t="s">
        <v>1100</v>
      </c>
      <c r="C16" s="3167"/>
      <c r="D16" s="1303" t="s">
        <v>1076</v>
      </c>
      <c r="E16" s="1314" t="s">
        <v>1101</v>
      </c>
      <c r="F16" s="1304" t="s">
        <v>1102</v>
      </c>
      <c r="G16" s="1305" t="s">
        <v>1080</v>
      </c>
      <c r="H16" s="1311" t="s">
        <v>1095</v>
      </c>
      <c r="I16" s="1302" t="s">
        <v>1081</v>
      </c>
    </row>
    <row r="17" spans="1:9" ht="14.25">
      <c r="A17" s="3166"/>
      <c r="B17" s="3167" t="s">
        <v>1103</v>
      </c>
      <c r="C17" s="3167"/>
      <c r="D17" s="1303"/>
      <c r="E17" s="1303"/>
      <c r="F17" s="1304"/>
      <c r="G17" s="1305"/>
      <c r="H17" s="1315"/>
      <c r="I17" s="1316">
        <f>ROUND(D17*E17*F17*G17/10000,0)</f>
        <v>0</v>
      </c>
    </row>
    <row r="18" spans="1:9" ht="14.25">
      <c r="A18" s="3166"/>
      <c r="B18" s="3167" t="s">
        <v>1104</v>
      </c>
      <c r="C18" s="3167"/>
      <c r="D18" s="1303"/>
      <c r="E18" s="1303"/>
      <c r="F18" s="1304"/>
      <c r="G18" s="1305"/>
      <c r="H18" s="1315"/>
      <c r="I18" s="1316">
        <f>ROUND(D18*E18*F18*G18/10000,0)</f>
        <v>0</v>
      </c>
    </row>
    <row r="19" spans="1:9" ht="14.25">
      <c r="A19" s="3166"/>
      <c r="B19" s="3167" t="s">
        <v>1105</v>
      </c>
      <c r="C19" s="3167"/>
      <c r="D19" s="1303"/>
      <c r="E19" s="1303"/>
      <c r="F19" s="1304"/>
      <c r="G19" s="1305"/>
      <c r="H19" s="1315"/>
      <c r="I19" s="1316">
        <f>ROUND(D19*E19*F19*G19/10000,0)</f>
        <v>0</v>
      </c>
    </row>
    <row r="20" spans="1:9">
      <c r="A20" s="3166"/>
      <c r="B20" s="3168" t="s">
        <v>1089</v>
      </c>
      <c r="C20" s="3168"/>
      <c r="D20" s="1307">
        <f>SUM(D17:D19)</f>
        <v>0</v>
      </c>
      <c r="E20" s="1307"/>
      <c r="F20" s="1308"/>
      <c r="G20" s="1305"/>
      <c r="H20" s="1312"/>
      <c r="I20" s="1313">
        <f>SUM(I17:I19)</f>
        <v>0</v>
      </c>
    </row>
    <row r="21" spans="1:9">
      <c r="A21" s="3166" t="s">
        <v>1106</v>
      </c>
      <c r="B21" s="3170"/>
      <c r="C21" s="3170"/>
      <c r="D21" s="3170"/>
      <c r="E21" s="3170"/>
      <c r="F21" s="3170"/>
      <c r="G21" s="3170"/>
      <c r="H21" s="1765">
        <v>0.1</v>
      </c>
      <c r="I21" s="1310">
        <f>ROUND(I10*H21,0)</f>
        <v>0</v>
      </c>
    </row>
    <row r="22" spans="1:9" ht="14.25">
      <c r="A22" s="3171" t="s">
        <v>1107</v>
      </c>
      <c r="B22" s="3172"/>
      <c r="C22" s="3173"/>
      <c r="D22" s="1317" t="s">
        <v>1108</v>
      </c>
      <c r="E22" s="1317" t="s">
        <v>1109</v>
      </c>
      <c r="F22" s="1318" t="s">
        <v>1110</v>
      </c>
      <c r="G22" s="1318" t="s">
        <v>1111</v>
      </c>
      <c r="H22" s="1311" t="s">
        <v>1112</v>
      </c>
      <c r="I22" s="1302" t="s">
        <v>1113</v>
      </c>
    </row>
    <row r="23" spans="1:9" ht="14.25" thickBot="1">
      <c r="A23" s="3174"/>
      <c r="B23" s="3175"/>
      <c r="C23" s="3176"/>
      <c r="D23" s="1319"/>
      <c r="E23" s="1319"/>
      <c r="F23" s="1319"/>
      <c r="G23" s="1320"/>
      <c r="H23" s="1321"/>
      <c r="I23" s="1322">
        <f>ROUND(E23*D23*F23*(1-G23)/10000,0)</f>
        <v>0</v>
      </c>
    </row>
    <row r="26" spans="1:9">
      <c r="A26" s="1323" t="s">
        <v>1114</v>
      </c>
      <c r="B26" s="1323"/>
      <c r="C26" s="1323"/>
      <c r="D26" s="1323"/>
      <c r="E26" s="3177">
        <f>C27-C30-C31-C32</f>
        <v>0</v>
      </c>
      <c r="F26" s="3177"/>
      <c r="G26" s="3177"/>
      <c r="H26" s="1737" t="s">
        <v>1336</v>
      </c>
    </row>
    <row r="27" spans="1:9">
      <c r="A27" s="1324">
        <v>1</v>
      </c>
      <c r="B27" s="1325" t="s">
        <v>1115</v>
      </c>
      <c r="C27" s="1325">
        <f>C28+C29</f>
        <v>0</v>
      </c>
      <c r="D27" s="1325"/>
      <c r="E27" s="3178"/>
      <c r="F27" s="3178"/>
      <c r="G27" s="3178"/>
    </row>
    <row r="28" spans="1:9">
      <c r="A28" s="1326" t="s">
        <v>1116</v>
      </c>
      <c r="B28" s="1325" t="s">
        <v>1117</v>
      </c>
      <c r="C28" s="1325"/>
      <c r="D28" s="1325"/>
      <c r="E28" s="3178"/>
      <c r="F28" s="3178"/>
      <c r="G28" s="317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9"/>
      <c r="F32" s="3169"/>
      <c r="G32" s="3169"/>
    </row>
    <row r="33" spans="1:7" hidden="1">
      <c r="A33" s="3179" t="s">
        <v>1126</v>
      </c>
      <c r="B33" s="3180"/>
      <c r="C33" s="3180"/>
      <c r="D33" s="3181"/>
      <c r="E33" s="3177"/>
      <c r="F33" s="3177"/>
      <c r="G33" s="3177"/>
    </row>
    <row r="34" spans="1:7" hidden="1">
      <c r="A34" s="1328">
        <v>1</v>
      </c>
      <c r="B34" s="1325" t="s">
        <v>1127</v>
      </c>
      <c r="C34" s="1325"/>
      <c r="D34" s="1325"/>
      <c r="E34" s="3178"/>
      <c r="F34" s="3178"/>
      <c r="G34" s="3178"/>
    </row>
    <row r="35" spans="1:7" hidden="1">
      <c r="A35" s="1328">
        <v>2</v>
      </c>
      <c r="B35" s="1325" t="s">
        <v>1128</v>
      </c>
      <c r="C35" s="1325"/>
      <c r="D35" s="1325"/>
      <c r="E35" s="3178"/>
      <c r="F35" s="3178"/>
      <c r="G35" s="3178"/>
    </row>
    <row r="36" spans="1:7" hidden="1">
      <c r="A36" s="1328">
        <v>3</v>
      </c>
      <c r="B36" s="1325" t="s">
        <v>1129</v>
      </c>
      <c r="C36" s="1325"/>
      <c r="D36" s="1325"/>
      <c r="E36" s="3178"/>
      <c r="F36" s="3178"/>
      <c r="G36" s="3178"/>
    </row>
    <row r="37" spans="1:7" hidden="1">
      <c r="A37" s="1328">
        <v>4</v>
      </c>
      <c r="B37" s="1325" t="s">
        <v>1130</v>
      </c>
      <c r="C37" s="1325"/>
      <c r="D37" s="1325"/>
      <c r="E37" s="3178"/>
      <c r="F37" s="3178"/>
      <c r="G37" s="3178"/>
    </row>
    <row r="38" spans="1:7" hidden="1">
      <c r="A38" s="3179" t="s">
        <v>1131</v>
      </c>
      <c r="B38" s="3180"/>
      <c r="C38" s="3180"/>
      <c r="D38" s="3181"/>
      <c r="E38" s="3177"/>
      <c r="F38" s="3177"/>
      <c r="G38" s="31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E23" sqref="E2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3" t="s">
        <v>2527</v>
      </c>
      <c r="C1" s="1634" t="s">
        <v>2528</v>
      </c>
      <c r="D1" s="1621" t="s">
        <v>3160</v>
      </c>
      <c r="E1" s="2584"/>
      <c r="F1" s="2585" t="s">
        <v>2529</v>
      </c>
      <c r="G1" s="1631" t="s">
        <v>2530</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1390</v>
      </c>
      <c r="B2" s="1418">
        <f>IF(C2="——",ROUND(C49*D3/10000,0),ROUND(C49*D3/10000,0)-D2)</f>
        <v>1316</v>
      </c>
      <c r="C2" s="2587" t="s">
        <v>70</v>
      </c>
      <c r="D2" s="1365" t="e">
        <f ca="1">SUMIF(INDIRECT("'"&amp;F2&amp;"'"&amp;"!A:A"),"承租人权益价值",INDIRECT("'"&amp;F2&amp;"'"&amp;"!c:c"))</f>
        <v>#REF!</v>
      </c>
      <c r="E2" s="2588" t="s">
        <v>2531</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f>IF(C2="——",C49,ROUND(B2*10000/D3,0))</f>
        <v>3206</v>
      </c>
      <c r="C3" s="400" t="s">
        <v>2532</v>
      </c>
      <c r="D3" s="399">
        <f>IF(D1="",'数据-汇总表'!E3,SUMIF('数据-汇总表'!$C19:$C33,D1,'数据-汇总表'!$E19:$E33))</f>
        <v>4106</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2533</v>
      </c>
      <c r="B4" s="402"/>
      <c r="C4" s="3200" t="s">
        <v>2534</v>
      </c>
      <c r="D4" s="3201"/>
      <c r="E4" s="3202" t="s">
        <v>2535</v>
      </c>
      <c r="F4" s="3203"/>
      <c r="G4" s="3200" t="s">
        <v>2536</v>
      </c>
      <c r="H4" s="3201"/>
      <c r="I4" s="3200" t="s">
        <v>2537</v>
      </c>
      <c r="J4" s="3201"/>
      <c r="K4" s="2597" t="s">
        <v>2538</v>
      </c>
      <c r="L4" s="1130"/>
      <c r="M4" s="1131"/>
      <c r="N4" s="1131"/>
      <c r="O4" s="1131"/>
      <c r="P4" s="3204" t="s">
        <v>2539</v>
      </c>
      <c r="Q4" s="3205"/>
      <c r="R4" s="3187" t="s">
        <v>2535</v>
      </c>
      <c r="S4" s="3188"/>
      <c r="T4" s="3187" t="s">
        <v>2536</v>
      </c>
      <c r="U4" s="3188"/>
      <c r="V4" s="3212" t="s">
        <v>2537</v>
      </c>
      <c r="W4" s="3212"/>
      <c r="X4" s="1813"/>
      <c r="Y4" s="3187" t="s">
        <v>2539</v>
      </c>
      <c r="Z4" s="3188"/>
      <c r="AA4" s="3182" t="s">
        <v>2535</v>
      </c>
      <c r="AB4" s="3182" t="s">
        <v>2536</v>
      </c>
      <c r="AC4" s="3182" t="s">
        <v>2537</v>
      </c>
    </row>
    <row r="5" spans="1:29" ht="15">
      <c r="A5" s="404"/>
      <c r="B5" s="405"/>
      <c r="C5" s="3193" t="s">
        <v>3213</v>
      </c>
      <c r="D5" s="3194"/>
      <c r="E5" s="3191" t="s">
        <v>3214</v>
      </c>
      <c r="F5" s="3192"/>
      <c r="G5" s="3193" t="s">
        <v>3215</v>
      </c>
      <c r="H5" s="3194"/>
      <c r="I5" s="3193" t="s">
        <v>3215</v>
      </c>
      <c r="J5" s="3194"/>
      <c r="K5" s="2598"/>
      <c r="L5" s="1130"/>
      <c r="M5" s="1131"/>
      <c r="N5" s="1131"/>
      <c r="O5" s="1131"/>
      <c r="P5" s="3206"/>
      <c r="Q5" s="3207"/>
      <c r="R5" s="3189"/>
      <c r="S5" s="3190"/>
      <c r="T5" s="3189"/>
      <c r="U5" s="3190"/>
      <c r="V5" s="3212"/>
      <c r="W5" s="3212"/>
      <c r="X5" s="1813"/>
      <c r="Y5" s="3189"/>
      <c r="Z5" s="3190"/>
      <c r="AA5" s="3183"/>
      <c r="AB5" s="3183"/>
      <c r="AC5" s="3183"/>
    </row>
    <row r="6" spans="1:29" ht="15.75" thickBot="1">
      <c r="A6" s="406"/>
      <c r="B6" s="407"/>
      <c r="C6" s="3195" t="s">
        <v>2544</v>
      </c>
      <c r="D6" s="3196"/>
      <c r="E6" s="3197" t="s">
        <v>2544</v>
      </c>
      <c r="F6" s="3198"/>
      <c r="G6" s="3195" t="s">
        <v>2544</v>
      </c>
      <c r="H6" s="3196"/>
      <c r="I6" s="3195" t="s">
        <v>2544</v>
      </c>
      <c r="J6" s="3196"/>
      <c r="K6" s="2598" t="s">
        <v>2545</v>
      </c>
      <c r="L6" s="1130"/>
      <c r="M6" s="1131"/>
      <c r="N6" s="1131"/>
      <c r="O6" s="1131"/>
      <c r="P6" s="3208"/>
      <c r="Q6" s="3209"/>
      <c r="R6" s="3189"/>
      <c r="S6" s="3190"/>
      <c r="T6" s="3210"/>
      <c r="U6" s="3211"/>
      <c r="V6" s="3212"/>
      <c r="W6" s="3212"/>
      <c r="X6" s="1813"/>
      <c r="Y6" s="3210"/>
      <c r="Z6" s="3211"/>
      <c r="AA6" s="3184"/>
      <c r="AB6" s="3184"/>
      <c r="AC6" s="3184"/>
    </row>
    <row r="7" spans="1:29" s="117" customFormat="1" ht="15.75" thickBot="1">
      <c r="A7" s="408" t="s">
        <v>2546</v>
      </c>
      <c r="B7" s="409"/>
      <c r="C7" s="410">
        <f>'数据-取费表'!B2</f>
        <v>43601</v>
      </c>
      <c r="D7" s="411">
        <v>100</v>
      </c>
      <c r="E7" s="412">
        <v>43586</v>
      </c>
      <c r="F7" s="413">
        <f>SUMIF(58:58,YEAR(E7)&amp;"-"&amp;MONTH(E7),59:59)</f>
        <v>100</v>
      </c>
      <c r="G7" s="412">
        <v>43586</v>
      </c>
      <c r="H7" s="411">
        <f>SUMIF(58:58,YEAR(G7)&amp;"-"&amp;MONTH(G7),59:59)</f>
        <v>100</v>
      </c>
      <c r="I7" s="412">
        <v>43586</v>
      </c>
      <c r="J7" s="411">
        <f>SUMIF(58:58,YEAR(I7)&amp;"-"&amp;MONTH(I7),59:59)</f>
        <v>100</v>
      </c>
      <c r="K7" s="2599"/>
      <c r="L7" s="1132"/>
      <c r="M7" s="1133"/>
      <c r="N7" s="1133"/>
      <c r="O7" s="1133"/>
      <c r="P7" s="3185" t="s">
        <v>2547</v>
      </c>
      <c r="Q7" s="3213"/>
      <c r="R7" s="770" t="s">
        <v>23</v>
      </c>
      <c r="S7" s="771">
        <f t="shared" ref="S7:S15" si="0">F7</f>
        <v>100</v>
      </c>
      <c r="T7" s="770" t="s">
        <v>23</v>
      </c>
      <c r="U7" s="771">
        <f t="shared" ref="U7:U15" si="1">H7</f>
        <v>100</v>
      </c>
      <c r="V7" s="770" t="s">
        <v>23</v>
      </c>
      <c r="W7" s="771">
        <f t="shared" ref="W7:W15" si="2">J7</f>
        <v>100</v>
      </c>
      <c r="X7" s="772"/>
      <c r="Y7" s="3185" t="s">
        <v>2547</v>
      </c>
      <c r="Z7" s="3186"/>
      <c r="AA7" s="773">
        <f>D7/F7</f>
        <v>1</v>
      </c>
      <c r="AB7" s="773">
        <f>D7/H7</f>
        <v>1</v>
      </c>
      <c r="AC7" s="773">
        <f>D7/J7</f>
        <v>1</v>
      </c>
    </row>
    <row r="8" spans="1:29" s="117" customFormat="1" ht="15.75" thickBot="1">
      <c r="A8" s="408" t="s">
        <v>2548</v>
      </c>
      <c r="B8" s="409"/>
      <c r="C8" s="414" t="s">
        <v>2549</v>
      </c>
      <c r="D8" s="411">
        <v>100</v>
      </c>
      <c r="E8" s="414" t="s">
        <v>2549</v>
      </c>
      <c r="F8" s="413">
        <f>SUMIF(61:61,E8,62:62)-SUMIF(61:61,C8,62:62)+100</f>
        <v>100</v>
      </c>
      <c r="G8" s="414" t="s">
        <v>2549</v>
      </c>
      <c r="H8" s="411">
        <f>SUMIF(61:61,G8,62:62)-SUMIF(61:61,C8,62:62)+100</f>
        <v>100</v>
      </c>
      <c r="I8" s="414" t="s">
        <v>2549</v>
      </c>
      <c r="J8" s="411">
        <f>SUMIF(61:61,I8,62:62)-SUMIF(61:61,C8,62:62)+100</f>
        <v>100</v>
      </c>
      <c r="K8" s="2599"/>
      <c r="L8" s="1132"/>
      <c r="M8" s="1133"/>
      <c r="N8" s="1133"/>
      <c r="O8" s="1133"/>
      <c r="P8" s="3185" t="s">
        <v>2550</v>
      </c>
      <c r="Q8" s="3186"/>
      <c r="R8" s="770" t="s">
        <v>23</v>
      </c>
      <c r="S8" s="771">
        <f t="shared" si="0"/>
        <v>100</v>
      </c>
      <c r="T8" s="770" t="s">
        <v>23</v>
      </c>
      <c r="U8" s="771">
        <f t="shared" si="1"/>
        <v>100</v>
      </c>
      <c r="V8" s="770" t="s">
        <v>23</v>
      </c>
      <c r="W8" s="771">
        <f t="shared" si="2"/>
        <v>100</v>
      </c>
      <c r="X8" s="772"/>
      <c r="Y8" s="3185" t="s">
        <v>2550</v>
      </c>
      <c r="Z8" s="3186"/>
      <c r="AA8" s="773">
        <f t="shared" ref="AA8:AA19" si="3">D8/F8</f>
        <v>1</v>
      </c>
      <c r="AB8" s="773">
        <f t="shared" ref="AB8:AB19" si="4">D8/H8</f>
        <v>1</v>
      </c>
      <c r="AC8" s="773">
        <f t="shared" ref="AC8:AC19" si="5">D8/J8</f>
        <v>1</v>
      </c>
    </row>
    <row r="9" spans="1:29" s="117" customFormat="1">
      <c r="A9" s="415" t="s">
        <v>2551</v>
      </c>
      <c r="B9" s="71" t="s">
        <v>2552</v>
      </c>
      <c r="C9" s="2962" t="s">
        <v>3216</v>
      </c>
      <c r="D9" s="135">
        <v>100</v>
      </c>
      <c r="E9" s="2962" t="s">
        <v>3216</v>
      </c>
      <c r="F9" s="418">
        <f>SUMIF(63:63,E9,64:64)-SUMIF(63:63,C9,64:64)+100</f>
        <v>100</v>
      </c>
      <c r="G9" s="2962" t="s">
        <v>3216</v>
      </c>
      <c r="H9" s="135">
        <f>SUMIF(63:63,G9,64:64)-SUMIF(63:63,C9,64:64)+100</f>
        <v>100</v>
      </c>
      <c r="I9" s="2962" t="s">
        <v>3216</v>
      </c>
      <c r="J9" s="135">
        <f>SUMIF(63:63,I9,64:64)-SUMIF(63:63,C9,64:64)+100</f>
        <v>100</v>
      </c>
      <c r="K9" s="2599"/>
      <c r="L9" s="1132"/>
      <c r="M9" s="1133"/>
      <c r="N9" s="1133"/>
      <c r="O9" s="1133"/>
      <c r="P9" s="3199" t="s">
        <v>2553</v>
      </c>
      <c r="Q9" s="1795" t="str">
        <f t="shared" ref="Q9:Q15" si="6">B9</f>
        <v>用途</v>
      </c>
      <c r="R9" s="770" t="s">
        <v>17</v>
      </c>
      <c r="S9" s="771">
        <f t="shared" si="0"/>
        <v>100</v>
      </c>
      <c r="T9" s="770" t="s">
        <v>17</v>
      </c>
      <c r="U9" s="771">
        <f t="shared" si="1"/>
        <v>100</v>
      </c>
      <c r="V9" s="770" t="s">
        <v>17</v>
      </c>
      <c r="W9" s="771">
        <f t="shared" si="2"/>
        <v>100</v>
      </c>
      <c r="X9" s="772"/>
      <c r="Y9" s="3032" t="s">
        <v>2554</v>
      </c>
      <c r="Z9" s="55" t="str">
        <f t="shared" ref="Z9:Z15" si="7">Q9</f>
        <v>用途</v>
      </c>
      <c r="AA9" s="773">
        <f t="shared" si="3"/>
        <v>1</v>
      </c>
      <c r="AB9" s="773">
        <f t="shared" si="4"/>
        <v>1</v>
      </c>
      <c r="AC9" s="773">
        <f t="shared" si="5"/>
        <v>1</v>
      </c>
    </row>
    <row r="10" spans="1:29" s="427" customFormat="1" ht="27.75" thickBot="1">
      <c r="A10" s="421"/>
      <c r="B10" s="422" t="s">
        <v>2555</v>
      </c>
      <c r="C10" s="423" t="s">
        <v>3218</v>
      </c>
      <c r="D10" s="136">
        <v>100</v>
      </c>
      <c r="E10" s="424" t="s">
        <v>3218</v>
      </c>
      <c r="F10" s="425">
        <f>SUMIF(65:65,E10,66:66)-SUMIF(65:65,C10,66:66)+100</f>
        <v>100</v>
      </c>
      <c r="G10" s="423" t="s">
        <v>3225</v>
      </c>
      <c r="H10" s="136">
        <f>SUMIF(65:65,G10,66:66)-SUMIF(65:65,C10,66:66)+100</f>
        <v>101</v>
      </c>
      <c r="I10" s="423" t="s">
        <v>3225</v>
      </c>
      <c r="J10" s="136">
        <f>SUMIF(65:65,I10,66:66)-SUMIF(65:65,C10,66:66)+100</f>
        <v>101</v>
      </c>
      <c r="K10" s="426">
        <v>1</v>
      </c>
      <c r="L10" s="1135"/>
      <c r="M10" s="1136"/>
      <c r="N10" s="1136"/>
      <c r="O10" s="1136"/>
      <c r="P10" s="3199"/>
      <c r="Q10" s="1795" t="str">
        <f t="shared" si="6"/>
        <v>土地使用年限（年）</v>
      </c>
      <c r="R10" s="770" t="s">
        <v>17</v>
      </c>
      <c r="S10" s="771">
        <f t="shared" si="0"/>
        <v>100</v>
      </c>
      <c r="T10" s="770" t="s">
        <v>17</v>
      </c>
      <c r="U10" s="771">
        <f t="shared" si="1"/>
        <v>101</v>
      </c>
      <c r="V10" s="770" t="s">
        <v>17</v>
      </c>
      <c r="W10" s="771">
        <f t="shared" si="2"/>
        <v>101</v>
      </c>
      <c r="X10" s="772"/>
      <c r="Y10" s="3032"/>
      <c r="Z10" s="55" t="str">
        <f t="shared" si="7"/>
        <v>土地使用年限（年）</v>
      </c>
      <c r="AA10" s="773">
        <f t="shared" si="3"/>
        <v>1</v>
      </c>
      <c r="AB10" s="773">
        <f t="shared" si="4"/>
        <v>0.99009900990099009</v>
      </c>
      <c r="AC10" s="773">
        <f t="shared" si="5"/>
        <v>0.99009900990099009</v>
      </c>
    </row>
    <row r="11" spans="1:29" ht="15" hidden="1">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426"/>
      <c r="L11" s="1138"/>
      <c r="M11" s="1131"/>
      <c r="N11" s="1131"/>
      <c r="O11" s="1131"/>
      <c r="P11" s="3199"/>
      <c r="Q11" s="1795" t="str">
        <f t="shared" si="6"/>
        <v>容积率</v>
      </c>
      <c r="R11" s="770" t="s">
        <v>21</v>
      </c>
      <c r="S11" s="771">
        <f t="shared" si="0"/>
        <v>100</v>
      </c>
      <c r="T11" s="770" t="s">
        <v>21</v>
      </c>
      <c r="U11" s="771">
        <f t="shared" si="1"/>
        <v>100</v>
      </c>
      <c r="V11" s="770" t="s">
        <v>21</v>
      </c>
      <c r="W11" s="771">
        <f t="shared" si="2"/>
        <v>100</v>
      </c>
      <c r="X11" s="772"/>
      <c r="Y11" s="3032"/>
      <c r="Z11" s="55" t="str">
        <f t="shared" si="7"/>
        <v>容积率</v>
      </c>
      <c r="AA11" s="773">
        <f t="shared" si="3"/>
        <v>1</v>
      </c>
      <c r="AB11" s="773">
        <f t="shared" si="4"/>
        <v>1</v>
      </c>
      <c r="AC11" s="773">
        <f t="shared" si="5"/>
        <v>1</v>
      </c>
    </row>
    <row r="12" spans="1:29" s="117" customFormat="1" ht="15" hidden="1">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99"/>
      <c r="Q12" s="1795">
        <f t="shared" si="6"/>
        <v>111</v>
      </c>
      <c r="R12" s="770" t="s">
        <v>21</v>
      </c>
      <c r="S12" s="771">
        <f t="shared" si="0"/>
        <v>100</v>
      </c>
      <c r="T12" s="770" t="s">
        <v>21</v>
      </c>
      <c r="U12" s="771">
        <f t="shared" si="1"/>
        <v>100</v>
      </c>
      <c r="V12" s="770" t="s">
        <v>21</v>
      </c>
      <c r="W12" s="771">
        <f t="shared" si="2"/>
        <v>100</v>
      </c>
      <c r="X12" s="772"/>
      <c r="Y12" s="3032"/>
      <c r="Z12" s="55">
        <f t="shared" si="7"/>
        <v>111</v>
      </c>
      <c r="AA12" s="773">
        <f>D12/F12</f>
        <v>1</v>
      </c>
      <c r="AB12" s="773">
        <f>D12/H12</f>
        <v>1</v>
      </c>
      <c r="AC12" s="773">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99"/>
      <c r="Q13" s="1795">
        <f t="shared" si="6"/>
        <v>111</v>
      </c>
      <c r="R13" s="770" t="s">
        <v>21</v>
      </c>
      <c r="S13" s="771">
        <f t="shared" si="0"/>
        <v>100</v>
      </c>
      <c r="T13" s="770" t="s">
        <v>21</v>
      </c>
      <c r="U13" s="771">
        <f t="shared" si="1"/>
        <v>100</v>
      </c>
      <c r="V13" s="770" t="s">
        <v>21</v>
      </c>
      <c r="W13" s="771">
        <f t="shared" si="2"/>
        <v>100</v>
      </c>
      <c r="X13" s="772"/>
      <c r="Y13" s="3032"/>
      <c r="Z13" s="55">
        <f t="shared" si="7"/>
        <v>111</v>
      </c>
      <c r="AA13" s="773">
        <f t="shared" si="3"/>
        <v>1</v>
      </c>
      <c r="AB13" s="773">
        <f t="shared" si="4"/>
        <v>1</v>
      </c>
      <c r="AC13" s="773">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99"/>
      <c r="Q14" s="1795">
        <f t="shared" si="6"/>
        <v>111</v>
      </c>
      <c r="R14" s="770" t="s">
        <v>21</v>
      </c>
      <c r="S14" s="771">
        <f t="shared" si="0"/>
        <v>100</v>
      </c>
      <c r="T14" s="770" t="s">
        <v>21</v>
      </c>
      <c r="U14" s="771">
        <f t="shared" si="1"/>
        <v>100</v>
      </c>
      <c r="V14" s="770" t="s">
        <v>21</v>
      </c>
      <c r="W14" s="771">
        <f t="shared" si="2"/>
        <v>100</v>
      </c>
      <c r="X14" s="772"/>
      <c r="Y14" s="3032"/>
      <c r="Z14" s="55">
        <f t="shared" si="7"/>
        <v>111</v>
      </c>
      <c r="AA14" s="773">
        <f t="shared" si="3"/>
        <v>1</v>
      </c>
      <c r="AB14" s="773">
        <f t="shared" si="4"/>
        <v>1</v>
      </c>
      <c r="AC14" s="773">
        <f t="shared" si="5"/>
        <v>1</v>
      </c>
    </row>
    <row r="15" spans="1:29" ht="99.75">
      <c r="A15" s="440" t="s">
        <v>2557</v>
      </c>
      <c r="B15" s="69" t="s">
        <v>2084</v>
      </c>
      <c r="C15" s="2603" t="str">
        <f>估价对象房地状况!C3</f>
        <v>估价对象周边居住用地比例较大、居住小区规模和社区发展完善程度较好，综合评价居住社区成熟度较好</v>
      </c>
      <c r="D15" s="441">
        <v>100</v>
      </c>
      <c r="E15" s="2960" t="s">
        <v>3181</v>
      </c>
      <c r="F15" s="441">
        <f>SUMIF(76:76,E16,77:77)-SUMIF(76:76,C16,77:77)+100</f>
        <v>100</v>
      </c>
      <c r="G15" s="2960" t="s">
        <v>3181</v>
      </c>
      <c r="H15" s="441">
        <f>SUMIF(76:76,G16,77:77)-SUMIF(76:76,C16,77:77)+100</f>
        <v>100</v>
      </c>
      <c r="I15" s="2960" t="s">
        <v>3181</v>
      </c>
      <c r="J15" s="441">
        <f>SUMIF(76:76,I16,77:77)-SUMIF(76:76,C16,77:77)+100</f>
        <v>100</v>
      </c>
      <c r="K15" s="445">
        <v>2</v>
      </c>
      <c r="L15" s="1140"/>
      <c r="M15" s="1131"/>
      <c r="N15" s="1131"/>
      <c r="O15" s="1131"/>
      <c r="P15" s="3226" t="s">
        <v>2558</v>
      </c>
      <c r="Q15" s="1810" t="str">
        <f t="shared" si="6"/>
        <v>居住社区成熟度</v>
      </c>
      <c r="R15" s="774" t="s">
        <v>21</v>
      </c>
      <c r="S15" s="775">
        <f t="shared" si="0"/>
        <v>100</v>
      </c>
      <c r="T15" s="774" t="s">
        <v>21</v>
      </c>
      <c r="U15" s="775">
        <f t="shared" si="1"/>
        <v>100</v>
      </c>
      <c r="V15" s="774" t="s">
        <v>21</v>
      </c>
      <c r="W15" s="775">
        <f t="shared" si="2"/>
        <v>100</v>
      </c>
      <c r="X15" s="1813"/>
      <c r="Y15" s="3219" t="s">
        <v>2558</v>
      </c>
      <c r="Z15" s="1814" t="str">
        <f t="shared" si="7"/>
        <v>居住社区成熟度</v>
      </c>
      <c r="AA15" s="1811">
        <f t="shared" si="3"/>
        <v>1</v>
      </c>
      <c r="AB15" s="1811">
        <f t="shared" si="4"/>
        <v>1</v>
      </c>
      <c r="AC15" s="1811">
        <f t="shared" si="5"/>
        <v>1</v>
      </c>
    </row>
    <row r="16" spans="1:29" ht="15">
      <c r="A16" s="428"/>
      <c r="B16" s="446"/>
      <c r="C16" s="447" t="s">
        <v>3178</v>
      </c>
      <c r="D16" s="448"/>
      <c r="E16" s="447" t="s">
        <v>3178</v>
      </c>
      <c r="F16" s="448"/>
      <c r="G16" s="447" t="s">
        <v>3178</v>
      </c>
      <c r="H16" s="450"/>
      <c r="I16" s="447" t="s">
        <v>3178</v>
      </c>
      <c r="J16" s="448"/>
      <c r="K16" s="2606"/>
      <c r="L16" s="1140"/>
      <c r="M16" s="1131"/>
      <c r="N16" s="1131"/>
      <c r="O16" s="1131"/>
      <c r="P16" s="3227"/>
      <c r="Q16" s="1810"/>
      <c r="R16" s="774"/>
      <c r="S16" s="775"/>
      <c r="T16" s="774"/>
      <c r="U16" s="775"/>
      <c r="V16" s="774"/>
      <c r="W16" s="775"/>
      <c r="X16" s="1813"/>
      <c r="Y16" s="3220"/>
      <c r="Z16" s="1814"/>
      <c r="AA16" s="1811">
        <v>1</v>
      </c>
      <c r="AB16" s="1811">
        <v>1</v>
      </c>
      <c r="AC16" s="1811">
        <v>1</v>
      </c>
    </row>
    <row r="17" spans="1:29" ht="114">
      <c r="A17" s="428"/>
      <c r="B17" s="451" t="s">
        <v>2095</v>
      </c>
      <c r="C17" s="2607" t="str">
        <f>估价对象房地状况!C6</f>
        <v>估价对象周边道路状况一般、公共交通通达情况较好（公交车通达度较好）、停车便捷程度一般，综合评价交通便捷度较好</v>
      </c>
      <c r="D17" s="450">
        <v>100</v>
      </c>
      <c r="E17" s="454" t="s">
        <v>3183</v>
      </c>
      <c r="F17" s="450">
        <f>SUMIF(78:78,E18,79:79)-SUMIF(78:78,C18,79:79)+100</f>
        <v>100</v>
      </c>
      <c r="G17" s="452" t="s">
        <v>3183</v>
      </c>
      <c r="H17" s="455">
        <f>SUMIF(78:78,G18,79:79)-SUMIF(78:78,C18,79:79)+100</f>
        <v>100</v>
      </c>
      <c r="I17" s="452" t="s">
        <v>3183</v>
      </c>
      <c r="J17" s="455">
        <f>SUMIF(78:78,I18,79:79)-SUMIF(78:78,C18,79:79)+100</f>
        <v>100</v>
      </c>
      <c r="K17" s="445">
        <v>1</v>
      </c>
      <c r="L17" s="1140"/>
      <c r="M17" s="1131"/>
      <c r="N17" s="1131"/>
      <c r="O17" s="1131"/>
      <c r="P17" s="3227"/>
      <c r="Q17" s="1810" t="str">
        <f>B17</f>
        <v>交通便捷度</v>
      </c>
      <c r="R17" s="774" t="s">
        <v>21</v>
      </c>
      <c r="S17" s="775">
        <f>F17</f>
        <v>100</v>
      </c>
      <c r="T17" s="774" t="s">
        <v>21</v>
      </c>
      <c r="U17" s="775">
        <f>H17</f>
        <v>100</v>
      </c>
      <c r="V17" s="774" t="s">
        <v>21</v>
      </c>
      <c r="W17" s="775">
        <f>J17</f>
        <v>100</v>
      </c>
      <c r="X17" s="1813"/>
      <c r="Y17" s="3220"/>
      <c r="Z17" s="1814" t="str">
        <f>Q17</f>
        <v>交通便捷度</v>
      </c>
      <c r="AA17" s="1811">
        <f t="shared" si="3"/>
        <v>1</v>
      </c>
      <c r="AB17" s="1811">
        <f t="shared" si="4"/>
        <v>1</v>
      </c>
      <c r="AC17" s="1811">
        <f t="shared" si="5"/>
        <v>1</v>
      </c>
    </row>
    <row r="18" spans="1:29" ht="15">
      <c r="A18" s="428"/>
      <c r="B18" s="456"/>
      <c r="C18" s="2608" t="s">
        <v>3178</v>
      </c>
      <c r="D18" s="450"/>
      <c r="E18" s="447" t="s">
        <v>3178</v>
      </c>
      <c r="F18" s="450"/>
      <c r="G18" s="447" t="s">
        <v>3178</v>
      </c>
      <c r="H18" s="448"/>
      <c r="I18" s="447" t="s">
        <v>3178</v>
      </c>
      <c r="J18" s="448"/>
      <c r="K18" s="2606"/>
      <c r="L18" s="1140"/>
      <c r="M18" s="1131"/>
      <c r="N18" s="1131"/>
      <c r="O18" s="1131"/>
      <c r="P18" s="3227"/>
      <c r="Q18" s="1810"/>
      <c r="R18" s="774"/>
      <c r="S18" s="775"/>
      <c r="T18" s="774"/>
      <c r="U18" s="775"/>
      <c r="V18" s="774"/>
      <c r="W18" s="775"/>
      <c r="X18" s="1813"/>
      <c r="Y18" s="3220"/>
      <c r="Z18" s="1814"/>
      <c r="AA18" s="1811">
        <v>1</v>
      </c>
      <c r="AB18" s="1811">
        <v>1</v>
      </c>
      <c r="AC18" s="1811">
        <v>1</v>
      </c>
    </row>
    <row r="19" spans="1:29" ht="42.75">
      <c r="A19" s="428"/>
      <c r="B19" s="451" t="s">
        <v>2093</v>
      </c>
      <c r="C19" s="2607" t="str">
        <f>估价对象房地状况!C7</f>
        <v>估价对象所在区域公共配套设施较齐备</v>
      </c>
      <c r="D19" s="455">
        <v>100</v>
      </c>
      <c r="E19" s="2961" t="s">
        <v>3185</v>
      </c>
      <c r="F19" s="455">
        <f>SUMIF(80:80,E20,81:81)-SUMIF(80:80,C20,81:81)+100</f>
        <v>100</v>
      </c>
      <c r="G19" s="2961" t="s">
        <v>3185</v>
      </c>
      <c r="H19" s="450">
        <f>SUMIF(80:80,G20,81:81)-SUMIF(80:80,C20,81:81)+100</f>
        <v>100</v>
      </c>
      <c r="I19" s="2961" t="s">
        <v>3185</v>
      </c>
      <c r="J19" s="450">
        <f>SUMIF(80:80,I20,81:81)-SUMIF(80:80,C20,81:81)+100</f>
        <v>100</v>
      </c>
      <c r="K19" s="445">
        <v>1</v>
      </c>
      <c r="L19" s="1140"/>
      <c r="M19" s="1131"/>
      <c r="N19" s="1131"/>
      <c r="O19" s="1131"/>
      <c r="P19" s="3227"/>
      <c r="Q19" s="1810" t="str">
        <f>B19</f>
        <v>公共配套设施</v>
      </c>
      <c r="R19" s="774" t="s">
        <v>21</v>
      </c>
      <c r="S19" s="775">
        <f>F19</f>
        <v>100</v>
      </c>
      <c r="T19" s="774" t="s">
        <v>21</v>
      </c>
      <c r="U19" s="775">
        <f>H19</f>
        <v>100</v>
      </c>
      <c r="V19" s="774" t="s">
        <v>21</v>
      </c>
      <c r="W19" s="775">
        <f>J19</f>
        <v>100</v>
      </c>
      <c r="X19" s="1813"/>
      <c r="Y19" s="3220"/>
      <c r="Z19" s="1814" t="str">
        <f>Q19</f>
        <v>公共配套设施</v>
      </c>
      <c r="AA19" s="1811">
        <f t="shared" si="3"/>
        <v>1</v>
      </c>
      <c r="AB19" s="1811">
        <f t="shared" si="4"/>
        <v>1</v>
      </c>
      <c r="AC19" s="1811">
        <f t="shared" si="5"/>
        <v>1</v>
      </c>
    </row>
    <row r="20" spans="1:29" ht="15">
      <c r="A20" s="428"/>
      <c r="B20" s="456"/>
      <c r="C20" s="447" t="s">
        <v>3178</v>
      </c>
      <c r="D20" s="448"/>
      <c r="E20" s="447" t="s">
        <v>3178</v>
      </c>
      <c r="F20" s="448"/>
      <c r="G20" s="447" t="s">
        <v>3178</v>
      </c>
      <c r="H20" s="448"/>
      <c r="I20" s="447" t="s">
        <v>3178</v>
      </c>
      <c r="J20" s="448"/>
      <c r="K20" s="2606"/>
      <c r="L20" s="1140"/>
      <c r="M20" s="1131"/>
      <c r="N20" s="1131"/>
      <c r="O20" s="1131"/>
      <c r="P20" s="3227"/>
      <c r="Q20" s="1810"/>
      <c r="R20" s="774"/>
      <c r="S20" s="775"/>
      <c r="T20" s="774"/>
      <c r="U20" s="775"/>
      <c r="V20" s="774"/>
      <c r="W20" s="775"/>
      <c r="X20" s="1813"/>
      <c r="Y20" s="3220"/>
      <c r="Z20" s="1814"/>
      <c r="AA20" s="1811">
        <v>1</v>
      </c>
      <c r="AB20" s="1811">
        <v>1</v>
      </c>
      <c r="AC20" s="1811">
        <v>1</v>
      </c>
    </row>
    <row r="21" spans="1:29" ht="42.75">
      <c r="A21" s="428"/>
      <c r="B21" s="1384" t="s">
        <v>2096</v>
      </c>
      <c r="C21" s="2607" t="str">
        <f>估价对象房地状况!C8</f>
        <v>估价对象所在区域基础设施水平为六通</v>
      </c>
      <c r="D21" s="450">
        <v>100</v>
      </c>
      <c r="E21" s="459" t="s">
        <v>3187</v>
      </c>
      <c r="F21" s="455">
        <f>SUMIF(82:82,E22,83:83)-SUMIF(82:82,C22,83:83)+100</f>
        <v>100</v>
      </c>
      <c r="G21" s="457" t="s">
        <v>3187</v>
      </c>
      <c r="H21" s="450">
        <f>SUMIF(82:82,G22,83:83)-SUMIF(82:82,C22,83:83)+100</f>
        <v>100</v>
      </c>
      <c r="I21" s="457" t="s">
        <v>3187</v>
      </c>
      <c r="J21" s="450">
        <f>SUMIF(82:82,I22,83:83)-SUMIF(82:82,C22,83:83)+100</f>
        <v>100</v>
      </c>
      <c r="K21" s="445">
        <v>1</v>
      </c>
      <c r="L21" s="1140"/>
      <c r="M21" s="1131"/>
      <c r="N21" s="1131"/>
      <c r="O21" s="1131"/>
      <c r="P21" s="3227"/>
      <c r="Q21" s="1810" t="str">
        <f>B21</f>
        <v>基础设施水平</v>
      </c>
      <c r="R21" s="774" t="s">
        <v>17</v>
      </c>
      <c r="S21" s="775">
        <f>F21</f>
        <v>100</v>
      </c>
      <c r="T21" s="774" t="s">
        <v>17</v>
      </c>
      <c r="U21" s="775">
        <f>H21</f>
        <v>100</v>
      </c>
      <c r="V21" s="774" t="s">
        <v>17</v>
      </c>
      <c r="W21" s="775">
        <f>J21</f>
        <v>100</v>
      </c>
      <c r="X21" s="1813"/>
      <c r="Y21" s="3220"/>
      <c r="Z21" s="1814" t="str">
        <f>Q21</f>
        <v>基础设施水平</v>
      </c>
      <c r="AA21" s="1811">
        <f t="shared" ref="AA21" si="8">D21/F21</f>
        <v>1</v>
      </c>
      <c r="AB21" s="1811">
        <f t="shared" ref="AB21" si="9">D21/H21</f>
        <v>1</v>
      </c>
      <c r="AC21" s="1811">
        <f t="shared" ref="AC21" si="10">D21/J21</f>
        <v>1</v>
      </c>
    </row>
    <row r="22" spans="1:29" ht="15">
      <c r="A22" s="428"/>
      <c r="B22" s="1384"/>
      <c r="C22" s="2608" t="s">
        <v>3180</v>
      </c>
      <c r="D22" s="448"/>
      <c r="E22" s="2608" t="s">
        <v>3180</v>
      </c>
      <c r="F22" s="448"/>
      <c r="G22" s="2608" t="s">
        <v>3180</v>
      </c>
      <c r="H22" s="448"/>
      <c r="I22" s="2608" t="s">
        <v>3180</v>
      </c>
      <c r="J22" s="448"/>
      <c r="K22" s="2612"/>
      <c r="L22" s="1140"/>
      <c r="M22" s="1131"/>
      <c r="N22" s="1131"/>
      <c r="O22" s="1131"/>
      <c r="P22" s="3227"/>
      <c r="Q22" s="1810"/>
      <c r="R22" s="774"/>
      <c r="S22" s="775"/>
      <c r="T22" s="774"/>
      <c r="U22" s="775"/>
      <c r="V22" s="774"/>
      <c r="W22" s="775"/>
      <c r="X22" s="1813"/>
      <c r="Y22" s="3220"/>
      <c r="Z22" s="1814"/>
      <c r="AA22" s="1811">
        <v>1</v>
      </c>
      <c r="AB22" s="1811">
        <v>1</v>
      </c>
      <c r="AC22" s="1811">
        <v>1</v>
      </c>
    </row>
    <row r="23" spans="1:29" ht="71.25">
      <c r="A23" s="428"/>
      <c r="B23" s="451" t="s">
        <v>2100</v>
      </c>
      <c r="C23" s="2607" t="str">
        <f>估价对象房地状况!C9</f>
        <v>区域自然环境：周边有渭清公园；人文环境一般；综合评价环境状况一般</v>
      </c>
      <c r="D23" s="450">
        <v>100</v>
      </c>
      <c r="E23" s="454" t="s">
        <v>3189</v>
      </c>
      <c r="F23" s="450">
        <f>SUMIF(84:84,E24,85:85)-SUMIF(84:84,C24,85:85)+100</f>
        <v>100</v>
      </c>
      <c r="G23" s="452" t="s">
        <v>3189</v>
      </c>
      <c r="H23" s="450">
        <f>SUMIF(84:84,G24,85:85)-SUMIF(84:84,C24,85:85)+100</f>
        <v>100</v>
      </c>
      <c r="I23" s="452" t="s">
        <v>3189</v>
      </c>
      <c r="J23" s="450">
        <f>SUMIF(84:84,I24,85:85)-SUMIF(84:84,C24,85:85)+100</f>
        <v>100</v>
      </c>
      <c r="K23" s="445">
        <v>1</v>
      </c>
      <c r="L23" s="1140"/>
      <c r="M23" s="1131"/>
      <c r="N23" s="1131"/>
      <c r="O23" s="1131"/>
      <c r="P23" s="3227"/>
      <c r="Q23" s="1810" t="str">
        <f>B23</f>
        <v>自然及人文环境</v>
      </c>
      <c r="R23" s="774" t="s">
        <v>21</v>
      </c>
      <c r="S23" s="775">
        <f>F23</f>
        <v>100</v>
      </c>
      <c r="T23" s="774" t="s">
        <v>21</v>
      </c>
      <c r="U23" s="775">
        <f>H23</f>
        <v>100</v>
      </c>
      <c r="V23" s="774" t="s">
        <v>21</v>
      </c>
      <c r="W23" s="775">
        <f>J23</f>
        <v>100</v>
      </c>
      <c r="X23" s="1813"/>
      <c r="Y23" s="3220"/>
      <c r="Z23" s="1814" t="str">
        <f>Q23</f>
        <v>自然及人文环境</v>
      </c>
      <c r="AA23" s="1811">
        <f>D23/F23</f>
        <v>1</v>
      </c>
      <c r="AB23" s="1811">
        <f>D23/H23</f>
        <v>1</v>
      </c>
      <c r="AC23" s="1811">
        <f>D23/J23</f>
        <v>1</v>
      </c>
    </row>
    <row r="24" spans="1:29" ht="15">
      <c r="A24" s="428"/>
      <c r="B24" s="456"/>
      <c r="C24" s="447" t="s">
        <v>3179</v>
      </c>
      <c r="D24" s="448"/>
      <c r="E24" s="447" t="s">
        <v>3179</v>
      </c>
      <c r="F24" s="448"/>
      <c r="G24" s="447" t="s">
        <v>3179</v>
      </c>
      <c r="H24" s="448"/>
      <c r="I24" s="447" t="s">
        <v>3179</v>
      </c>
      <c r="J24" s="448"/>
      <c r="K24" s="2606"/>
      <c r="L24" s="1140"/>
      <c r="M24" s="1131"/>
      <c r="N24" s="1131"/>
      <c r="O24" s="1131"/>
      <c r="P24" s="3227"/>
      <c r="Q24" s="1810"/>
      <c r="R24" s="774"/>
      <c r="S24" s="775"/>
      <c r="T24" s="774"/>
      <c r="U24" s="775"/>
      <c r="V24" s="774"/>
      <c r="W24" s="775"/>
      <c r="X24" s="1813"/>
      <c r="Y24" s="3220"/>
      <c r="Z24" s="1814"/>
      <c r="AA24" s="1811">
        <v>1</v>
      </c>
      <c r="AB24" s="1811">
        <v>1</v>
      </c>
      <c r="AC24" s="1811">
        <v>1</v>
      </c>
    </row>
    <row r="25" spans="1:29" ht="15" hidden="1">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2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20"/>
      <c r="Z25" s="1814" t="str">
        <f>Q25</f>
        <v>楼层-1</v>
      </c>
      <c r="AA25" s="1811">
        <f t="shared" ref="AA25:AA46" si="15">D25/F25</f>
        <v>1</v>
      </c>
      <c r="AB25" s="1811">
        <f t="shared" ref="AB25:AB46" si="16">D25/H25</f>
        <v>1</v>
      </c>
      <c r="AC25" s="1811">
        <f t="shared" ref="AC25:AC46" si="17">D25/J25</f>
        <v>1</v>
      </c>
    </row>
    <row r="26" spans="1:29" ht="15" hidden="1">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27"/>
      <c r="Q26" s="1810" t="str">
        <f t="shared" si="11"/>
        <v>朝向</v>
      </c>
      <c r="R26" s="774" t="s">
        <v>21</v>
      </c>
      <c r="S26" s="775">
        <f t="shared" si="12"/>
        <v>100</v>
      </c>
      <c r="T26" s="774" t="s">
        <v>21</v>
      </c>
      <c r="U26" s="775">
        <f t="shared" si="13"/>
        <v>100</v>
      </c>
      <c r="V26" s="774" t="s">
        <v>21</v>
      </c>
      <c r="W26" s="775">
        <f t="shared" si="14"/>
        <v>100</v>
      </c>
      <c r="X26" s="1813"/>
      <c r="Y26" s="3220"/>
      <c r="Z26" s="1814" t="str">
        <f>Q26</f>
        <v>朝向</v>
      </c>
      <c r="AA26" s="1811">
        <f t="shared" si="15"/>
        <v>1</v>
      </c>
      <c r="AB26" s="1811">
        <f t="shared" si="16"/>
        <v>1</v>
      </c>
      <c r="AC26" s="1811">
        <f t="shared" si="17"/>
        <v>1</v>
      </c>
    </row>
    <row r="27" spans="1:29" s="117" customFormat="1" ht="15.75" thickBot="1">
      <c r="A27" s="431"/>
      <c r="B27" s="2963" t="s">
        <v>3222</v>
      </c>
      <c r="C27" s="2964" t="s">
        <v>3220</v>
      </c>
      <c r="D27" s="462">
        <v>100</v>
      </c>
      <c r="E27" s="2965" t="s">
        <v>3224</v>
      </c>
      <c r="F27" s="461">
        <f>SUMIF(90:90,E27,91:91)-SUMIF(90:90,C27,91:91)+100</f>
        <v>102</v>
      </c>
      <c r="G27" s="2965" t="s">
        <v>3219</v>
      </c>
      <c r="H27" s="461">
        <f>SUMIF(90:90,G27,91:91)-SUMIF(90:90,C27,91:91)+100</f>
        <v>102</v>
      </c>
      <c r="I27" s="2965" t="s">
        <v>3219</v>
      </c>
      <c r="J27" s="461">
        <f>SUMIF(90:90,I27,91:91)-SUMIF(90:90,C27,91:91)+100</f>
        <v>102</v>
      </c>
      <c r="K27" s="2601"/>
      <c r="L27" s="1132"/>
      <c r="M27" s="1133"/>
      <c r="N27" s="1133"/>
      <c r="O27" s="1133"/>
      <c r="P27" s="3227"/>
      <c r="Q27" s="1795" t="str">
        <f t="shared" si="11"/>
        <v>楼层</v>
      </c>
      <c r="R27" s="770" t="s">
        <v>21</v>
      </c>
      <c r="S27" s="771">
        <f t="shared" si="12"/>
        <v>102</v>
      </c>
      <c r="T27" s="770" t="s">
        <v>21</v>
      </c>
      <c r="U27" s="771">
        <f t="shared" si="13"/>
        <v>102</v>
      </c>
      <c r="V27" s="770" t="s">
        <v>21</v>
      </c>
      <c r="W27" s="771">
        <f t="shared" si="14"/>
        <v>102</v>
      </c>
      <c r="X27" s="772"/>
      <c r="Y27" s="3220"/>
      <c r="Z27" s="55" t="str">
        <f>Q27</f>
        <v>楼层</v>
      </c>
      <c r="AA27" s="1811">
        <f t="shared" si="15"/>
        <v>0.98039215686274506</v>
      </c>
      <c r="AB27" s="1811">
        <f t="shared" si="16"/>
        <v>0.98039215686274506</v>
      </c>
      <c r="AC27" s="1811">
        <f t="shared" si="17"/>
        <v>0.98039215686274506</v>
      </c>
    </row>
    <row r="28" spans="1:29" ht="15" hidden="1">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27"/>
      <c r="Q28" s="1810">
        <f t="shared" si="11"/>
        <v>111</v>
      </c>
      <c r="R28" s="774" t="s">
        <v>21</v>
      </c>
      <c r="S28" s="775">
        <f t="shared" si="12"/>
        <v>100</v>
      </c>
      <c r="T28" s="774" t="s">
        <v>21</v>
      </c>
      <c r="U28" s="775">
        <f t="shared" si="13"/>
        <v>100</v>
      </c>
      <c r="V28" s="774" t="s">
        <v>21</v>
      </c>
      <c r="W28" s="775">
        <f t="shared" si="14"/>
        <v>100</v>
      </c>
      <c r="X28" s="1813"/>
      <c r="Y28" s="3220"/>
      <c r="Z28" s="1814">
        <f t="shared" ref="Z28:Z46" si="18">Q28</f>
        <v>111</v>
      </c>
      <c r="AA28" s="1811">
        <f t="shared" si="15"/>
        <v>1</v>
      </c>
      <c r="AB28" s="1811">
        <f t="shared" si="16"/>
        <v>1</v>
      </c>
      <c r="AC28" s="1811">
        <f t="shared" si="17"/>
        <v>1</v>
      </c>
    </row>
    <row r="29" spans="1:29" ht="15" hidden="1">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27"/>
      <c r="Q29" s="1810">
        <f t="shared" si="11"/>
        <v>111</v>
      </c>
      <c r="R29" s="774" t="s">
        <v>21</v>
      </c>
      <c r="S29" s="775">
        <f t="shared" si="12"/>
        <v>100</v>
      </c>
      <c r="T29" s="774" t="s">
        <v>21</v>
      </c>
      <c r="U29" s="775">
        <f t="shared" si="13"/>
        <v>100</v>
      </c>
      <c r="V29" s="774" t="s">
        <v>21</v>
      </c>
      <c r="W29" s="775">
        <f t="shared" si="14"/>
        <v>100</v>
      </c>
      <c r="X29" s="1813"/>
      <c r="Y29" s="3220"/>
      <c r="Z29" s="1814">
        <f t="shared" si="18"/>
        <v>111</v>
      </c>
      <c r="AA29" s="1811">
        <f t="shared" si="15"/>
        <v>1</v>
      </c>
      <c r="AB29" s="1811">
        <f t="shared" si="16"/>
        <v>1</v>
      </c>
      <c r="AC29" s="1811">
        <f t="shared" si="17"/>
        <v>1</v>
      </c>
    </row>
    <row r="30" spans="1:29" ht="15" hidden="1">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27"/>
      <c r="Q30" s="1810">
        <f t="shared" si="11"/>
        <v>111</v>
      </c>
      <c r="R30" s="774" t="s">
        <v>21</v>
      </c>
      <c r="S30" s="775">
        <f t="shared" si="12"/>
        <v>100</v>
      </c>
      <c r="T30" s="774" t="s">
        <v>21</v>
      </c>
      <c r="U30" s="775">
        <f t="shared" si="13"/>
        <v>100</v>
      </c>
      <c r="V30" s="774" t="s">
        <v>21</v>
      </c>
      <c r="W30" s="775">
        <f t="shared" si="14"/>
        <v>100</v>
      </c>
      <c r="X30" s="1813"/>
      <c r="Y30" s="3220"/>
      <c r="Z30" s="1814">
        <f t="shared" si="18"/>
        <v>111</v>
      </c>
      <c r="AA30" s="1811">
        <f t="shared" si="15"/>
        <v>1</v>
      </c>
      <c r="AB30" s="1811">
        <f t="shared" si="16"/>
        <v>1</v>
      </c>
      <c r="AC30" s="1811">
        <f t="shared" si="17"/>
        <v>1</v>
      </c>
    </row>
    <row r="31" spans="1:29" ht="15.75" hidden="1"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27"/>
      <c r="Q31" s="1810">
        <f t="shared" si="11"/>
        <v>111</v>
      </c>
      <c r="R31" s="774" t="s">
        <v>21</v>
      </c>
      <c r="S31" s="775">
        <f t="shared" si="12"/>
        <v>100</v>
      </c>
      <c r="T31" s="774" t="s">
        <v>21</v>
      </c>
      <c r="U31" s="775">
        <f t="shared" si="13"/>
        <v>100</v>
      </c>
      <c r="V31" s="774" t="s">
        <v>21</v>
      </c>
      <c r="W31" s="775">
        <f t="shared" si="14"/>
        <v>100</v>
      </c>
      <c r="X31" s="1813"/>
      <c r="Y31" s="3220"/>
      <c r="Z31" s="1814">
        <f t="shared" si="18"/>
        <v>111</v>
      </c>
      <c r="AA31" s="1811">
        <f t="shared" si="15"/>
        <v>1</v>
      </c>
      <c r="AB31" s="1811">
        <f t="shared" si="16"/>
        <v>1</v>
      </c>
      <c r="AC31" s="1811">
        <f t="shared" si="17"/>
        <v>1</v>
      </c>
    </row>
    <row r="32" spans="1:29" ht="15">
      <c r="A32" s="440" t="s">
        <v>2561</v>
      </c>
      <c r="B32" s="71" t="s">
        <v>2562</v>
      </c>
      <c r="C32" s="2617" t="s">
        <v>3191</v>
      </c>
      <c r="D32" s="467">
        <v>100</v>
      </c>
      <c r="E32" s="2617" t="s">
        <v>3191</v>
      </c>
      <c r="F32" s="461">
        <f>SUMIF(100:100,E32,101:101)-SUMIF(100:100,C32,101:101)+100</f>
        <v>100</v>
      </c>
      <c r="G32" s="2617" t="s">
        <v>3191</v>
      </c>
      <c r="H32" s="467">
        <f>SUMIF(100:100,G32,101:101)-SUMIF(100:100,C32,101:101)+100</f>
        <v>100</v>
      </c>
      <c r="I32" s="2617" t="s">
        <v>3191</v>
      </c>
      <c r="J32" s="435">
        <f>SUMIF(100:100,I32,101:101)-SUMIF(100:100,C32,101:101)+100</f>
        <v>100</v>
      </c>
      <c r="K32" s="426">
        <v>1</v>
      </c>
      <c r="L32" s="1140"/>
      <c r="M32" s="1131"/>
      <c r="N32" s="1131"/>
      <c r="O32" s="1131"/>
      <c r="P32" s="3221" t="s">
        <v>2563</v>
      </c>
      <c r="Q32" s="1810" t="str">
        <f t="shared" si="11"/>
        <v>建筑类型</v>
      </c>
      <c r="R32" s="774" t="s">
        <v>21</v>
      </c>
      <c r="S32" s="775">
        <f t="shared" si="12"/>
        <v>100</v>
      </c>
      <c r="T32" s="774" t="s">
        <v>21</v>
      </c>
      <c r="U32" s="775">
        <f t="shared" si="13"/>
        <v>100</v>
      </c>
      <c r="V32" s="774" t="s">
        <v>21</v>
      </c>
      <c r="W32" s="775">
        <f t="shared" si="14"/>
        <v>100</v>
      </c>
      <c r="X32" s="1813"/>
      <c r="Y32" s="3224" t="s">
        <v>2563</v>
      </c>
      <c r="Z32" s="1814" t="str">
        <f t="shared" si="18"/>
        <v>建筑类型</v>
      </c>
      <c r="AA32" s="1811">
        <f t="shared" si="15"/>
        <v>1</v>
      </c>
      <c r="AB32" s="1811">
        <f t="shared" si="16"/>
        <v>1</v>
      </c>
      <c r="AC32" s="1811">
        <f t="shared" si="17"/>
        <v>1</v>
      </c>
    </row>
    <row r="33" spans="1:29" s="471" customFormat="1" ht="15">
      <c r="A33" s="468"/>
      <c r="B33" s="422" t="s">
        <v>2564</v>
      </c>
      <c r="C33" s="469">
        <v>4106</v>
      </c>
      <c r="D33" s="136">
        <v>100</v>
      </c>
      <c r="E33" s="430">
        <v>82</v>
      </c>
      <c r="F33" s="425">
        <f>LOOKUP(E33,103:103,104:104)-LOOKUP(C33,103:103,104:104)+100</f>
        <v>107</v>
      </c>
      <c r="G33" s="429">
        <v>145</v>
      </c>
      <c r="H33" s="136">
        <f>LOOKUP(G33,103:103,104:104)-LOOKUP(C33,103:103,104:104)+100</f>
        <v>106</v>
      </c>
      <c r="I33" s="430">
        <v>111</v>
      </c>
      <c r="J33" s="136">
        <f>LOOKUP(I33,103:103,104:104)-LOOKUP(C33,103:103,104:104)+100</f>
        <v>106</v>
      </c>
      <c r="K33" s="2601"/>
      <c r="L33" s="1138"/>
      <c r="M33" s="1141"/>
      <c r="N33" s="1141"/>
      <c r="O33" s="1141"/>
      <c r="P33" s="3222"/>
      <c r="Q33" s="776" t="str">
        <f t="shared" si="11"/>
        <v>项目建筑规模</v>
      </c>
      <c r="R33" s="777" t="s">
        <v>21</v>
      </c>
      <c r="S33" s="778">
        <f t="shared" si="12"/>
        <v>107</v>
      </c>
      <c r="T33" s="777" t="s">
        <v>21</v>
      </c>
      <c r="U33" s="778">
        <f t="shared" si="13"/>
        <v>106</v>
      </c>
      <c r="V33" s="777" t="s">
        <v>21</v>
      </c>
      <c r="W33" s="778">
        <f t="shared" si="14"/>
        <v>106</v>
      </c>
      <c r="X33" s="779"/>
      <c r="Y33" s="3224"/>
      <c r="Z33" s="780" t="str">
        <f t="shared" si="18"/>
        <v>项目建筑规模</v>
      </c>
      <c r="AA33" s="1811">
        <f t="shared" si="15"/>
        <v>0.93457943925233644</v>
      </c>
      <c r="AB33" s="1811">
        <f t="shared" si="16"/>
        <v>0.94339622641509435</v>
      </c>
      <c r="AC33" s="1811">
        <f t="shared" si="17"/>
        <v>0.94339622641509435</v>
      </c>
    </row>
    <row r="34" spans="1:29" ht="15">
      <c r="A34" s="472"/>
      <c r="B34" s="422" t="s">
        <v>2565</v>
      </c>
      <c r="C34" s="2618" t="s">
        <v>3226</v>
      </c>
      <c r="D34" s="435">
        <v>100</v>
      </c>
      <c r="E34" s="2618" t="s">
        <v>3226</v>
      </c>
      <c r="F34" s="461">
        <f>SUMIF(105:105,E34,106:106)-SUMIF(105:105,C34,106:106)+100</f>
        <v>100</v>
      </c>
      <c r="G34" s="2618" t="s">
        <v>3168</v>
      </c>
      <c r="H34" s="435">
        <f>SUMIF(105:105,G34,106:106)-SUMIF(105:105,C34,106:106)+100</f>
        <v>101</v>
      </c>
      <c r="I34" s="2618" t="s">
        <v>3168</v>
      </c>
      <c r="J34" s="435">
        <f>SUMIF(105:105,I34,106:106)-SUMIF(105:105,C34,106:106)+100</f>
        <v>101</v>
      </c>
      <c r="K34" s="426">
        <v>1</v>
      </c>
      <c r="L34" s="1140"/>
      <c r="M34" s="1131"/>
      <c r="N34" s="1131"/>
      <c r="O34" s="1131"/>
      <c r="P34" s="3222"/>
      <c r="Q34" s="1810" t="str">
        <f t="shared" si="11"/>
        <v>建筑结构</v>
      </c>
      <c r="R34" s="774" t="s">
        <v>21</v>
      </c>
      <c r="S34" s="775">
        <f t="shared" si="12"/>
        <v>100</v>
      </c>
      <c r="T34" s="774" t="s">
        <v>21</v>
      </c>
      <c r="U34" s="775">
        <f t="shared" si="13"/>
        <v>101</v>
      </c>
      <c r="V34" s="774" t="s">
        <v>21</v>
      </c>
      <c r="W34" s="775">
        <f t="shared" si="14"/>
        <v>101</v>
      </c>
      <c r="X34" s="1813"/>
      <c r="Y34" s="3224"/>
      <c r="Z34" s="1814" t="str">
        <f t="shared" si="18"/>
        <v>建筑结构</v>
      </c>
      <c r="AA34" s="1811">
        <f t="shared" si="15"/>
        <v>1</v>
      </c>
      <c r="AB34" s="1811">
        <f t="shared" si="16"/>
        <v>0.99009900990099009</v>
      </c>
      <c r="AC34" s="1811">
        <f t="shared" si="17"/>
        <v>0.99009900990099009</v>
      </c>
    </row>
    <row r="35" spans="1:29" ht="15">
      <c r="A35" s="472"/>
      <c r="B35" s="422" t="s">
        <v>2566</v>
      </c>
      <c r="C35" s="2613" t="s">
        <v>3196</v>
      </c>
      <c r="D35" s="435">
        <v>100</v>
      </c>
      <c r="E35" s="2613" t="s">
        <v>3196</v>
      </c>
      <c r="F35" s="461">
        <f>SUMIF(107:107,E35,108:108)-SUMIF(107:107,C35,108:108)+100</f>
        <v>100</v>
      </c>
      <c r="G35" s="2613" t="s">
        <v>3196</v>
      </c>
      <c r="H35" s="435">
        <f>SUMIF(107:107,G35,108:108)-SUMIF(107:107,C35,108:108)+100</f>
        <v>100</v>
      </c>
      <c r="I35" s="2613" t="s">
        <v>3196</v>
      </c>
      <c r="J35" s="435">
        <f>SUMIF(107:107,I35,108:108)-SUMIF(107:107,C35,108:108)+100</f>
        <v>100</v>
      </c>
      <c r="K35" s="426">
        <v>1</v>
      </c>
      <c r="L35" s="1140"/>
      <c r="M35" s="1131"/>
      <c r="N35" s="1131"/>
      <c r="O35" s="1131"/>
      <c r="P35" s="3222"/>
      <c r="Q35" s="1810" t="str">
        <f t="shared" si="11"/>
        <v>建筑品质</v>
      </c>
      <c r="R35" s="774" t="s">
        <v>21</v>
      </c>
      <c r="S35" s="775">
        <f t="shared" si="12"/>
        <v>100</v>
      </c>
      <c r="T35" s="774" t="s">
        <v>21</v>
      </c>
      <c r="U35" s="775">
        <f t="shared" si="13"/>
        <v>100</v>
      </c>
      <c r="V35" s="774" t="s">
        <v>21</v>
      </c>
      <c r="W35" s="775">
        <f t="shared" si="14"/>
        <v>100</v>
      </c>
      <c r="X35" s="1813"/>
      <c r="Y35" s="3224"/>
      <c r="Z35" s="1814" t="str">
        <f t="shared" si="18"/>
        <v>建筑品质</v>
      </c>
      <c r="AA35" s="1811">
        <f t="shared" si="15"/>
        <v>1</v>
      </c>
      <c r="AB35" s="1811">
        <f t="shared" si="16"/>
        <v>1</v>
      </c>
      <c r="AC35" s="1811">
        <f t="shared" si="17"/>
        <v>1</v>
      </c>
    </row>
    <row r="36" spans="1:29" ht="15">
      <c r="A36" s="472"/>
      <c r="B36" s="422" t="s">
        <v>2567</v>
      </c>
      <c r="C36" s="2613" t="s">
        <v>3200</v>
      </c>
      <c r="D36" s="435">
        <v>100</v>
      </c>
      <c r="E36" s="2613" t="s">
        <v>3200</v>
      </c>
      <c r="F36" s="461">
        <f>SUMIF(109:109,E36,110:110)-SUMIF(109:109,C36,110:110)+100</f>
        <v>100</v>
      </c>
      <c r="G36" s="2613" t="s">
        <v>3200</v>
      </c>
      <c r="H36" s="435">
        <f>SUMIF(109:109,G36,110:110)-SUMIF(109:109,C36,110:110)+100</f>
        <v>100</v>
      </c>
      <c r="I36" s="2613" t="s">
        <v>3200</v>
      </c>
      <c r="J36" s="435">
        <f>SUMIF(109:109,I36,110:110)-SUMIF(109:109,C36,110:110)+100</f>
        <v>100</v>
      </c>
      <c r="K36" s="426">
        <v>1</v>
      </c>
      <c r="L36" s="1140"/>
      <c r="M36" s="1131"/>
      <c r="N36" s="1131"/>
      <c r="O36" s="1131"/>
      <c r="P36" s="3222"/>
      <c r="Q36" s="1810" t="str">
        <f t="shared" si="11"/>
        <v>公共部分装修</v>
      </c>
      <c r="R36" s="774" t="s">
        <v>21</v>
      </c>
      <c r="S36" s="775">
        <f t="shared" si="12"/>
        <v>100</v>
      </c>
      <c r="T36" s="774" t="s">
        <v>21</v>
      </c>
      <c r="U36" s="775">
        <f t="shared" si="13"/>
        <v>100</v>
      </c>
      <c r="V36" s="774" t="s">
        <v>21</v>
      </c>
      <c r="W36" s="775">
        <f t="shared" si="14"/>
        <v>100</v>
      </c>
      <c r="X36" s="1813"/>
      <c r="Y36" s="3224"/>
      <c r="Z36" s="1814" t="str">
        <f t="shared" si="18"/>
        <v>公共部分装修</v>
      </c>
      <c r="AA36" s="1811">
        <f t="shared" si="15"/>
        <v>1</v>
      </c>
      <c r="AB36" s="1811">
        <f t="shared" si="16"/>
        <v>1</v>
      </c>
      <c r="AC36" s="1811">
        <f t="shared" si="17"/>
        <v>1</v>
      </c>
    </row>
    <row r="37" spans="1:29" s="117" customFormat="1" ht="15">
      <c r="A37" s="473"/>
      <c r="B37" s="422" t="s">
        <v>2568</v>
      </c>
      <c r="C37" s="474">
        <f>'数据-取费表'!N6</f>
        <v>0.65</v>
      </c>
      <c r="D37" s="136">
        <v>100</v>
      </c>
      <c r="E37" s="474">
        <f>C37</f>
        <v>0.65</v>
      </c>
      <c r="F37" s="425">
        <f>LOOKUP(E37,112:112,113:113)-LOOKUP(C37,112:112,113:113)+100</f>
        <v>100</v>
      </c>
      <c r="G37" s="476">
        <f>ROUND(1-(2019-2008)/60,2)</f>
        <v>0.82</v>
      </c>
      <c r="H37" s="136">
        <f>LOOKUP(G37,112:112,113:113)-LOOKUP(C37,112:112,113:113)+100</f>
        <v>102</v>
      </c>
      <c r="I37" s="475">
        <f>G37</f>
        <v>0.82</v>
      </c>
      <c r="J37" s="136">
        <f>LOOKUP(I37,112:112,113:113)-LOOKUP(C37,112:112,113:113)+100</f>
        <v>102</v>
      </c>
      <c r="K37" s="426">
        <v>1</v>
      </c>
      <c r="L37" s="1132"/>
      <c r="M37" s="1133"/>
      <c r="N37" s="1133"/>
      <c r="O37" s="1133"/>
      <c r="P37" s="3222"/>
      <c r="Q37" s="1795" t="str">
        <f t="shared" si="11"/>
        <v>成新度</v>
      </c>
      <c r="R37" s="770" t="s">
        <v>21</v>
      </c>
      <c r="S37" s="771">
        <f t="shared" si="12"/>
        <v>100</v>
      </c>
      <c r="T37" s="770" t="s">
        <v>21</v>
      </c>
      <c r="U37" s="771">
        <f t="shared" si="13"/>
        <v>102</v>
      </c>
      <c r="V37" s="770" t="s">
        <v>21</v>
      </c>
      <c r="W37" s="771">
        <f t="shared" si="14"/>
        <v>102</v>
      </c>
      <c r="X37" s="772"/>
      <c r="Y37" s="3224"/>
      <c r="Z37" s="55" t="str">
        <f t="shared" si="18"/>
        <v>成新度</v>
      </c>
      <c r="AA37" s="773">
        <f t="shared" si="15"/>
        <v>1</v>
      </c>
      <c r="AB37" s="773">
        <f t="shared" si="16"/>
        <v>0.98039215686274506</v>
      </c>
      <c r="AC37" s="773">
        <f t="shared" si="17"/>
        <v>0.98039215686274506</v>
      </c>
    </row>
    <row r="38" spans="1:29" ht="15">
      <c r="A38" s="472"/>
      <c r="B38" s="422" t="s">
        <v>2569</v>
      </c>
      <c r="C38" s="2613" t="s">
        <v>3211</v>
      </c>
      <c r="D38" s="435">
        <v>100</v>
      </c>
      <c r="E38" s="2613" t="s">
        <v>3211</v>
      </c>
      <c r="F38" s="461">
        <f>SUMIF(114:114,E38,115:115)-SUMIF(114:114,C38,115:115)+100</f>
        <v>100</v>
      </c>
      <c r="G38" s="2613" t="s">
        <v>3211</v>
      </c>
      <c r="H38" s="435">
        <f>SUMIF(114:114,G38,115:115)-SUMIF(114:114,C38,115:115)+100</f>
        <v>100</v>
      </c>
      <c r="I38" s="2613" t="s">
        <v>3211</v>
      </c>
      <c r="J38" s="435">
        <f>SUMIF(114:114,I38,115:115)-SUMIF(114:114,C38,115:115)+100</f>
        <v>100</v>
      </c>
      <c r="K38" s="426">
        <v>1</v>
      </c>
      <c r="L38" s="1140"/>
      <c r="M38" s="1131"/>
      <c r="N38" s="1131"/>
      <c r="O38" s="1131"/>
      <c r="P38" s="3222" t="s">
        <v>2563</v>
      </c>
      <c r="Q38" s="1810" t="str">
        <f t="shared" si="11"/>
        <v>物业管理</v>
      </c>
      <c r="R38" s="774" t="s">
        <v>21</v>
      </c>
      <c r="S38" s="775">
        <f t="shared" si="12"/>
        <v>100</v>
      </c>
      <c r="T38" s="774" t="s">
        <v>21</v>
      </c>
      <c r="U38" s="775">
        <f t="shared" si="13"/>
        <v>100</v>
      </c>
      <c r="V38" s="774" t="s">
        <v>21</v>
      </c>
      <c r="W38" s="775">
        <f t="shared" si="14"/>
        <v>100</v>
      </c>
      <c r="X38" s="1813"/>
      <c r="Y38" s="3224" t="s">
        <v>2563</v>
      </c>
      <c r="Z38" s="1814" t="str">
        <f t="shared" si="18"/>
        <v>物业管理</v>
      </c>
      <c r="AA38" s="1811">
        <f t="shared" si="15"/>
        <v>1</v>
      </c>
      <c r="AB38" s="1811">
        <f t="shared" si="16"/>
        <v>1</v>
      </c>
      <c r="AC38" s="1811">
        <f t="shared" si="17"/>
        <v>1</v>
      </c>
    </row>
    <row r="39" spans="1:29" ht="15">
      <c r="A39" s="472"/>
      <c r="B39" s="422" t="s">
        <v>2570</v>
      </c>
      <c r="C39" s="2613" t="s">
        <v>3206</v>
      </c>
      <c r="D39" s="435">
        <v>100</v>
      </c>
      <c r="E39" s="2613" t="s">
        <v>3206</v>
      </c>
      <c r="F39" s="461">
        <f>SUMIF(116:116,E39,117:117)-SUMIF(116:116,C39,117:117)+100</f>
        <v>100</v>
      </c>
      <c r="G39" s="2613" t="s">
        <v>3206</v>
      </c>
      <c r="H39" s="435">
        <f>SUMIF(116:116,G39,117:117)-SUMIF(116:116,C39,117:117)+100</f>
        <v>100</v>
      </c>
      <c r="I39" s="2613" t="s">
        <v>3206</v>
      </c>
      <c r="J39" s="435">
        <f>SUMIF(116:116,I39,117:117)-SUMIF(116:116,C39,117:117)+100</f>
        <v>100</v>
      </c>
      <c r="K39" s="426">
        <v>1</v>
      </c>
      <c r="L39" s="1140"/>
      <c r="M39" s="1131"/>
      <c r="N39" s="1131"/>
      <c r="O39" s="1131"/>
      <c r="P39" s="3222"/>
      <c r="Q39" s="1810" t="str">
        <f t="shared" si="11"/>
        <v>市政基础设施</v>
      </c>
      <c r="R39" s="774" t="s">
        <v>21</v>
      </c>
      <c r="S39" s="775">
        <f t="shared" si="12"/>
        <v>100</v>
      </c>
      <c r="T39" s="774" t="s">
        <v>21</v>
      </c>
      <c r="U39" s="775">
        <f t="shared" si="13"/>
        <v>100</v>
      </c>
      <c r="V39" s="774" t="s">
        <v>21</v>
      </c>
      <c r="W39" s="775">
        <f t="shared" si="14"/>
        <v>100</v>
      </c>
      <c r="X39" s="1813"/>
      <c r="Y39" s="3224"/>
      <c r="Z39" s="1814" t="str">
        <f t="shared" si="18"/>
        <v>市政基础设施</v>
      </c>
      <c r="AA39" s="1811">
        <f t="shared" si="15"/>
        <v>1</v>
      </c>
      <c r="AB39" s="1811">
        <f t="shared" si="16"/>
        <v>1</v>
      </c>
      <c r="AC39" s="1811">
        <f t="shared" si="17"/>
        <v>1</v>
      </c>
    </row>
    <row r="40" spans="1:29" ht="15" hidden="1">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22"/>
      <c r="Q40" s="1810" t="str">
        <f t="shared" si="11"/>
        <v>房型</v>
      </c>
      <c r="R40" s="774" t="s">
        <v>21</v>
      </c>
      <c r="S40" s="775">
        <f t="shared" si="12"/>
        <v>100</v>
      </c>
      <c r="T40" s="774" t="s">
        <v>21</v>
      </c>
      <c r="U40" s="775">
        <f t="shared" si="13"/>
        <v>100</v>
      </c>
      <c r="V40" s="774" t="s">
        <v>21</v>
      </c>
      <c r="W40" s="775">
        <f t="shared" si="14"/>
        <v>100</v>
      </c>
      <c r="X40" s="1813"/>
      <c r="Y40" s="3224"/>
      <c r="Z40" s="1814" t="str">
        <f t="shared" si="18"/>
        <v>房型</v>
      </c>
      <c r="AA40" s="1811">
        <f t="shared" si="15"/>
        <v>1</v>
      </c>
      <c r="AB40" s="1811">
        <f t="shared" si="16"/>
        <v>1</v>
      </c>
      <c r="AC40" s="1811">
        <f t="shared" si="17"/>
        <v>1</v>
      </c>
    </row>
    <row r="41" spans="1:29" s="471" customFormat="1" ht="28.5" hidden="1">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22"/>
      <c r="Q41" s="776" t="str">
        <f t="shared" si="11"/>
        <v>单套/主力户型建筑面积</v>
      </c>
      <c r="R41" s="777" t="s">
        <v>21</v>
      </c>
      <c r="S41" s="778">
        <f t="shared" si="12"/>
        <v>100</v>
      </c>
      <c r="T41" s="777" t="s">
        <v>21</v>
      </c>
      <c r="U41" s="778">
        <f t="shared" si="13"/>
        <v>100</v>
      </c>
      <c r="V41" s="777" t="s">
        <v>21</v>
      </c>
      <c r="W41" s="778">
        <f t="shared" si="14"/>
        <v>100</v>
      </c>
      <c r="X41" s="779"/>
      <c r="Y41" s="3224"/>
      <c r="Z41" s="780" t="str">
        <f t="shared" si="18"/>
        <v>单套/主力户型建筑面积</v>
      </c>
      <c r="AA41" s="1811">
        <f t="shared" si="15"/>
        <v>1</v>
      </c>
      <c r="AB41" s="1811">
        <f t="shared" si="16"/>
        <v>1</v>
      </c>
      <c r="AC41" s="1811">
        <f t="shared" si="17"/>
        <v>1</v>
      </c>
    </row>
    <row r="42" spans="1:29" ht="15">
      <c r="A42" s="472"/>
      <c r="B42" s="422" t="s">
        <v>2573</v>
      </c>
      <c r="C42" s="2613" t="s">
        <v>3223</v>
      </c>
      <c r="D42" s="435">
        <v>100</v>
      </c>
      <c r="E42" s="2613" t="s">
        <v>3200</v>
      </c>
      <c r="F42" s="461">
        <f>SUMIF(122:122,E42,123:123)-SUMIF(122:122,C42,123:123)+100</f>
        <v>105</v>
      </c>
      <c r="G42" s="2613" t="s">
        <v>3200</v>
      </c>
      <c r="H42" s="435">
        <f>SUMIF(122:122,G42,123:123)-SUMIF(122:122,C42,123:123)+100</f>
        <v>105</v>
      </c>
      <c r="I42" s="2613" t="s">
        <v>3200</v>
      </c>
      <c r="J42" s="435">
        <f>SUMIF(122:122,I42,123:123)-SUMIF(122:122,C42,123:123)+100</f>
        <v>105</v>
      </c>
      <c r="K42" s="426">
        <v>5</v>
      </c>
      <c r="L42" s="1140"/>
      <c r="M42" s="1131"/>
      <c r="N42" s="1131"/>
      <c r="O42" s="1131"/>
      <c r="P42" s="3222"/>
      <c r="Q42" s="1810" t="str">
        <f t="shared" si="11"/>
        <v>内部装修</v>
      </c>
      <c r="R42" s="774" t="s">
        <v>21</v>
      </c>
      <c r="S42" s="775">
        <f t="shared" si="12"/>
        <v>105</v>
      </c>
      <c r="T42" s="774" t="s">
        <v>21</v>
      </c>
      <c r="U42" s="775">
        <f t="shared" si="13"/>
        <v>105</v>
      </c>
      <c r="V42" s="774" t="s">
        <v>21</v>
      </c>
      <c r="W42" s="775">
        <f t="shared" si="14"/>
        <v>105</v>
      </c>
      <c r="X42" s="1813"/>
      <c r="Y42" s="3224"/>
      <c r="Z42" s="1814" t="str">
        <f t="shared" si="18"/>
        <v>内部装修</v>
      </c>
      <c r="AA42" s="1811">
        <f t="shared" si="15"/>
        <v>0.95238095238095233</v>
      </c>
      <c r="AB42" s="1811">
        <f t="shared" si="16"/>
        <v>0.95238095238095233</v>
      </c>
      <c r="AC42" s="1811">
        <f t="shared" si="17"/>
        <v>0.95238095238095233</v>
      </c>
    </row>
    <row r="43" spans="1:29" ht="15.75" thickBot="1">
      <c r="A43" s="472"/>
      <c r="B43" s="422" t="s">
        <v>2574</v>
      </c>
      <c r="C43" s="2613" t="s">
        <v>3179</v>
      </c>
      <c r="D43" s="435">
        <v>100</v>
      </c>
      <c r="E43" s="2613" t="s">
        <v>3178</v>
      </c>
      <c r="F43" s="461">
        <f>SUMIF(124:124,E43,125:125)-SUMIF(124:124,C43,125:125)+100</f>
        <v>101</v>
      </c>
      <c r="G43" s="2613" t="s">
        <v>3178</v>
      </c>
      <c r="H43" s="435">
        <f>SUMIF(124:124,G43,125:125)-SUMIF(124:124,C43,125:125)+100</f>
        <v>101</v>
      </c>
      <c r="I43" s="2613" t="s">
        <v>3178</v>
      </c>
      <c r="J43" s="435">
        <f>SUMIF(124:124,I43,125:125)-SUMIF(124:124,C43,125:125)+100</f>
        <v>101</v>
      </c>
      <c r="K43" s="426">
        <v>1</v>
      </c>
      <c r="L43" s="1140"/>
      <c r="M43" s="1131"/>
      <c r="N43" s="1131"/>
      <c r="O43" s="1131"/>
      <c r="P43" s="3222"/>
      <c r="Q43" s="1810" t="str">
        <f t="shared" si="11"/>
        <v>内部装修维护情况</v>
      </c>
      <c r="R43" s="774" t="s">
        <v>21</v>
      </c>
      <c r="S43" s="775">
        <f t="shared" si="12"/>
        <v>101</v>
      </c>
      <c r="T43" s="774" t="s">
        <v>21</v>
      </c>
      <c r="U43" s="775">
        <f t="shared" si="13"/>
        <v>101</v>
      </c>
      <c r="V43" s="774" t="s">
        <v>21</v>
      </c>
      <c r="W43" s="775">
        <f t="shared" si="14"/>
        <v>101</v>
      </c>
      <c r="X43" s="1813"/>
      <c r="Y43" s="3224"/>
      <c r="Z43" s="1814" t="str">
        <f t="shared" si="18"/>
        <v>内部装修维护情况</v>
      </c>
      <c r="AA43" s="1811">
        <f t="shared" si="15"/>
        <v>0.99009900990099009</v>
      </c>
      <c r="AB43" s="1811">
        <f t="shared" si="16"/>
        <v>0.99009900990099009</v>
      </c>
      <c r="AC43" s="1811">
        <f t="shared" si="17"/>
        <v>0.99009900990099009</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22"/>
      <c r="Q44" s="1795">
        <f t="shared" si="11"/>
        <v>111</v>
      </c>
      <c r="R44" s="770" t="s">
        <v>21</v>
      </c>
      <c r="S44" s="771">
        <f t="shared" si="12"/>
        <v>100</v>
      </c>
      <c r="T44" s="770" t="s">
        <v>21</v>
      </c>
      <c r="U44" s="771">
        <f t="shared" si="13"/>
        <v>100</v>
      </c>
      <c r="V44" s="770" t="s">
        <v>21</v>
      </c>
      <c r="W44" s="771">
        <f t="shared" si="14"/>
        <v>100</v>
      </c>
      <c r="X44" s="772"/>
      <c r="Y44" s="3224"/>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22"/>
      <c r="Q45" s="1810">
        <f t="shared" si="11"/>
        <v>111</v>
      </c>
      <c r="R45" s="774" t="s">
        <v>21</v>
      </c>
      <c r="S45" s="775">
        <f t="shared" si="12"/>
        <v>100</v>
      </c>
      <c r="T45" s="774" t="s">
        <v>21</v>
      </c>
      <c r="U45" s="775">
        <f t="shared" si="13"/>
        <v>100</v>
      </c>
      <c r="V45" s="774" t="s">
        <v>21</v>
      </c>
      <c r="W45" s="775">
        <f t="shared" si="14"/>
        <v>100</v>
      </c>
      <c r="X45" s="1813"/>
      <c r="Y45" s="3224"/>
      <c r="Z45" s="1814">
        <f t="shared" si="18"/>
        <v>111</v>
      </c>
      <c r="AA45" s="1811">
        <f t="shared" si="15"/>
        <v>1</v>
      </c>
      <c r="AB45" s="1811">
        <f t="shared" si="16"/>
        <v>1</v>
      </c>
      <c r="AC45" s="1811">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23"/>
      <c r="Q46" s="1810">
        <f t="shared" si="11"/>
        <v>111</v>
      </c>
      <c r="R46" s="774" t="s">
        <v>20</v>
      </c>
      <c r="S46" s="775">
        <f t="shared" si="12"/>
        <v>100</v>
      </c>
      <c r="T46" s="774" t="s">
        <v>20</v>
      </c>
      <c r="U46" s="775">
        <f t="shared" si="13"/>
        <v>100</v>
      </c>
      <c r="V46" s="774" t="s">
        <v>20</v>
      </c>
      <c r="W46" s="775">
        <f t="shared" si="14"/>
        <v>100</v>
      </c>
      <c r="X46" s="1813"/>
      <c r="Y46" s="3225"/>
      <c r="Z46" s="1814">
        <f t="shared" si="18"/>
        <v>111</v>
      </c>
      <c r="AA46" s="1811">
        <f t="shared" si="15"/>
        <v>1</v>
      </c>
      <c r="AB46" s="1811">
        <f t="shared" si="16"/>
        <v>1</v>
      </c>
      <c r="AC46" s="1811">
        <f t="shared" si="17"/>
        <v>1</v>
      </c>
    </row>
    <row r="47" spans="1:29" ht="15">
      <c r="A47" s="479" t="s">
        <v>2575</v>
      </c>
      <c r="B47" s="480"/>
      <c r="C47" s="1407" t="s">
        <v>19</v>
      </c>
      <c r="D47" s="1408"/>
      <c r="E47" s="1409">
        <f>ROUND(4004*C50,0)</f>
        <v>3604</v>
      </c>
      <c r="F47" s="1410"/>
      <c r="G47" s="1411">
        <f>ROUND(4138*C50,0)</f>
        <v>3724</v>
      </c>
      <c r="H47" s="1412"/>
      <c r="I47" s="1409">
        <f>ROUND(4486*C50,0)</f>
        <v>4037</v>
      </c>
      <c r="J47" s="1412"/>
      <c r="K47" s="2619"/>
      <c r="L47" s="1143"/>
      <c r="M47" s="1144"/>
      <c r="N47" s="1131"/>
      <c r="O47" s="1144"/>
      <c r="P47" s="3217" t="str">
        <f>A47</f>
        <v>成交单价（元/平方米）</v>
      </c>
      <c r="Q47" s="3217"/>
      <c r="R47" s="3218">
        <f>E47</f>
        <v>3604</v>
      </c>
      <c r="S47" s="3218"/>
      <c r="T47" s="3218">
        <f>G47</f>
        <v>3724</v>
      </c>
      <c r="U47" s="3218"/>
      <c r="V47" s="3218">
        <f>I47</f>
        <v>4037</v>
      </c>
      <c r="W47" s="3218"/>
      <c r="X47" s="759"/>
      <c r="Y47" s="781"/>
      <c r="Z47" s="759"/>
      <c r="AA47" s="759"/>
      <c r="AB47" s="759"/>
      <c r="AC47" s="759"/>
    </row>
    <row r="48" spans="1:29" ht="15.75" thickBot="1">
      <c r="A48" s="486" t="s">
        <v>2576</v>
      </c>
      <c r="B48" s="487"/>
      <c r="C48" s="1413">
        <f>R49</f>
        <v>3206</v>
      </c>
      <c r="D48" s="1414"/>
      <c r="E48" s="1415">
        <f>R48</f>
        <v>3114</v>
      </c>
      <c r="F48" s="1415"/>
      <c r="G48" s="1413">
        <f>T48</f>
        <v>3121</v>
      </c>
      <c r="H48" s="1414"/>
      <c r="I48" s="1415">
        <f>V48</f>
        <v>3384</v>
      </c>
      <c r="J48" s="1414"/>
      <c r="K48" s="2620"/>
      <c r="L48" s="1143"/>
      <c r="M48" s="1144"/>
      <c r="N48" s="1144"/>
      <c r="O48" s="1144"/>
      <c r="P48" s="3217" t="str">
        <f>A48</f>
        <v>比较价值（元/平方米）</v>
      </c>
      <c r="Q48" s="3217"/>
      <c r="R48" s="3218">
        <f>IF(F1="售价",ROUND(PRODUCT(R47,AA7:AA46),0),ROUND(PRODUCT(R47,AA7:AA46),1))</f>
        <v>3114</v>
      </c>
      <c r="S48" s="3218"/>
      <c r="T48" s="3218">
        <f>IF(F1="售价",ROUND(PRODUCT(T47,AB7:AB46),0),ROUND(PRODUCT(T47,AB7:AB46),1))</f>
        <v>3121</v>
      </c>
      <c r="U48" s="3218"/>
      <c r="V48" s="3218">
        <f>IF(F1="售价",ROUND(PRODUCT(V47,AC7:AC46),0),ROUND(PRODUCT(V47,AC7:AC46),1))</f>
        <v>3384</v>
      </c>
      <c r="W48" s="3218"/>
      <c r="X48" s="759"/>
      <c r="Y48" s="759"/>
      <c r="Z48" s="759"/>
      <c r="AA48" s="759"/>
      <c r="AB48" s="759"/>
      <c r="AC48" s="759"/>
    </row>
    <row r="49" spans="1:29" ht="15.75" thickBot="1">
      <c r="A49" s="492" t="s">
        <v>2577</v>
      </c>
      <c r="B49" s="493"/>
      <c r="C49" s="1416">
        <f>R49</f>
        <v>3206</v>
      </c>
      <c r="D49" s="1417"/>
      <c r="E49" s="1417"/>
      <c r="F49" s="1417"/>
      <c r="G49" s="1417"/>
      <c r="H49" s="1417"/>
      <c r="I49" s="1417"/>
      <c r="J49" s="1417"/>
      <c r="K49" s="2621"/>
      <c r="L49" s="1143"/>
      <c r="M49" s="1144"/>
      <c r="N49" s="1144"/>
      <c r="O49" s="1144"/>
      <c r="P49" s="3214" t="str">
        <f>A49</f>
        <v>估价对象XX用房的比较价值（楼面单价，元/平方米）</v>
      </c>
      <c r="Q49" s="3215"/>
      <c r="R49" s="3216">
        <f>IF(F1="售价",ROUND(AVERAGE(R48:V48),0),ROUND(AVERAGE(R48:V48),1))</f>
        <v>3206</v>
      </c>
      <c r="S49" s="3216"/>
      <c r="T49" s="3216"/>
      <c r="U49" s="3216"/>
      <c r="V49" s="3216"/>
      <c r="W49" s="3216"/>
      <c r="X49" s="759"/>
      <c r="Y49" s="759"/>
      <c r="Z49" s="759"/>
      <c r="AA49" s="759"/>
      <c r="AB49" s="759"/>
      <c r="AC49" s="759"/>
    </row>
    <row r="50" spans="1:29">
      <c r="A50" s="1144"/>
      <c r="B50" s="1144"/>
      <c r="C50" s="1144">
        <v>0.9</v>
      </c>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f>IF(E47&lt;E48,E48/E47-1,E47/E48-1)</f>
        <v>0.15735388567758513</v>
      </c>
      <c r="F52" s="500" t="str">
        <f>IF(OR(E52&gt;=0.3,E52&lt;=-0.3),"超过30%","")</f>
        <v/>
      </c>
      <c r="G52" s="499">
        <f>IF(G47&lt;G48,G48/G47-1,G47/G48-1)</f>
        <v>0.19320730535084918</v>
      </c>
      <c r="H52" s="500" t="str">
        <f>IF(OR(G52&gt;=0.3,G52&lt;=-0.3),"超过30%","")</f>
        <v/>
      </c>
      <c r="I52" s="499">
        <f>IF(I47&lt;I48,I48/I47-1,I47/I48-1)</f>
        <v>0.19296690307328612</v>
      </c>
      <c r="J52" s="500" t="str">
        <f>IF(OR(I52&gt;=0.3,I52&lt;=-0.3),"超过30%","")</f>
        <v/>
      </c>
      <c r="K52" s="1105"/>
      <c r="L52" s="1106"/>
      <c r="M52" s="1144"/>
      <c r="N52" s="1144"/>
      <c r="O52" s="1144"/>
    </row>
    <row r="53" spans="1:29" ht="13.5" customHeight="1">
      <c r="A53" s="1144"/>
      <c r="B53" s="1144"/>
      <c r="C53" s="497" t="s">
        <v>2579</v>
      </c>
      <c r="D53" s="501"/>
      <c r="E53" s="499">
        <f>IF(E48&lt;G48,G48/E48-1,E48/G48-1)</f>
        <v>2.2479126525369875E-3</v>
      </c>
      <c r="F53" s="500" t="str">
        <f>IF(OR(E53&gt;=0.2,E53&lt;=-0.2),"超过20%","")</f>
        <v/>
      </c>
      <c r="G53" s="499">
        <f>IF(G48&lt;I48,I48/G48-1,G48/I48-1)</f>
        <v>8.4267862864466414E-2</v>
      </c>
      <c r="H53" s="500" t="str">
        <f>IF(OR(G53&gt;=0.2,G53&lt;=-0.2),"超过20%","")</f>
        <v/>
      </c>
      <c r="I53" s="499">
        <f>IF(I48&lt;E48,E48/I48-1,I48/E48-1)</f>
        <v>8.6705202312138629E-2</v>
      </c>
      <c r="J53" s="500" t="str">
        <f>IF(OR(I53&gt;=0.2,I53&lt;=-0.2),"超过20%","")</f>
        <v/>
      </c>
      <c r="K53" s="1105"/>
      <c r="L53" s="1106"/>
      <c r="M53" s="1144"/>
      <c r="N53" s="1144"/>
      <c r="O53" s="1144"/>
    </row>
    <row r="54" spans="1:29" s="502" customFormat="1" ht="13.5" customHeight="1">
      <c r="A54" s="1145"/>
      <c r="B54" s="1145"/>
      <c r="C54" s="497" t="s">
        <v>2580</v>
      </c>
      <c r="D54" s="501"/>
      <c r="E54" s="499">
        <f>IF(E47&lt;G47,G47/E47-1,E47/G47-1)</f>
        <v>3.3296337402885623E-2</v>
      </c>
      <c r="F54" s="500" t="str">
        <f>IF(OR(E54&gt;=0.3,E54&lt;=-0.3),"超过30%","")</f>
        <v/>
      </c>
      <c r="G54" s="499">
        <f>IF(G47&lt;I47,I47/G47-1,G47/I47-1)</f>
        <v>8.4049409237379136E-2</v>
      </c>
      <c r="H54" s="500" t="str">
        <f>IF(OR(G54&gt;=0.3,G54&lt;=-0.3),"超过30%","")</f>
        <v/>
      </c>
      <c r="I54" s="499">
        <f>IF(I47&lt;E47,E47/I47-1,I47/E47-1)</f>
        <v>0.12014428412874589</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4"/>
      <c r="Q57" s="504"/>
    </row>
    <row r="58" spans="1:29" s="508" customFormat="1" ht="15">
      <c r="A58" s="505" t="s">
        <v>2582</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2584</v>
      </c>
      <c r="B61" s="510"/>
      <c r="C61" s="522" t="s">
        <v>2585</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2586</v>
      </c>
      <c r="B63" s="528" t="s">
        <v>2552</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75" thickTop="1">
      <c r="A67" s="534"/>
      <c r="B67" s="546" t="s">
        <v>2556</v>
      </c>
      <c r="C67" s="547" t="str">
        <f>C68&amp;"（含）"&amp;"-"&amp;D68</f>
        <v>0（含）-1</v>
      </c>
      <c r="D67" s="547" t="str">
        <f t="shared" ref="D67:L67" si="21">D68&amp;"（含）"&amp;"-"&amp;E68</f>
        <v>1（含）-2</v>
      </c>
      <c r="E67" s="547" t="str">
        <f t="shared" si="21"/>
        <v>2（含）-3</v>
      </c>
      <c r="F67" s="547" t="str">
        <f t="shared" si="21"/>
        <v>3（含）-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3"/>
      <c r="O79" s="1153"/>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8"/>
      <c r="Q81" s="504"/>
    </row>
    <row r="82" spans="1:17" ht="15.75" thickTop="1">
      <c r="A82" s="534"/>
      <c r="B82" s="546" t="s">
        <v>2096</v>
      </c>
      <c r="C82" s="539" t="s">
        <v>2602</v>
      </c>
      <c r="D82" s="539" t="s">
        <v>2603</v>
      </c>
      <c r="E82" s="539" t="s">
        <v>2604</v>
      </c>
      <c r="F82" s="539" t="s">
        <v>2605</v>
      </c>
      <c r="G82" s="539" t="s">
        <v>2606</v>
      </c>
      <c r="H82" s="539"/>
      <c r="I82" s="539"/>
      <c r="J82" s="539"/>
      <c r="K82" s="539"/>
      <c r="L82" s="539"/>
      <c r="M82" s="1382"/>
      <c r="N82" s="1153"/>
      <c r="O82" s="1153"/>
      <c r="P82" s="2628"/>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8"/>
      <c r="Q85" s="504"/>
    </row>
    <row r="86" spans="1:17" s="117" customFormat="1" ht="15.75" thickTop="1">
      <c r="A86" s="579"/>
      <c r="B86" s="538" t="s">
        <v>2608</v>
      </c>
      <c r="C86" s="2958"/>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2609</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t="str">
        <f>B27</f>
        <v>楼层</v>
      </c>
      <c r="C90" s="2958" t="s">
        <v>3219</v>
      </c>
      <c r="D90" s="2958" t="s">
        <v>3220</v>
      </c>
      <c r="E90" s="2958" t="s">
        <v>3221</v>
      </c>
      <c r="F90" s="554"/>
      <c r="G90" s="554"/>
      <c r="H90" s="555"/>
      <c r="I90" s="555"/>
      <c r="J90" s="555"/>
      <c r="K90" s="555"/>
      <c r="L90" s="556"/>
      <c r="M90" s="557"/>
      <c r="N90" s="1154"/>
      <c r="O90" s="1154"/>
      <c r="P90" s="2629"/>
      <c r="Q90" s="559"/>
    </row>
    <row r="91" spans="1:17" s="471" customFormat="1" ht="15.75" thickBot="1">
      <c r="A91" s="553"/>
      <c r="B91" s="543"/>
      <c r="C91" s="560">
        <v>100</v>
      </c>
      <c r="D91" s="560">
        <v>98</v>
      </c>
      <c r="E91" s="560">
        <v>96</v>
      </c>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2561</v>
      </c>
      <c r="B100" s="528" t="s">
        <v>2610</v>
      </c>
      <c r="C100" s="2957" t="s">
        <v>3192</v>
      </c>
      <c r="D100" s="2957" t="s">
        <v>3193</v>
      </c>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3"/>
      <c r="O101" s="1153"/>
      <c r="P101" s="2628"/>
      <c r="Q101" s="504"/>
    </row>
    <row r="102" spans="1:17" ht="29.25" thickTop="1">
      <c r="A102" s="534"/>
      <c r="B102" s="538" t="s">
        <v>2611</v>
      </c>
      <c r="C102" s="578" t="str">
        <f>C103&amp;"(含)"&amp;"-"&amp;D103</f>
        <v>0(含)-50</v>
      </c>
      <c r="D102" s="578" t="str">
        <f t="shared" ref="D102:L102" si="27">D103&amp;"(含)"&amp;"-"&amp;E103</f>
        <v>50(含)-100</v>
      </c>
      <c r="E102" s="578" t="str">
        <f t="shared" si="27"/>
        <v>100(含)-300</v>
      </c>
      <c r="F102" s="578" t="str">
        <f t="shared" si="27"/>
        <v>300(含)-5000</v>
      </c>
      <c r="G102" s="578" t="str">
        <f t="shared" si="27"/>
        <v>5000(含)-1000</v>
      </c>
      <c r="H102" s="578" t="str">
        <f t="shared" si="27"/>
        <v>1000(含)-2000</v>
      </c>
      <c r="I102" s="578" t="str">
        <f t="shared" si="27"/>
        <v>2000(含)-3000</v>
      </c>
      <c r="J102" s="578" t="str">
        <f t="shared" si="27"/>
        <v>3000(含)-4000</v>
      </c>
      <c r="K102" s="578" t="str">
        <f>K103&amp;"(含)"&amp;"-"&amp;L103</f>
        <v>4000(含)-5000</v>
      </c>
      <c r="L102" s="578" t="str">
        <f t="shared" si="27"/>
        <v>5000(含)-</v>
      </c>
      <c r="M102" s="578" t="str">
        <f>M103&amp;"(含)"&amp;"-"&amp;P103</f>
        <v>(含)-</v>
      </c>
      <c r="N102" s="1151"/>
      <c r="O102" s="1151"/>
      <c r="P102" s="2628"/>
      <c r="Q102" s="504"/>
    </row>
    <row r="103" spans="1:17" s="471" customFormat="1">
      <c r="A103" s="593"/>
      <c r="B103" s="594"/>
      <c r="C103" s="595">
        <v>0</v>
      </c>
      <c r="D103" s="595">
        <v>50</v>
      </c>
      <c r="E103" s="595">
        <v>100</v>
      </c>
      <c r="F103" s="595">
        <v>300</v>
      </c>
      <c r="G103" s="595">
        <v>5000</v>
      </c>
      <c r="H103" s="595">
        <v>1000</v>
      </c>
      <c r="I103" s="595">
        <v>2000</v>
      </c>
      <c r="J103" s="596">
        <v>3000</v>
      </c>
      <c r="K103" s="596">
        <v>4000</v>
      </c>
      <c r="L103" s="597">
        <v>5000</v>
      </c>
      <c r="M103" s="598"/>
      <c r="N103" s="1154"/>
      <c r="O103" s="1154"/>
      <c r="P103" s="2629"/>
      <c r="Q103" s="559"/>
    </row>
    <row r="104" spans="1:17" s="471" customFormat="1" ht="15.75" thickBot="1">
      <c r="A104" s="553"/>
      <c r="B104" s="543"/>
      <c r="C104" s="560">
        <v>100</v>
      </c>
      <c r="D104" s="536">
        <f>C104-1</f>
        <v>99</v>
      </c>
      <c r="E104" s="536">
        <f t="shared" ref="E104:L104" si="28">D104-1</f>
        <v>98</v>
      </c>
      <c r="F104" s="536">
        <f t="shared" si="28"/>
        <v>97</v>
      </c>
      <c r="G104" s="536">
        <f t="shared" si="28"/>
        <v>96</v>
      </c>
      <c r="H104" s="536">
        <f t="shared" si="28"/>
        <v>95</v>
      </c>
      <c r="I104" s="536">
        <f t="shared" si="28"/>
        <v>94</v>
      </c>
      <c r="J104" s="536">
        <f t="shared" si="28"/>
        <v>93</v>
      </c>
      <c r="K104" s="536">
        <f t="shared" si="28"/>
        <v>92</v>
      </c>
      <c r="L104" s="536">
        <f t="shared" si="28"/>
        <v>91</v>
      </c>
      <c r="M104" s="536"/>
      <c r="N104" s="1153"/>
      <c r="O104" s="1153"/>
      <c r="P104" s="2629"/>
      <c r="Q104" s="559"/>
    </row>
    <row r="105" spans="1:17" ht="15" thickTop="1">
      <c r="A105" s="599"/>
      <c r="B105" s="538" t="s">
        <v>2612</v>
      </c>
      <c r="C105" s="2958" t="s">
        <v>3194</v>
      </c>
      <c r="D105" s="2958" t="s">
        <v>3227</v>
      </c>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9">C106-$K34</f>
        <v>99</v>
      </c>
      <c r="E106" s="544">
        <f t="shared" si="29"/>
        <v>98</v>
      </c>
      <c r="F106" s="544">
        <f t="shared" si="29"/>
        <v>97</v>
      </c>
      <c r="G106" s="544">
        <f t="shared" si="29"/>
        <v>96</v>
      </c>
      <c r="H106" s="544">
        <f t="shared" si="29"/>
        <v>95</v>
      </c>
      <c r="I106" s="544">
        <f t="shared" si="29"/>
        <v>94</v>
      </c>
      <c r="J106" s="544">
        <f t="shared" si="29"/>
        <v>93</v>
      </c>
      <c r="K106" s="544">
        <f t="shared" si="29"/>
        <v>92</v>
      </c>
      <c r="L106" s="544">
        <f t="shared" si="29"/>
        <v>91</v>
      </c>
      <c r="M106" s="544">
        <f t="shared" si="29"/>
        <v>90</v>
      </c>
      <c r="N106" s="1153"/>
      <c r="O106" s="1153"/>
      <c r="P106" s="2628"/>
      <c r="Q106" s="504"/>
    </row>
    <row r="107" spans="1:17" ht="15" thickTop="1">
      <c r="A107" s="599"/>
      <c r="B107" s="538" t="s">
        <v>2613</v>
      </c>
      <c r="C107" s="2959" t="s">
        <v>3195</v>
      </c>
      <c r="D107" s="2959" t="s">
        <v>3197</v>
      </c>
      <c r="E107" s="2959" t="s">
        <v>3198</v>
      </c>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30">C108-$K35</f>
        <v>99</v>
      </c>
      <c r="E108" s="544">
        <f t="shared" si="30"/>
        <v>98</v>
      </c>
      <c r="F108" s="544">
        <f t="shared" si="30"/>
        <v>97</v>
      </c>
      <c r="G108" s="544">
        <f t="shared" si="30"/>
        <v>96</v>
      </c>
      <c r="H108" s="544">
        <f t="shared" si="30"/>
        <v>95</v>
      </c>
      <c r="I108" s="544">
        <f t="shared" si="30"/>
        <v>94</v>
      </c>
      <c r="J108" s="544">
        <f t="shared" si="30"/>
        <v>93</v>
      </c>
      <c r="K108" s="544">
        <f t="shared" si="30"/>
        <v>92</v>
      </c>
      <c r="L108" s="544">
        <f t="shared" si="30"/>
        <v>91</v>
      </c>
      <c r="M108" s="544">
        <f t="shared" si="30"/>
        <v>90</v>
      </c>
      <c r="N108" s="1153"/>
      <c r="O108" s="1153"/>
      <c r="P108" s="2628"/>
      <c r="Q108" s="504"/>
    </row>
    <row r="109" spans="1:17" ht="15" thickTop="1">
      <c r="A109" s="599"/>
      <c r="B109" s="538" t="s">
        <v>2614</v>
      </c>
      <c r="C109" s="2958" t="s">
        <v>3199</v>
      </c>
      <c r="D109" s="2958" t="s">
        <v>3201</v>
      </c>
      <c r="E109" s="2958" t="s">
        <v>3202</v>
      </c>
      <c r="F109" s="2959" t="s">
        <v>3203</v>
      </c>
      <c r="G109" s="583"/>
      <c r="H109" s="583"/>
      <c r="I109" s="583"/>
      <c r="J109" s="583"/>
      <c r="K109" s="584"/>
      <c r="L109" s="585"/>
      <c r="M109" s="586"/>
      <c r="N109" s="1152"/>
      <c r="O109" s="1152"/>
      <c r="P109" s="2628"/>
      <c r="Q109" s="504"/>
    </row>
    <row r="110" spans="1:17" ht="15.75" thickBot="1">
      <c r="A110" s="534"/>
      <c r="B110" s="543"/>
      <c r="C110" s="544">
        <v>100</v>
      </c>
      <c r="D110" s="544">
        <f t="shared" ref="D110:M110" si="31">C110-$K36</f>
        <v>99</v>
      </c>
      <c r="E110" s="544">
        <f t="shared" si="31"/>
        <v>98</v>
      </c>
      <c r="F110" s="544">
        <f t="shared" si="31"/>
        <v>97</v>
      </c>
      <c r="G110" s="544">
        <f t="shared" si="31"/>
        <v>96</v>
      </c>
      <c r="H110" s="544">
        <f t="shared" si="31"/>
        <v>95</v>
      </c>
      <c r="I110" s="544">
        <f t="shared" si="31"/>
        <v>94</v>
      </c>
      <c r="J110" s="544">
        <f t="shared" si="31"/>
        <v>93</v>
      </c>
      <c r="K110" s="544">
        <f t="shared" si="31"/>
        <v>92</v>
      </c>
      <c r="L110" s="544">
        <f t="shared" si="31"/>
        <v>91</v>
      </c>
      <c r="M110" s="544">
        <f t="shared" si="31"/>
        <v>90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9"/>
      <c r="Q113" s="559"/>
    </row>
    <row r="114" spans="1:17" ht="15" thickTop="1">
      <c r="A114" s="599"/>
      <c r="B114" s="538" t="s">
        <v>2615</v>
      </c>
      <c r="C114" s="2958" t="s">
        <v>3210</v>
      </c>
      <c r="D114" s="2958" t="s">
        <v>3212</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2">C115-$K38</f>
        <v>99</v>
      </c>
      <c r="E115" s="544">
        <f t="shared" si="32"/>
        <v>98</v>
      </c>
      <c r="F115" s="544">
        <f t="shared" si="32"/>
        <v>97</v>
      </c>
      <c r="G115" s="544">
        <f t="shared" si="32"/>
        <v>96</v>
      </c>
      <c r="H115" s="544">
        <f t="shared" si="32"/>
        <v>95</v>
      </c>
      <c r="I115" s="544">
        <f t="shared" si="32"/>
        <v>94</v>
      </c>
      <c r="J115" s="544">
        <f t="shared" si="32"/>
        <v>93</v>
      </c>
      <c r="K115" s="544">
        <f t="shared" si="32"/>
        <v>92</v>
      </c>
      <c r="L115" s="544">
        <f t="shared" si="32"/>
        <v>91</v>
      </c>
      <c r="M115" s="544">
        <f t="shared" si="32"/>
        <v>90</v>
      </c>
      <c r="N115" s="1153"/>
      <c r="O115" s="1153"/>
      <c r="P115" s="2628"/>
      <c r="Q115" s="504"/>
    </row>
    <row r="116" spans="1:17" ht="15" thickTop="1">
      <c r="A116" s="599"/>
      <c r="B116" s="538" t="s">
        <v>2616</v>
      </c>
      <c r="C116" s="2958" t="s">
        <v>3204</v>
      </c>
      <c r="D116" s="2958" t="s">
        <v>3205</v>
      </c>
      <c r="E116" s="2958" t="s">
        <v>3207</v>
      </c>
      <c r="F116" s="2958" t="s">
        <v>3208</v>
      </c>
      <c r="G116" s="2958" t="s">
        <v>3209</v>
      </c>
      <c r="H116" s="583"/>
      <c r="I116" s="583"/>
      <c r="J116" s="583"/>
      <c r="K116" s="584"/>
      <c r="L116" s="585"/>
      <c r="M116" s="586"/>
      <c r="N116" s="1152"/>
      <c r="O116" s="1152"/>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8"/>
      <c r="Q117" s="504"/>
    </row>
    <row r="118" spans="1:17" ht="15" thickTop="1">
      <c r="A118" s="599"/>
      <c r="B118" s="538" t="s">
        <v>2617</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3"/>
      <c r="O119" s="1153"/>
      <c r="P119" s="2628"/>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2618</v>
      </c>
      <c r="C122" s="2958" t="s">
        <v>3199</v>
      </c>
      <c r="D122" s="2958" t="s">
        <v>3201</v>
      </c>
      <c r="E122" s="2958" t="s">
        <v>3202</v>
      </c>
      <c r="F122" s="2959" t="s">
        <v>3203</v>
      </c>
      <c r="G122" s="583"/>
      <c r="H122" s="583"/>
      <c r="I122" s="583"/>
      <c r="J122" s="583"/>
      <c r="K122" s="584"/>
      <c r="L122" s="585"/>
      <c r="M122" s="586"/>
      <c r="N122" s="1152"/>
      <c r="O122" s="1152"/>
      <c r="P122" s="2628"/>
      <c r="Q122" s="504"/>
    </row>
    <row r="123" spans="1:17" ht="15.75" thickBot="1">
      <c r="A123" s="534"/>
      <c r="B123" s="543"/>
      <c r="C123" s="544">
        <v>100</v>
      </c>
      <c r="D123" s="544">
        <f t="shared" ref="D123:M123" si="34">C123-$K42</f>
        <v>95</v>
      </c>
      <c r="E123" s="544">
        <f t="shared" si="34"/>
        <v>90</v>
      </c>
      <c r="F123" s="544">
        <f t="shared" si="34"/>
        <v>85</v>
      </c>
      <c r="G123" s="544">
        <f t="shared" si="34"/>
        <v>80</v>
      </c>
      <c r="H123" s="544">
        <f t="shared" si="34"/>
        <v>75</v>
      </c>
      <c r="I123" s="544">
        <f t="shared" si="34"/>
        <v>70</v>
      </c>
      <c r="J123" s="544">
        <f t="shared" si="34"/>
        <v>65</v>
      </c>
      <c r="K123" s="544">
        <f t="shared" si="34"/>
        <v>60</v>
      </c>
      <c r="L123" s="544">
        <f t="shared" si="34"/>
        <v>55</v>
      </c>
      <c r="M123" s="544">
        <f t="shared" si="34"/>
        <v>50</v>
      </c>
      <c r="N123" s="1153"/>
      <c r="O123" s="1153"/>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4">
        <v>6</v>
      </c>
      <c r="C139" s="1085">
        <v>96</v>
      </c>
      <c r="D139" s="2646" t="s">
        <v>2629</v>
      </c>
      <c r="E139" s="1086">
        <v>100</v>
      </c>
      <c r="F139" s="1087">
        <v>102.5</v>
      </c>
      <c r="G139" s="2646" t="s">
        <v>2629</v>
      </c>
      <c r="H139" s="1088">
        <v>105</v>
      </c>
      <c r="I139" s="2647" t="s">
        <v>2630</v>
      </c>
      <c r="J139" s="1085">
        <v>20</v>
      </c>
      <c r="K139" s="1089">
        <f>C145/(J139-2)</f>
        <v>4.0555555555555553E-3</v>
      </c>
    </row>
    <row r="140" spans="1:17" ht="15">
      <c r="B140" s="1090">
        <v>5</v>
      </c>
      <c r="C140" s="1091">
        <v>100</v>
      </c>
      <c r="D140" s="1091"/>
      <c r="E140" s="1092"/>
      <c r="F140" s="1093">
        <v>102</v>
      </c>
      <c r="G140" s="1091"/>
      <c r="H140" s="1094"/>
      <c r="I140" s="2648" t="s">
        <v>2631</v>
      </c>
      <c r="J140" s="315">
        <f>ROUNDUP((J139-1)/2,0)</f>
        <v>10</v>
      </c>
      <c r="K140" s="1095">
        <v>100</v>
      </c>
    </row>
    <row r="141" spans="1:17" ht="15">
      <c r="B141" s="1090">
        <v>4</v>
      </c>
      <c r="C141" s="1091">
        <v>102</v>
      </c>
      <c r="D141" s="1091"/>
      <c r="E141" s="1092"/>
      <c r="F141" s="1093">
        <v>101.5</v>
      </c>
      <c r="G141" s="1091"/>
      <c r="H141" s="1094"/>
      <c r="I141" s="2648" t="s">
        <v>2632</v>
      </c>
      <c r="J141" s="315">
        <v>1</v>
      </c>
      <c r="K141" s="1096">
        <f>ROUND(100+(J141-J140)*K139*100,1)</f>
        <v>96.4</v>
      </c>
    </row>
    <row r="142" spans="1:17" ht="15">
      <c r="B142" s="1090">
        <v>3</v>
      </c>
      <c r="C142" s="1091">
        <v>103</v>
      </c>
      <c r="D142" s="1091"/>
      <c r="E142" s="1092"/>
      <c r="F142" s="1093">
        <v>101</v>
      </c>
      <c r="G142" s="1091"/>
      <c r="H142" s="1094"/>
      <c r="I142" s="2648" t="s">
        <v>2633</v>
      </c>
      <c r="J142" s="315">
        <f>J139</f>
        <v>20</v>
      </c>
      <c r="K142" s="1097">
        <v>95</v>
      </c>
    </row>
    <row r="143" spans="1:17" ht="15">
      <c r="B143" s="1090">
        <v>2</v>
      </c>
      <c r="C143" s="1091">
        <v>100</v>
      </c>
      <c r="D143" s="1091"/>
      <c r="E143" s="1092"/>
      <c r="F143" s="1093">
        <v>100.5</v>
      </c>
      <c r="G143" s="1091"/>
      <c r="H143" s="1094"/>
      <c r="I143" s="2648" t="s">
        <v>2634</v>
      </c>
      <c r="J143" s="1091">
        <v>15</v>
      </c>
      <c r="K143" s="1096">
        <f>ROUND(100+(J143-J140)*K139*100,1)</f>
        <v>102</v>
      </c>
    </row>
    <row r="144" spans="1:17" ht="15">
      <c r="B144" s="1090">
        <v>1</v>
      </c>
      <c r="C144" s="1091">
        <v>98</v>
      </c>
      <c r="D144" s="2649" t="s">
        <v>2635</v>
      </c>
      <c r="E144" s="1092">
        <v>102</v>
      </c>
      <c r="F144" s="1098">
        <v>100</v>
      </c>
      <c r="G144" s="2649" t="s">
        <v>2635</v>
      </c>
      <c r="H144" s="1094">
        <v>105</v>
      </c>
      <c r="I144" s="2648" t="s">
        <v>2634</v>
      </c>
      <c r="J144" s="1091">
        <v>18</v>
      </c>
      <c r="K144" s="1096">
        <f>ROUND(100+(J144-J140)*K139*100,1)</f>
        <v>103.2</v>
      </c>
    </row>
    <row r="145" spans="2:11" ht="15.75" thickBot="1">
      <c r="B145" s="2650" t="s">
        <v>2636</v>
      </c>
      <c r="C145" s="1099">
        <f>ROUND(MAX(C139:C144)/MIN(C139:C144)-1,3)</f>
        <v>7.2999999999999995E-2</v>
      </c>
      <c r="D145" s="1100"/>
      <c r="E145" s="1100"/>
      <c r="F145" s="2651" t="s">
        <v>2637</v>
      </c>
      <c r="G145" s="2652"/>
      <c r="H145" s="2653"/>
      <c r="I145" s="2654" t="s">
        <v>2634</v>
      </c>
      <c r="J145" s="1101">
        <v>8</v>
      </c>
      <c r="K145" s="1102">
        <f>ROUND(100+(J145-J140)*K139*100,1)</f>
        <v>99.2</v>
      </c>
    </row>
    <row r="147" spans="2:11">
      <c r="B147" s="2635" t="s">
        <v>2638</v>
      </c>
    </row>
    <row r="148" spans="2:11">
      <c r="B148" s="2635"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3" t="s">
        <v>2640</v>
      </c>
      <c r="C1" s="1634" t="s">
        <v>2528</v>
      </c>
      <c r="D1" s="1621"/>
      <c r="E1" s="2655"/>
      <c r="F1" s="2585"/>
      <c r="G1" s="1631" t="s">
        <v>2641</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2325</v>
      </c>
      <c r="B2" s="1418" t="e">
        <f ca="1">IF(C2="——",ROUND(C49*D3/10000,0),ROUND(C49*D3/10000,0)-D2)</f>
        <v>#DIV/0!</v>
      </c>
      <c r="C2" s="2587"/>
      <c r="D2" s="1365" t="e">
        <f ca="1">SUMIF(INDIRECT("'"&amp;F2&amp;"'"&amp;"!A:A"),"承租人权益价值",INDIRECT("'"&amp;F2&amp;"'"&amp;"!c:c"))</f>
        <v>#REF!</v>
      </c>
      <c r="E2" s="2588" t="s">
        <v>2326</v>
      </c>
      <c r="F2" s="2589"/>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2327</v>
      </c>
      <c r="B3" s="609" t="e">
        <f ca="1">IF(C2="——",C49,ROUND(B2*10000/D3,0))</f>
        <v>#DIV/0!</v>
      </c>
      <c r="C3" s="400" t="s">
        <v>2642</v>
      </c>
      <c r="D3" s="399">
        <f>IF(D1="",'数据-汇总表'!E3,SUMIF('数据-汇总表'!$C19:$C33,D1,'数据-汇总表'!$E19:$E33))</f>
        <v>4106</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2643</v>
      </c>
      <c r="B4" s="402"/>
      <c r="C4" s="3200" t="s">
        <v>2644</v>
      </c>
      <c r="D4" s="3201"/>
      <c r="E4" s="3202" t="s">
        <v>2645</v>
      </c>
      <c r="F4" s="3203"/>
      <c r="G4" s="3200" t="s">
        <v>2646</v>
      </c>
      <c r="H4" s="3201"/>
      <c r="I4" s="3200" t="s">
        <v>2647</v>
      </c>
      <c r="J4" s="3201"/>
      <c r="K4" s="610" t="s">
        <v>2648</v>
      </c>
      <c r="L4" s="1130"/>
      <c r="M4" s="1131"/>
      <c r="N4" s="1131"/>
      <c r="O4" s="1131"/>
      <c r="P4" s="3204" t="s">
        <v>2649</v>
      </c>
      <c r="Q4" s="3205"/>
      <c r="R4" s="3187" t="s">
        <v>2645</v>
      </c>
      <c r="S4" s="3188"/>
      <c r="T4" s="3187" t="s">
        <v>2646</v>
      </c>
      <c r="U4" s="3188"/>
      <c r="V4" s="3212" t="s">
        <v>2647</v>
      </c>
      <c r="W4" s="3212"/>
      <c r="X4" s="1813"/>
      <c r="Y4" s="3187" t="s">
        <v>2649</v>
      </c>
      <c r="Z4" s="3188"/>
      <c r="AA4" s="3182" t="s">
        <v>2645</v>
      </c>
      <c r="AB4" s="3212" t="s">
        <v>2646</v>
      </c>
      <c r="AC4" s="3182" t="s">
        <v>2647</v>
      </c>
    </row>
    <row r="5" spans="1:29" ht="15">
      <c r="A5" s="404"/>
      <c r="B5" s="405"/>
      <c r="C5" s="3229" t="s">
        <v>2540</v>
      </c>
      <c r="D5" s="3194"/>
      <c r="E5" s="3228" t="s">
        <v>2541</v>
      </c>
      <c r="F5" s="3192"/>
      <c r="G5" s="3229" t="s">
        <v>2542</v>
      </c>
      <c r="H5" s="3194"/>
      <c r="I5" s="3229" t="s">
        <v>2543</v>
      </c>
      <c r="J5" s="3194"/>
      <c r="K5" s="610"/>
      <c r="L5" s="1130"/>
      <c r="M5" s="1131"/>
      <c r="N5" s="1131"/>
      <c r="O5" s="1131"/>
      <c r="P5" s="3206"/>
      <c r="Q5" s="3207"/>
      <c r="R5" s="3189"/>
      <c r="S5" s="3190"/>
      <c r="T5" s="3189"/>
      <c r="U5" s="3190"/>
      <c r="V5" s="3212"/>
      <c r="W5" s="3212"/>
      <c r="X5" s="1813"/>
      <c r="Y5" s="3189"/>
      <c r="Z5" s="3190"/>
      <c r="AA5" s="3183"/>
      <c r="AB5" s="3212"/>
      <c r="AC5" s="3183"/>
    </row>
    <row r="6" spans="1:29" ht="15.75" thickBot="1">
      <c r="A6" s="406"/>
      <c r="B6" s="407"/>
      <c r="C6" s="3195" t="s">
        <v>2544</v>
      </c>
      <c r="D6" s="3196"/>
      <c r="E6" s="3197" t="s">
        <v>2544</v>
      </c>
      <c r="F6" s="3198"/>
      <c r="G6" s="3195" t="s">
        <v>2544</v>
      </c>
      <c r="H6" s="3196"/>
      <c r="I6" s="3195" t="s">
        <v>2544</v>
      </c>
      <c r="J6" s="3196"/>
      <c r="K6" s="610" t="s">
        <v>2545</v>
      </c>
      <c r="L6" s="1130"/>
      <c r="M6" s="1131"/>
      <c r="N6" s="1131"/>
      <c r="O6" s="1131"/>
      <c r="P6" s="3208"/>
      <c r="Q6" s="3209"/>
      <c r="R6" s="3189"/>
      <c r="S6" s="3190"/>
      <c r="T6" s="3210"/>
      <c r="U6" s="3211"/>
      <c r="V6" s="3212"/>
      <c r="W6" s="3212"/>
      <c r="X6" s="1813"/>
      <c r="Y6" s="3210"/>
      <c r="Z6" s="3211"/>
      <c r="AA6" s="3184"/>
      <c r="AB6" s="3212"/>
      <c r="AC6" s="3184"/>
    </row>
    <row r="7" spans="1:29" s="117" customFormat="1" ht="15.75" thickBot="1">
      <c r="A7" s="408" t="s">
        <v>2546</v>
      </c>
      <c r="B7" s="409"/>
      <c r="C7" s="410">
        <f>'数据-取费表'!B2</f>
        <v>43601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5" t="s">
        <v>2547</v>
      </c>
      <c r="Q7" s="3213"/>
      <c r="R7" s="770" t="s">
        <v>17</v>
      </c>
      <c r="S7" s="771">
        <f t="shared" ref="S7:S15" si="0">F7</f>
        <v>0</v>
      </c>
      <c r="T7" s="770" t="s">
        <v>17</v>
      </c>
      <c r="U7" s="771">
        <f t="shared" ref="U7:U15" si="1">H7</f>
        <v>0</v>
      </c>
      <c r="V7" s="770" t="s">
        <v>17</v>
      </c>
      <c r="W7" s="771">
        <f t="shared" ref="W7:W15" si="2">J7</f>
        <v>0</v>
      </c>
      <c r="X7" s="772"/>
      <c r="Y7" s="3185" t="s">
        <v>2547</v>
      </c>
      <c r="Z7" s="3186"/>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5" t="s">
        <v>2550</v>
      </c>
      <c r="Q8" s="3186"/>
      <c r="R8" s="770" t="s">
        <v>17</v>
      </c>
      <c r="S8" s="771">
        <f t="shared" si="0"/>
        <v>0</v>
      </c>
      <c r="T8" s="770" t="s">
        <v>17</v>
      </c>
      <c r="U8" s="771">
        <f t="shared" si="1"/>
        <v>0</v>
      </c>
      <c r="V8" s="770" t="s">
        <v>17</v>
      </c>
      <c r="W8" s="771">
        <f t="shared" si="2"/>
        <v>0</v>
      </c>
      <c r="X8" s="772"/>
      <c r="Y8" s="3185" t="s">
        <v>2550</v>
      </c>
      <c r="Z8" s="3186"/>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9" t="s">
        <v>2553</v>
      </c>
      <c r="Q9" s="1795" t="str">
        <f t="shared" ref="Q9:Q15" si="6">B9</f>
        <v>用途</v>
      </c>
      <c r="R9" s="770" t="s">
        <v>17</v>
      </c>
      <c r="S9" s="771">
        <f t="shared" si="0"/>
        <v>100</v>
      </c>
      <c r="T9" s="770" t="s">
        <v>17</v>
      </c>
      <c r="U9" s="771">
        <f t="shared" si="1"/>
        <v>100</v>
      </c>
      <c r="V9" s="770" t="s">
        <v>17</v>
      </c>
      <c r="W9" s="771">
        <f t="shared" si="2"/>
        <v>100</v>
      </c>
      <c r="X9" s="772"/>
      <c r="Y9" s="303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9"/>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9"/>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9"/>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9"/>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9"/>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6" t="s">
        <v>2558</v>
      </c>
      <c r="Q15" s="1810" t="str">
        <f t="shared" si="6"/>
        <v>商业繁华度</v>
      </c>
      <c r="R15" s="774" t="s">
        <v>17</v>
      </c>
      <c r="S15" s="775">
        <f t="shared" si="0"/>
        <v>100</v>
      </c>
      <c r="T15" s="774" t="s">
        <v>17</v>
      </c>
      <c r="U15" s="775">
        <f t="shared" si="1"/>
        <v>100</v>
      </c>
      <c r="V15" s="774" t="s">
        <v>17</v>
      </c>
      <c r="W15" s="775">
        <f t="shared" si="2"/>
        <v>100</v>
      </c>
      <c r="X15" s="1813"/>
      <c r="Y15" s="3219"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7"/>
      <c r="Q16" s="1810"/>
      <c r="R16" s="774"/>
      <c r="S16" s="775"/>
      <c r="T16" s="774"/>
      <c r="U16" s="775"/>
      <c r="V16" s="774"/>
      <c r="W16" s="775"/>
      <c r="X16" s="1813"/>
      <c r="Y16" s="3220"/>
      <c r="Z16" s="1814"/>
      <c r="AA16" s="1811">
        <v>1</v>
      </c>
      <c r="AB16" s="1811">
        <v>1</v>
      </c>
      <c r="AC16" s="1811">
        <v>1</v>
      </c>
    </row>
    <row r="17" spans="1:29" ht="114">
      <c r="A17" s="428"/>
      <c r="B17" s="451" t="s">
        <v>2095</v>
      </c>
      <c r="C17" s="2607" t="str">
        <f>估价对象房地状况!C6</f>
        <v>估价对象周边道路状况一般、公共交通通达情况较好（公交车通达度较好）、停车便捷程度一般，综合评价交通便捷度较好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7"/>
      <c r="Q17" s="1810" t="str">
        <f>B17</f>
        <v>交通便捷度</v>
      </c>
      <c r="R17" s="774" t="s">
        <v>17</v>
      </c>
      <c r="S17" s="775">
        <f>F17</f>
        <v>100</v>
      </c>
      <c r="T17" s="774" t="s">
        <v>17</v>
      </c>
      <c r="U17" s="775">
        <f>H17</f>
        <v>100</v>
      </c>
      <c r="V17" s="774" t="s">
        <v>17</v>
      </c>
      <c r="W17" s="775">
        <f>J17</f>
        <v>100</v>
      </c>
      <c r="X17" s="1813"/>
      <c r="Y17" s="3220"/>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27"/>
      <c r="Q18" s="1810"/>
      <c r="R18" s="774"/>
      <c r="S18" s="775"/>
      <c r="T18" s="774"/>
      <c r="U18" s="775"/>
      <c r="V18" s="774"/>
      <c r="W18" s="775"/>
      <c r="X18" s="1813"/>
      <c r="Y18" s="3220"/>
      <c r="Z18" s="1814"/>
      <c r="AA18" s="1811">
        <v>1</v>
      </c>
      <c r="AB18" s="1811">
        <v>1</v>
      </c>
      <c r="AC18" s="1811">
        <v>1</v>
      </c>
    </row>
    <row r="19" spans="1:29" ht="42.75">
      <c r="A19" s="428"/>
      <c r="B19" s="451" t="s">
        <v>2652</v>
      </c>
      <c r="C19" s="2607" t="str">
        <f>估价对象房地状况!C7</f>
        <v>估价对象所在区域公共配套设施较齐备</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7"/>
      <c r="Q19" s="1810" t="str">
        <f>B19</f>
        <v>公共配套设施</v>
      </c>
      <c r="R19" s="774" t="s">
        <v>17</v>
      </c>
      <c r="S19" s="775">
        <f>F19</f>
        <v>100</v>
      </c>
      <c r="T19" s="774" t="s">
        <v>17</v>
      </c>
      <c r="U19" s="775">
        <f>H19</f>
        <v>100</v>
      </c>
      <c r="V19" s="774" t="s">
        <v>17</v>
      </c>
      <c r="W19" s="775">
        <f>J19</f>
        <v>100</v>
      </c>
      <c r="X19" s="1813"/>
      <c r="Y19" s="3220"/>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27"/>
      <c r="Q20" s="1810"/>
      <c r="R20" s="774"/>
      <c r="S20" s="775"/>
      <c r="T20" s="774"/>
      <c r="U20" s="775"/>
      <c r="V20" s="774"/>
      <c r="W20" s="775"/>
      <c r="X20" s="1813"/>
      <c r="Y20" s="3220"/>
      <c r="Z20" s="1814"/>
      <c r="AA20" s="1811">
        <v>1</v>
      </c>
      <c r="AB20" s="1811">
        <v>1</v>
      </c>
      <c r="AC20" s="1811">
        <v>1</v>
      </c>
    </row>
    <row r="21" spans="1:29" ht="42.75">
      <c r="A21" s="428"/>
      <c r="B21" s="1384" t="s">
        <v>2653</v>
      </c>
      <c r="C21" s="2607" t="str">
        <f>估价对象房地状况!C8</f>
        <v>估价对象所在区域基础设施水平为六通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7"/>
      <c r="Q21" s="1810" t="str">
        <f>B21</f>
        <v>基础设施水平</v>
      </c>
      <c r="R21" s="774" t="s">
        <v>17</v>
      </c>
      <c r="S21" s="775">
        <f>F21</f>
        <v>100</v>
      </c>
      <c r="T21" s="774" t="s">
        <v>17</v>
      </c>
      <c r="U21" s="775">
        <f>H21</f>
        <v>100</v>
      </c>
      <c r="V21" s="774" t="s">
        <v>17</v>
      </c>
      <c r="W21" s="775">
        <f>J21</f>
        <v>100</v>
      </c>
      <c r="X21" s="1813"/>
      <c r="Y21" s="3220"/>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27"/>
      <c r="Q22" s="1810"/>
      <c r="R22" s="774"/>
      <c r="S22" s="775"/>
      <c r="T22" s="774"/>
      <c r="U22" s="775"/>
      <c r="V22" s="774"/>
      <c r="W22" s="775"/>
      <c r="X22" s="1813"/>
      <c r="Y22" s="3220"/>
      <c r="Z22" s="1814"/>
      <c r="AA22" s="1811">
        <v>1</v>
      </c>
      <c r="AB22" s="1811">
        <v>1</v>
      </c>
      <c r="AC22" s="1811">
        <v>1</v>
      </c>
    </row>
    <row r="23" spans="1:29" ht="71.25">
      <c r="A23" s="428"/>
      <c r="B23" s="451" t="s">
        <v>2100</v>
      </c>
      <c r="C23" s="2662" t="str">
        <f>估价对象房地状况!C9</f>
        <v>区域自然环境：周边有渭清公园；人文环境一般；综合评价环境状况一般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7"/>
      <c r="Q23" s="1810" t="str">
        <f>B23</f>
        <v>自然及人文环境</v>
      </c>
      <c r="R23" s="774" t="s">
        <v>17</v>
      </c>
      <c r="S23" s="775">
        <f>F23</f>
        <v>100</v>
      </c>
      <c r="T23" s="774" t="s">
        <v>17</v>
      </c>
      <c r="U23" s="775">
        <f>H23</f>
        <v>100</v>
      </c>
      <c r="V23" s="774" t="s">
        <v>17</v>
      </c>
      <c r="W23" s="775">
        <f>J23</f>
        <v>100</v>
      </c>
      <c r="X23" s="1813"/>
      <c r="Y23" s="3220"/>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27"/>
      <c r="Q24" s="1810"/>
      <c r="R24" s="774"/>
      <c r="S24" s="775"/>
      <c r="T24" s="774"/>
      <c r="U24" s="775"/>
      <c r="V24" s="774"/>
      <c r="W24" s="775"/>
      <c r="X24" s="1813"/>
      <c r="Y24" s="3220"/>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7"/>
      <c r="Q25" s="1810" t="str">
        <f t="shared" ref="Q25:Q46" si="11">B25</f>
        <v>临街状况</v>
      </c>
      <c r="R25" s="774" t="s">
        <v>17</v>
      </c>
      <c r="S25" s="775">
        <f>F25</f>
        <v>100</v>
      </c>
      <c r="T25" s="774" t="s">
        <v>17</v>
      </c>
      <c r="U25" s="775">
        <f>H25</f>
        <v>100</v>
      </c>
      <c r="V25" s="774" t="s">
        <v>17</v>
      </c>
      <c r="W25" s="775">
        <f>J25</f>
        <v>100</v>
      </c>
      <c r="X25" s="1813"/>
      <c r="Y25" s="3220"/>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7"/>
      <c r="Q26" s="1810" t="str">
        <f t="shared" si="11"/>
        <v>平面位置/可视性</v>
      </c>
      <c r="R26" s="774" t="s">
        <v>17</v>
      </c>
      <c r="S26" s="775">
        <f>F26</f>
        <v>100</v>
      </c>
      <c r="T26" s="774" t="s">
        <v>17</v>
      </c>
      <c r="U26" s="775">
        <f>H26</f>
        <v>100</v>
      </c>
      <c r="V26" s="774" t="s">
        <v>17</v>
      </c>
      <c r="W26" s="775">
        <f>J26</f>
        <v>100</v>
      </c>
      <c r="X26" s="1813"/>
      <c r="Y26" s="3220"/>
      <c r="Z26" s="1814" t="str">
        <f>Q26</f>
        <v>平面位置/可视性</v>
      </c>
      <c r="AA26" s="1811">
        <f t="shared" si="3"/>
        <v>1</v>
      </c>
      <c r="AB26" s="1811">
        <f t="shared" si="4"/>
        <v>1</v>
      </c>
      <c r="AC26" s="1811">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27"/>
      <c r="Q27" s="1795" t="str">
        <f t="shared" si="11"/>
        <v>人流量</v>
      </c>
      <c r="R27" s="770" t="s">
        <v>17</v>
      </c>
      <c r="S27" s="771">
        <f>F27</f>
        <v>100</v>
      </c>
      <c r="T27" s="770" t="s">
        <v>17</v>
      </c>
      <c r="U27" s="771">
        <f>H27</f>
        <v>100</v>
      </c>
      <c r="V27" s="770" t="s">
        <v>17</v>
      </c>
      <c r="W27" s="771">
        <f>J27</f>
        <v>100</v>
      </c>
      <c r="X27" s="772"/>
      <c r="Y27" s="3220"/>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2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7"/>
      <c r="Q29" s="1810">
        <f t="shared" si="11"/>
        <v>111</v>
      </c>
      <c r="R29" s="774" t="s">
        <v>17</v>
      </c>
      <c r="S29" s="775">
        <f t="shared" si="12"/>
        <v>100</v>
      </c>
      <c r="T29" s="774" t="s">
        <v>17</v>
      </c>
      <c r="U29" s="775">
        <f t="shared" si="13"/>
        <v>100</v>
      </c>
      <c r="V29" s="774" t="s">
        <v>17</v>
      </c>
      <c r="W29" s="775">
        <f t="shared" si="14"/>
        <v>100</v>
      </c>
      <c r="X29" s="1813"/>
      <c r="Y29" s="322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7"/>
      <c r="Q30" s="1810">
        <f t="shared" si="11"/>
        <v>111</v>
      </c>
      <c r="R30" s="774" t="s">
        <v>17</v>
      </c>
      <c r="S30" s="775">
        <f t="shared" si="12"/>
        <v>100</v>
      </c>
      <c r="T30" s="774" t="s">
        <v>17</v>
      </c>
      <c r="U30" s="775">
        <f t="shared" si="13"/>
        <v>100</v>
      </c>
      <c r="V30" s="774" t="s">
        <v>17</v>
      </c>
      <c r="W30" s="775">
        <f t="shared" si="14"/>
        <v>100</v>
      </c>
      <c r="X30" s="1813"/>
      <c r="Y30" s="3220"/>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7"/>
      <c r="Q31" s="1810">
        <f t="shared" si="11"/>
        <v>111</v>
      </c>
      <c r="R31" s="774" t="s">
        <v>17</v>
      </c>
      <c r="S31" s="775">
        <f t="shared" si="12"/>
        <v>100</v>
      </c>
      <c r="T31" s="774" t="s">
        <v>17</v>
      </c>
      <c r="U31" s="775">
        <f t="shared" si="13"/>
        <v>100</v>
      </c>
      <c r="V31" s="774" t="s">
        <v>17</v>
      </c>
      <c r="W31" s="775">
        <f t="shared" si="14"/>
        <v>100</v>
      </c>
      <c r="X31" s="1813"/>
      <c r="Y31" s="3220"/>
      <c r="Z31" s="1814">
        <f t="shared" si="15"/>
        <v>111</v>
      </c>
      <c r="AA31" s="1811">
        <f t="shared" si="3"/>
        <v>1</v>
      </c>
      <c r="AB31" s="1811">
        <f t="shared" si="4"/>
        <v>1</v>
      </c>
      <c r="AC31" s="1811">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21" t="s">
        <v>2563</v>
      </c>
      <c r="Q32" s="1810" t="str">
        <f t="shared" si="11"/>
        <v>商业类型</v>
      </c>
      <c r="R32" s="774" t="s">
        <v>17</v>
      </c>
      <c r="S32" s="775">
        <f t="shared" si="12"/>
        <v>100</v>
      </c>
      <c r="T32" s="774" t="s">
        <v>17</v>
      </c>
      <c r="U32" s="775">
        <f t="shared" si="13"/>
        <v>100</v>
      </c>
      <c r="V32" s="774" t="s">
        <v>17</v>
      </c>
      <c r="W32" s="775">
        <f t="shared" si="14"/>
        <v>100</v>
      </c>
      <c r="X32" s="1813"/>
      <c r="Y32" s="3224"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2"/>
      <c r="Q33" s="776" t="str">
        <f t="shared" si="11"/>
        <v>项目建筑规模</v>
      </c>
      <c r="R33" s="777" t="s">
        <v>17</v>
      </c>
      <c r="S33" s="778" t="e">
        <f t="shared" si="12"/>
        <v>#N/A</v>
      </c>
      <c r="T33" s="777" t="s">
        <v>17</v>
      </c>
      <c r="U33" s="778" t="e">
        <f t="shared" si="13"/>
        <v>#N/A</v>
      </c>
      <c r="V33" s="777" t="s">
        <v>17</v>
      </c>
      <c r="W33" s="778" t="e">
        <f t="shared" si="14"/>
        <v>#N/A</v>
      </c>
      <c r="X33" s="779"/>
      <c r="Y33" s="3224"/>
      <c r="Z33" s="780" t="str">
        <f t="shared" si="15"/>
        <v>项目建筑规模</v>
      </c>
      <c r="AA33" s="1811" t="e">
        <f t="shared" si="3"/>
        <v>#N/A</v>
      </c>
      <c r="AB33" s="1811" t="e">
        <f t="shared" si="4"/>
        <v>#N/A</v>
      </c>
      <c r="AC33" s="1811" t="e">
        <f t="shared" si="5"/>
        <v>#N/A</v>
      </c>
    </row>
    <row r="34" spans="1:29" ht="15">
      <c r="A34" s="472"/>
      <c r="B34" s="422" t="s">
        <v>2565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22"/>
      <c r="Q34" s="1810" t="str">
        <f t="shared" si="11"/>
        <v>建筑结构</v>
      </c>
      <c r="R34" s="774" t="s">
        <v>17</v>
      </c>
      <c r="S34" s="775">
        <f t="shared" si="12"/>
        <v>100</v>
      </c>
      <c r="T34" s="774" t="s">
        <v>17</v>
      </c>
      <c r="U34" s="775">
        <f t="shared" si="13"/>
        <v>100</v>
      </c>
      <c r="V34" s="774" t="s">
        <v>17</v>
      </c>
      <c r="W34" s="775">
        <f t="shared" si="14"/>
        <v>100</v>
      </c>
      <c r="X34" s="1813"/>
      <c r="Y34" s="3224"/>
      <c r="Z34" s="1814" t="str">
        <f t="shared" si="15"/>
        <v>建筑结构</v>
      </c>
      <c r="AA34" s="1811">
        <f t="shared" si="3"/>
        <v>1</v>
      </c>
      <c r="AB34" s="1811">
        <f t="shared" si="4"/>
        <v>1</v>
      </c>
      <c r="AC34" s="1811">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22"/>
      <c r="Q35" s="1810" t="str">
        <f t="shared" si="11"/>
        <v>公共部分装修</v>
      </c>
      <c r="R35" s="774" t="s">
        <v>17</v>
      </c>
      <c r="S35" s="775">
        <f t="shared" si="12"/>
        <v>100</v>
      </c>
      <c r="T35" s="774" t="s">
        <v>17</v>
      </c>
      <c r="U35" s="775">
        <f t="shared" si="13"/>
        <v>100</v>
      </c>
      <c r="V35" s="774" t="s">
        <v>17</v>
      </c>
      <c r="W35" s="775">
        <f t="shared" si="14"/>
        <v>100</v>
      </c>
      <c r="X35" s="1813"/>
      <c r="Y35" s="3224"/>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2"/>
      <c r="Q36" s="1810" t="str">
        <f t="shared" si="11"/>
        <v>成新度</v>
      </c>
      <c r="R36" s="774" t="s">
        <v>17</v>
      </c>
      <c r="S36" s="775" t="e">
        <f t="shared" si="12"/>
        <v>#N/A</v>
      </c>
      <c r="T36" s="774" t="s">
        <v>17</v>
      </c>
      <c r="U36" s="775" t="e">
        <f t="shared" si="13"/>
        <v>#N/A</v>
      </c>
      <c r="V36" s="774" t="s">
        <v>17</v>
      </c>
      <c r="W36" s="775" t="e">
        <f t="shared" si="14"/>
        <v>#N/A</v>
      </c>
      <c r="X36" s="1813"/>
      <c r="Y36" s="3224"/>
      <c r="Z36" s="1814" t="str">
        <f t="shared" si="15"/>
        <v>成新度</v>
      </c>
      <c r="AA36" s="1811" t="e">
        <f t="shared" si="3"/>
        <v>#N/A</v>
      </c>
      <c r="AB36" s="1811" t="e">
        <f t="shared" si="4"/>
        <v>#N/A</v>
      </c>
      <c r="AC36" s="1811"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22"/>
      <c r="Q37" s="1795" t="str">
        <f t="shared" si="11"/>
        <v>市政基础设施</v>
      </c>
      <c r="R37" s="770" t="s">
        <v>17</v>
      </c>
      <c r="S37" s="771">
        <f t="shared" si="12"/>
        <v>100</v>
      </c>
      <c r="T37" s="770" t="s">
        <v>17</v>
      </c>
      <c r="U37" s="771">
        <f t="shared" si="13"/>
        <v>100</v>
      </c>
      <c r="V37" s="770" t="s">
        <v>17</v>
      </c>
      <c r="W37" s="771">
        <f t="shared" si="14"/>
        <v>100</v>
      </c>
      <c r="X37" s="772"/>
      <c r="Y37" s="3224"/>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22" t="s">
        <v>2563</v>
      </c>
      <c r="Q38" s="1810" t="str">
        <f t="shared" si="11"/>
        <v>业态</v>
      </c>
      <c r="R38" s="774" t="s">
        <v>17</v>
      </c>
      <c r="S38" s="775">
        <f t="shared" si="12"/>
        <v>100</v>
      </c>
      <c r="T38" s="774" t="s">
        <v>17</v>
      </c>
      <c r="U38" s="775">
        <f t="shared" si="13"/>
        <v>100</v>
      </c>
      <c r="V38" s="774" t="s">
        <v>17</v>
      </c>
      <c r="W38" s="775">
        <f t="shared" si="14"/>
        <v>100</v>
      </c>
      <c r="X38" s="1813"/>
      <c r="Y38" s="3224" t="s">
        <v>2563</v>
      </c>
      <c r="Z38" s="1814" t="str">
        <f t="shared" si="15"/>
        <v>业态</v>
      </c>
      <c r="AA38" s="1811">
        <f t="shared" si="3"/>
        <v>1</v>
      </c>
      <c r="AB38" s="1811">
        <f t="shared" si="4"/>
        <v>1</v>
      </c>
      <c r="AC38" s="1811">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22"/>
      <c r="Q39" s="1810" t="str">
        <f t="shared" si="11"/>
        <v>层高</v>
      </c>
      <c r="R39" s="774" t="s">
        <v>17</v>
      </c>
      <c r="S39" s="775">
        <f t="shared" si="12"/>
        <v>100</v>
      </c>
      <c r="T39" s="774" t="s">
        <v>17</v>
      </c>
      <c r="U39" s="775">
        <f t="shared" si="13"/>
        <v>100</v>
      </c>
      <c r="V39" s="774" t="s">
        <v>17</v>
      </c>
      <c r="W39" s="775">
        <f t="shared" si="14"/>
        <v>100</v>
      </c>
      <c r="X39" s="1813"/>
      <c r="Y39" s="3224"/>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2"/>
      <c r="Q40" s="1810" t="str">
        <f t="shared" si="11"/>
        <v>单套建筑面积</v>
      </c>
      <c r="R40" s="774" t="s">
        <v>17</v>
      </c>
      <c r="S40" s="775">
        <f t="shared" si="12"/>
        <v>100</v>
      </c>
      <c r="T40" s="774" t="s">
        <v>17</v>
      </c>
      <c r="U40" s="775">
        <f t="shared" si="13"/>
        <v>100</v>
      </c>
      <c r="V40" s="774" t="s">
        <v>17</v>
      </c>
      <c r="W40" s="775">
        <f t="shared" si="14"/>
        <v>100</v>
      </c>
      <c r="X40" s="1813"/>
      <c r="Y40" s="3224"/>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2"/>
      <c r="Q41" s="776" t="str">
        <f t="shared" si="11"/>
        <v>进深比</v>
      </c>
      <c r="R41" s="777" t="s">
        <v>17</v>
      </c>
      <c r="S41" s="778">
        <f t="shared" si="12"/>
        <v>100</v>
      </c>
      <c r="T41" s="777" t="s">
        <v>17</v>
      </c>
      <c r="U41" s="778">
        <f t="shared" si="13"/>
        <v>100</v>
      </c>
      <c r="V41" s="777" t="s">
        <v>17</v>
      </c>
      <c r="W41" s="778">
        <f t="shared" si="14"/>
        <v>100</v>
      </c>
      <c r="X41" s="779"/>
      <c r="Y41" s="3224"/>
      <c r="Z41" s="780" t="str">
        <f t="shared" si="15"/>
        <v>进深比</v>
      </c>
      <c r="AA41" s="1811">
        <f t="shared" si="3"/>
        <v>1</v>
      </c>
      <c r="AB41" s="1811">
        <f t="shared" si="4"/>
        <v>1</v>
      </c>
      <c r="AC41" s="1811">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22"/>
      <c r="Q42" s="1810" t="str">
        <f t="shared" si="11"/>
        <v>内部装修</v>
      </c>
      <c r="R42" s="774" t="s">
        <v>17</v>
      </c>
      <c r="S42" s="775">
        <f t="shared" si="12"/>
        <v>100</v>
      </c>
      <c r="T42" s="774" t="s">
        <v>17</v>
      </c>
      <c r="U42" s="775">
        <f t="shared" si="13"/>
        <v>100</v>
      </c>
      <c r="V42" s="774" t="s">
        <v>17</v>
      </c>
      <c r="W42" s="775">
        <f t="shared" si="14"/>
        <v>100</v>
      </c>
      <c r="X42" s="1813"/>
      <c r="Y42" s="3224"/>
      <c r="Z42" s="1814" t="str">
        <f t="shared" si="15"/>
        <v>内部装修</v>
      </c>
      <c r="AA42" s="1811">
        <f t="shared" si="3"/>
        <v>1</v>
      </c>
      <c r="AB42" s="1811">
        <f t="shared" si="4"/>
        <v>1</v>
      </c>
      <c r="AC42" s="1811">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22"/>
      <c r="Q43" s="1810" t="str">
        <f t="shared" si="11"/>
        <v>内部装修维护情况</v>
      </c>
      <c r="R43" s="774" t="s">
        <v>17</v>
      </c>
      <c r="S43" s="775">
        <f t="shared" si="12"/>
        <v>100</v>
      </c>
      <c r="T43" s="774" t="s">
        <v>17</v>
      </c>
      <c r="U43" s="775">
        <f t="shared" si="13"/>
        <v>100</v>
      </c>
      <c r="V43" s="774" t="s">
        <v>17</v>
      </c>
      <c r="W43" s="775">
        <f t="shared" si="14"/>
        <v>100</v>
      </c>
      <c r="X43" s="1813"/>
      <c r="Y43" s="322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2"/>
      <c r="Q44" s="1795">
        <f t="shared" si="11"/>
        <v>111</v>
      </c>
      <c r="R44" s="770" t="s">
        <v>17</v>
      </c>
      <c r="S44" s="771">
        <f t="shared" si="12"/>
        <v>100</v>
      </c>
      <c r="T44" s="770" t="s">
        <v>17</v>
      </c>
      <c r="U44" s="771">
        <f t="shared" si="13"/>
        <v>100</v>
      </c>
      <c r="V44" s="770" t="s">
        <v>17</v>
      </c>
      <c r="W44" s="771">
        <f t="shared" si="14"/>
        <v>100</v>
      </c>
      <c r="X44" s="772"/>
      <c r="Y44" s="322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2"/>
      <c r="Q45" s="1810">
        <f t="shared" si="11"/>
        <v>111</v>
      </c>
      <c r="R45" s="774" t="s">
        <v>17</v>
      </c>
      <c r="S45" s="775">
        <f t="shared" si="12"/>
        <v>100</v>
      </c>
      <c r="T45" s="774" t="s">
        <v>17</v>
      </c>
      <c r="U45" s="775">
        <f t="shared" si="13"/>
        <v>100</v>
      </c>
      <c r="V45" s="774" t="s">
        <v>17</v>
      </c>
      <c r="W45" s="775">
        <f t="shared" si="14"/>
        <v>100</v>
      </c>
      <c r="X45" s="1813"/>
      <c r="Y45" s="3224"/>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3"/>
      <c r="Q46" s="1810">
        <f t="shared" si="11"/>
        <v>111</v>
      </c>
      <c r="R46" s="774" t="s">
        <v>17</v>
      </c>
      <c r="S46" s="775">
        <f t="shared" si="12"/>
        <v>100</v>
      </c>
      <c r="T46" s="774" t="s">
        <v>17</v>
      </c>
      <c r="U46" s="775">
        <f t="shared" si="13"/>
        <v>100</v>
      </c>
      <c r="V46" s="774" t="s">
        <v>17</v>
      </c>
      <c r="W46" s="775">
        <f t="shared" si="14"/>
        <v>100</v>
      </c>
      <c r="X46" s="1813"/>
      <c r="Y46" s="3225"/>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3"/>
      <c r="L47" s="1143"/>
      <c r="M47" s="1144"/>
      <c r="N47" s="1131"/>
      <c r="O47" s="1144"/>
      <c r="P47" s="3217" t="str">
        <f>A47</f>
        <v>成交单价（元/平方米）</v>
      </c>
      <c r="Q47" s="3217"/>
      <c r="R47" s="3212">
        <f>E47</f>
        <v>0</v>
      </c>
      <c r="S47" s="3212"/>
      <c r="T47" s="3212">
        <f>G47</f>
        <v>0</v>
      </c>
      <c r="U47" s="3212"/>
      <c r="V47" s="3212">
        <f>I47</f>
        <v>0</v>
      </c>
      <c r="W47" s="3212"/>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214" t="str">
        <f>A49</f>
        <v>估价对象XX用房的比较价值（楼面单价，元/平方米）</v>
      </c>
      <c r="Q49" s="3215"/>
      <c r="R49" s="3216" t="e">
        <f>IF(F1="售价",ROUND(AVERAGE(R48:V48),0),ROUND(AVERAGE(R48:V48),1))</f>
        <v>#DIV/0!</v>
      </c>
      <c r="S49" s="3216"/>
      <c r="T49" s="3216"/>
      <c r="U49" s="3216"/>
      <c r="V49" s="3216"/>
      <c r="W49" s="321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2546</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2548</v>
      </c>
      <c r="B61" s="510"/>
      <c r="C61" s="522" t="s">
        <v>2650</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2586</v>
      </c>
      <c r="B63" s="528" t="s">
        <v>2552</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2678</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2561</v>
      </c>
      <c r="B100" s="528" t="s">
        <v>2679</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2612</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2614</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2680</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2681</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2682</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2618</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2684</v>
      </c>
      <c r="C1" s="1620" t="s">
        <v>2528</v>
      </c>
      <c r="D1" s="1621"/>
      <c r="E1" s="1630"/>
      <c r="F1" s="2585"/>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87"/>
      <c r="D2" s="1365" t="e">
        <f ca="1">SUMIF(INDIRECT("'"&amp;F2&amp;"'"&amp;"!A:A"),"承租人权益价值",INDIRECT("'"&amp;F2&amp;"'"&amp;"!c:c"))</f>
        <v>#REF!</v>
      </c>
      <c r="E2" s="2588" t="s">
        <v>2326</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4106</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00" t="s">
        <v>2644</v>
      </c>
      <c r="D4" s="3201"/>
      <c r="E4" s="3202" t="s">
        <v>2645</v>
      </c>
      <c r="F4" s="3203"/>
      <c r="G4" s="3200" t="s">
        <v>2646</v>
      </c>
      <c r="H4" s="3201"/>
      <c r="I4" s="3200" t="s">
        <v>2647</v>
      </c>
      <c r="J4" s="3201"/>
      <c r="K4" s="610" t="s">
        <v>2648</v>
      </c>
      <c r="L4" s="1130"/>
      <c r="M4" s="1131"/>
      <c r="N4" s="1131"/>
      <c r="O4" s="1131"/>
      <c r="P4" s="3236" t="s">
        <v>2649</v>
      </c>
      <c r="Q4" s="3237"/>
      <c r="R4" s="3231" t="s">
        <v>2645</v>
      </c>
      <c r="S4" s="3232"/>
      <c r="T4" s="3231" t="s">
        <v>2646</v>
      </c>
      <c r="U4" s="3232"/>
      <c r="V4" s="3240" t="s">
        <v>2647</v>
      </c>
      <c r="W4" s="3240"/>
      <c r="X4" s="2668"/>
      <c r="Y4" s="3231" t="s">
        <v>2649</v>
      </c>
      <c r="Z4" s="3232"/>
      <c r="AA4" s="3230" t="s">
        <v>2645</v>
      </c>
      <c r="AB4" s="3230" t="s">
        <v>2646</v>
      </c>
      <c r="AC4" s="3233" t="s">
        <v>2647</v>
      </c>
    </row>
    <row r="5" spans="1:29" ht="15">
      <c r="A5" s="404"/>
      <c r="B5" s="405"/>
      <c r="C5" s="3229" t="s">
        <v>2540</v>
      </c>
      <c r="D5" s="3194"/>
      <c r="E5" s="3228" t="s">
        <v>2541</v>
      </c>
      <c r="F5" s="3192"/>
      <c r="G5" s="3229" t="s">
        <v>2542</v>
      </c>
      <c r="H5" s="3194"/>
      <c r="I5" s="3229" t="s">
        <v>2543</v>
      </c>
      <c r="J5" s="3194"/>
      <c r="K5" s="610"/>
      <c r="L5" s="1130"/>
      <c r="M5" s="1131"/>
      <c r="N5" s="1131"/>
      <c r="O5" s="1131"/>
      <c r="P5" s="3238"/>
      <c r="Q5" s="3207"/>
      <c r="R5" s="3189"/>
      <c r="S5" s="3190"/>
      <c r="T5" s="3189"/>
      <c r="U5" s="3190"/>
      <c r="V5" s="3212"/>
      <c r="W5" s="3212"/>
      <c r="X5" s="1813"/>
      <c r="Y5" s="3189"/>
      <c r="Z5" s="3190"/>
      <c r="AA5" s="3183"/>
      <c r="AB5" s="3183"/>
      <c r="AC5" s="3234"/>
    </row>
    <row r="6" spans="1:29" ht="15.75" thickBot="1">
      <c r="A6" s="406"/>
      <c r="B6" s="407"/>
      <c r="C6" s="3195" t="s">
        <v>2544</v>
      </c>
      <c r="D6" s="3196"/>
      <c r="E6" s="3197" t="s">
        <v>2544</v>
      </c>
      <c r="F6" s="3198"/>
      <c r="G6" s="3195" t="s">
        <v>2544</v>
      </c>
      <c r="H6" s="3196"/>
      <c r="I6" s="3195" t="s">
        <v>2544</v>
      </c>
      <c r="J6" s="3196"/>
      <c r="K6" s="610" t="s">
        <v>2545</v>
      </c>
      <c r="L6" s="1130"/>
      <c r="M6" s="1131"/>
      <c r="N6" s="1131"/>
      <c r="O6" s="1131"/>
      <c r="P6" s="3239"/>
      <c r="Q6" s="3209"/>
      <c r="R6" s="3189"/>
      <c r="S6" s="3190"/>
      <c r="T6" s="3210"/>
      <c r="U6" s="3211"/>
      <c r="V6" s="3212"/>
      <c r="W6" s="3212"/>
      <c r="X6" s="1813"/>
      <c r="Y6" s="3210"/>
      <c r="Z6" s="3211"/>
      <c r="AA6" s="3184"/>
      <c r="AB6" s="3184"/>
      <c r="AC6" s="3235"/>
    </row>
    <row r="7" spans="1:29" s="117" customFormat="1" ht="15.75" thickBot="1">
      <c r="A7" s="408" t="s">
        <v>2546</v>
      </c>
      <c r="B7" s="409"/>
      <c r="C7" s="410">
        <f>'数据-取费表'!B2</f>
        <v>43601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1" t="s">
        <v>2547</v>
      </c>
      <c r="Q7" s="3213"/>
      <c r="R7" s="770" t="s">
        <v>17</v>
      </c>
      <c r="S7" s="771">
        <f t="shared" ref="S7:S15" si="0">F7</f>
        <v>0</v>
      </c>
      <c r="T7" s="770" t="s">
        <v>17</v>
      </c>
      <c r="U7" s="771">
        <f t="shared" ref="U7:U15" si="1">H7</f>
        <v>0</v>
      </c>
      <c r="V7" s="770" t="s">
        <v>17</v>
      </c>
      <c r="W7" s="771">
        <f t="shared" ref="W7:W15" si="2">J7</f>
        <v>0</v>
      </c>
      <c r="X7" s="772"/>
      <c r="Y7" s="3185" t="s">
        <v>2547</v>
      </c>
      <c r="Z7" s="3186"/>
      <c r="AA7" s="773" t="e">
        <f>D7/F7</f>
        <v>#DIV/0!</v>
      </c>
      <c r="AB7" s="773" t="e">
        <f>D7/H7</f>
        <v>#DIV/0!</v>
      </c>
      <c r="AC7" s="2669"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1" t="s">
        <v>2550</v>
      </c>
      <c r="Q8" s="3186"/>
      <c r="R8" s="770" t="s">
        <v>17</v>
      </c>
      <c r="S8" s="771">
        <f t="shared" si="0"/>
        <v>0</v>
      </c>
      <c r="T8" s="770" t="s">
        <v>17</v>
      </c>
      <c r="U8" s="771">
        <f t="shared" si="1"/>
        <v>0</v>
      </c>
      <c r="V8" s="770" t="s">
        <v>17</v>
      </c>
      <c r="W8" s="771">
        <f t="shared" si="2"/>
        <v>0</v>
      </c>
      <c r="X8" s="772"/>
      <c r="Y8" s="3185" t="s">
        <v>2550</v>
      </c>
      <c r="Z8" s="3186"/>
      <c r="AA8" s="773" t="e">
        <f t="shared" ref="AA8:AA47" si="3">D8/F8</f>
        <v>#DIV/0!</v>
      </c>
      <c r="AB8" s="773" t="e">
        <f t="shared" ref="AB8:AB47" si="4">D8/H8</f>
        <v>#DIV/0!</v>
      </c>
      <c r="AC8" s="2669"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9" t="s">
        <v>2553</v>
      </c>
      <c r="Q9" s="1795" t="str">
        <f t="shared" ref="Q9:Q15" si="6">B9</f>
        <v>用途</v>
      </c>
      <c r="R9" s="770" t="s">
        <v>17</v>
      </c>
      <c r="S9" s="771">
        <f t="shared" si="0"/>
        <v>100</v>
      </c>
      <c r="T9" s="770" t="s">
        <v>17</v>
      </c>
      <c r="U9" s="771">
        <f t="shared" si="1"/>
        <v>100</v>
      </c>
      <c r="V9" s="770" t="s">
        <v>17</v>
      </c>
      <c r="W9" s="771">
        <f t="shared" si="2"/>
        <v>100</v>
      </c>
      <c r="X9" s="772"/>
      <c r="Y9" s="3032" t="s">
        <v>2554</v>
      </c>
      <c r="Z9" s="55" t="str">
        <f t="shared" ref="Z9:Z15" si="7">Q9</f>
        <v>用途</v>
      </c>
      <c r="AA9" s="773">
        <f t="shared" si="3"/>
        <v>1</v>
      </c>
      <c r="AB9" s="773">
        <f t="shared" si="4"/>
        <v>1</v>
      </c>
      <c r="AC9" s="2669">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9"/>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2669">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9"/>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2669" t="e">
        <f t="shared" si="5"/>
        <v>#N/A</v>
      </c>
    </row>
    <row r="12" spans="1:29" s="117" customFormat="1" ht="15">
      <c r="A12" s="431"/>
      <c r="B12" s="2600">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99"/>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2669">
        <f>D12/J12</f>
        <v>1</v>
      </c>
    </row>
    <row r="13" spans="1:29" ht="15">
      <c r="A13" s="428"/>
      <c r="B13" s="2600">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99"/>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2669">
        <f t="shared" si="5"/>
        <v>1</v>
      </c>
    </row>
    <row r="14" spans="1:29" ht="15.75" thickBot="1">
      <c r="A14" s="436"/>
      <c r="B14" s="2602">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99"/>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2669">
        <f t="shared" si="5"/>
        <v>1</v>
      </c>
    </row>
    <row r="15" spans="1:29" ht="71.25">
      <c r="A15" s="440" t="s">
        <v>2557</v>
      </c>
      <c r="B15" s="629" t="s">
        <v>2685</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6" t="s">
        <v>2558</v>
      </c>
      <c r="Q15" s="1810" t="str">
        <f t="shared" si="6"/>
        <v>办公集聚程度</v>
      </c>
      <c r="R15" s="774" t="s">
        <v>17</v>
      </c>
      <c r="S15" s="775">
        <f t="shared" si="0"/>
        <v>100</v>
      </c>
      <c r="T15" s="774" t="s">
        <v>17</v>
      </c>
      <c r="U15" s="775">
        <f t="shared" si="1"/>
        <v>100</v>
      </c>
      <c r="V15" s="774" t="s">
        <v>17</v>
      </c>
      <c r="W15" s="775">
        <f t="shared" si="2"/>
        <v>100</v>
      </c>
      <c r="X15" s="1813"/>
      <c r="Y15" s="3219" t="s">
        <v>2558</v>
      </c>
      <c r="Z15" s="1814" t="str">
        <f t="shared" si="7"/>
        <v>办公集聚程度</v>
      </c>
      <c r="AA15" s="1811">
        <f t="shared" si="3"/>
        <v>1</v>
      </c>
      <c r="AB15" s="1811">
        <f t="shared" si="4"/>
        <v>1</v>
      </c>
      <c r="AC15" s="2672">
        <f t="shared" si="5"/>
        <v>1</v>
      </c>
    </row>
    <row r="16" spans="1:29" ht="15">
      <c r="A16" s="428"/>
      <c r="B16" s="630"/>
      <c r="C16" s="2611"/>
      <c r="D16" s="448"/>
      <c r="E16" s="447"/>
      <c r="F16" s="448"/>
      <c r="G16" s="2611"/>
      <c r="H16" s="450"/>
      <c r="I16" s="447"/>
      <c r="J16" s="448"/>
      <c r="K16" s="615"/>
      <c r="L16" s="1140"/>
      <c r="M16" s="1131"/>
      <c r="N16" s="1131"/>
      <c r="O16" s="1131"/>
      <c r="P16" s="3227"/>
      <c r="Q16" s="1810"/>
      <c r="R16" s="774"/>
      <c r="S16" s="775"/>
      <c r="T16" s="774"/>
      <c r="U16" s="775"/>
      <c r="V16" s="774"/>
      <c r="W16" s="775"/>
      <c r="X16" s="1813"/>
      <c r="Y16" s="3220"/>
      <c r="Z16" s="1814"/>
      <c r="AA16" s="1811">
        <v>1</v>
      </c>
      <c r="AB16" s="1811">
        <v>1</v>
      </c>
      <c r="AC16" s="2672">
        <v>1</v>
      </c>
    </row>
    <row r="17" spans="1:29" ht="99.75">
      <c r="A17" s="428"/>
      <c r="B17" s="631" t="s">
        <v>2095</v>
      </c>
      <c r="C17" s="2673" t="str">
        <f>估价对象房地状况!C6</f>
        <v>估价对象周边道路状况一般、公共交通通达情况较好（公交车通达度较好）、停车便捷程度一般，综合评价交通便捷度较好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7"/>
      <c r="Q17" s="1810" t="str">
        <f>B17</f>
        <v>交通便捷度</v>
      </c>
      <c r="R17" s="774" t="s">
        <v>17</v>
      </c>
      <c r="S17" s="775">
        <f>F17</f>
        <v>100</v>
      </c>
      <c r="T17" s="774" t="s">
        <v>17</v>
      </c>
      <c r="U17" s="775">
        <f>H17</f>
        <v>100</v>
      </c>
      <c r="V17" s="774" t="s">
        <v>17</v>
      </c>
      <c r="W17" s="775">
        <f>J17</f>
        <v>100</v>
      </c>
      <c r="X17" s="1813"/>
      <c r="Y17" s="3220"/>
      <c r="Z17" s="1814" t="str">
        <f>Q17</f>
        <v>交通便捷度</v>
      </c>
      <c r="AA17" s="1811">
        <f t="shared" si="3"/>
        <v>1</v>
      </c>
      <c r="AB17" s="1811">
        <f t="shared" si="4"/>
        <v>1</v>
      </c>
      <c r="AC17" s="2672">
        <f t="shared" si="5"/>
        <v>1</v>
      </c>
    </row>
    <row r="18" spans="1:29" ht="15">
      <c r="A18" s="428"/>
      <c r="B18" s="632"/>
      <c r="C18" s="2674"/>
      <c r="D18" s="450"/>
      <c r="E18" s="2609"/>
      <c r="F18" s="450"/>
      <c r="G18" s="2610"/>
      <c r="H18" s="448"/>
      <c r="I18" s="2610"/>
      <c r="J18" s="448"/>
      <c r="K18" s="615"/>
      <c r="L18" s="1140"/>
      <c r="M18" s="1131"/>
      <c r="N18" s="1131"/>
      <c r="O18" s="1131"/>
      <c r="P18" s="3227"/>
      <c r="Q18" s="1810"/>
      <c r="R18" s="774"/>
      <c r="S18" s="775"/>
      <c r="T18" s="774"/>
      <c r="U18" s="775"/>
      <c r="V18" s="774"/>
      <c r="W18" s="775"/>
      <c r="X18" s="1813"/>
      <c r="Y18" s="3220"/>
      <c r="Z18" s="1814"/>
      <c r="AA18" s="1811">
        <v>1</v>
      </c>
      <c r="AB18" s="1811">
        <v>1</v>
      </c>
      <c r="AC18" s="2672">
        <v>1</v>
      </c>
    </row>
    <row r="19" spans="1:29" ht="42.75">
      <c r="A19" s="428"/>
      <c r="B19" s="631" t="s">
        <v>2686</v>
      </c>
      <c r="C19" s="2673" t="str">
        <f>估价对象房地状况!C7</f>
        <v>估价对象所在区域公共配套设施较齐备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7"/>
      <c r="Q19" s="1810" t="str">
        <f>B19</f>
        <v>公共配套设施</v>
      </c>
      <c r="R19" s="774" t="s">
        <v>17</v>
      </c>
      <c r="S19" s="775">
        <f>F19</f>
        <v>100</v>
      </c>
      <c r="T19" s="774" t="s">
        <v>17</v>
      </c>
      <c r="U19" s="775">
        <f>H19</f>
        <v>100</v>
      </c>
      <c r="V19" s="774" t="s">
        <v>17</v>
      </c>
      <c r="W19" s="775">
        <f>J19</f>
        <v>100</v>
      </c>
      <c r="X19" s="1813"/>
      <c r="Y19" s="3220"/>
      <c r="Z19" s="1814" t="str">
        <f>Q19</f>
        <v>公共配套设施</v>
      </c>
      <c r="AA19" s="1811">
        <f t="shared" si="3"/>
        <v>1</v>
      </c>
      <c r="AB19" s="1811">
        <f t="shared" si="4"/>
        <v>1</v>
      </c>
      <c r="AC19" s="2672">
        <f t="shared" si="5"/>
        <v>1</v>
      </c>
    </row>
    <row r="20" spans="1:29" ht="15">
      <c r="A20" s="428"/>
      <c r="B20" s="632"/>
      <c r="C20" s="2611"/>
      <c r="D20" s="448"/>
      <c r="E20" s="2604"/>
      <c r="F20" s="448"/>
      <c r="G20" s="2605"/>
      <c r="H20" s="448"/>
      <c r="I20" s="2605"/>
      <c r="J20" s="448"/>
      <c r="K20" s="615"/>
      <c r="L20" s="1140"/>
      <c r="M20" s="1131"/>
      <c r="N20" s="1131"/>
      <c r="O20" s="1131"/>
      <c r="P20" s="3227"/>
      <c r="Q20" s="1810"/>
      <c r="R20" s="774"/>
      <c r="S20" s="775"/>
      <c r="T20" s="774"/>
      <c r="U20" s="775"/>
      <c r="V20" s="774"/>
      <c r="W20" s="775"/>
      <c r="X20" s="1813"/>
      <c r="Y20" s="3220"/>
      <c r="Z20" s="1814"/>
      <c r="AA20" s="1811">
        <v>1</v>
      </c>
      <c r="AB20" s="1811">
        <v>1</v>
      </c>
      <c r="AC20" s="2672">
        <v>1</v>
      </c>
    </row>
    <row r="21" spans="1:29" ht="42.75">
      <c r="A21" s="428"/>
      <c r="B21" s="633" t="s">
        <v>2687</v>
      </c>
      <c r="C21" s="2673" t="str">
        <f>估价对象房地状况!C8</f>
        <v>估价对象所在区域基础设施水平为六通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7"/>
      <c r="Q21" s="1810" t="str">
        <f>B21</f>
        <v>基础设施水平</v>
      </c>
      <c r="R21" s="774" t="s">
        <v>17</v>
      </c>
      <c r="S21" s="775">
        <f>F21</f>
        <v>100</v>
      </c>
      <c r="T21" s="774" t="s">
        <v>17</v>
      </c>
      <c r="U21" s="775">
        <f>H21</f>
        <v>100</v>
      </c>
      <c r="V21" s="774" t="s">
        <v>17</v>
      </c>
      <c r="W21" s="775">
        <f>J21</f>
        <v>100</v>
      </c>
      <c r="X21" s="1813"/>
      <c r="Y21" s="3220"/>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11"/>
      <c r="H22" s="448"/>
      <c r="I22" s="2611"/>
      <c r="J22" s="448"/>
      <c r="K22" s="1383"/>
      <c r="L22" s="1140"/>
      <c r="M22" s="1131"/>
      <c r="N22" s="1131"/>
      <c r="O22" s="1131"/>
      <c r="P22" s="3227"/>
      <c r="Q22" s="1810"/>
      <c r="R22" s="774"/>
      <c r="S22" s="775"/>
      <c r="T22" s="774"/>
      <c r="U22" s="775"/>
      <c r="V22" s="774"/>
      <c r="W22" s="775"/>
      <c r="X22" s="1813"/>
      <c r="Y22" s="3220"/>
      <c r="Z22" s="1814"/>
      <c r="AA22" s="1811">
        <v>1</v>
      </c>
      <c r="AB22" s="1811">
        <v>1</v>
      </c>
      <c r="AC22" s="2672">
        <v>1</v>
      </c>
    </row>
    <row r="23" spans="1:29" ht="57">
      <c r="A23" s="428"/>
      <c r="B23" s="631" t="s">
        <v>2688</v>
      </c>
      <c r="C23" s="2673" t="str">
        <f>估价对象房地状况!C9</f>
        <v>区域自然环境：周边有渭清公园；人文环境一般；综合评价环境状况一般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7"/>
      <c r="Q23" s="1810" t="str">
        <f>B23</f>
        <v>环境质量</v>
      </c>
      <c r="R23" s="774" t="s">
        <v>17</v>
      </c>
      <c r="S23" s="775">
        <f>F23</f>
        <v>100</v>
      </c>
      <c r="T23" s="774" t="s">
        <v>17</v>
      </c>
      <c r="U23" s="775">
        <f>H23</f>
        <v>100</v>
      </c>
      <c r="V23" s="774" t="s">
        <v>17</v>
      </c>
      <c r="W23" s="775">
        <f>J23</f>
        <v>100</v>
      </c>
      <c r="X23" s="1813"/>
      <c r="Y23" s="3220"/>
      <c r="Z23" s="1814" t="str">
        <f>Q23</f>
        <v>环境质量</v>
      </c>
      <c r="AA23" s="1811">
        <f t="shared" si="3"/>
        <v>1</v>
      </c>
      <c r="AB23" s="1811">
        <f t="shared" si="4"/>
        <v>1</v>
      </c>
      <c r="AC23" s="2672">
        <f t="shared" si="5"/>
        <v>1</v>
      </c>
    </row>
    <row r="24" spans="1:29" ht="15">
      <c r="A24" s="428"/>
      <c r="B24" s="633"/>
      <c r="C24" s="2611"/>
      <c r="D24" s="448"/>
      <c r="E24" s="2604"/>
      <c r="F24" s="448"/>
      <c r="G24" s="2605"/>
      <c r="H24" s="448"/>
      <c r="I24" s="2605"/>
      <c r="J24" s="448"/>
      <c r="K24" s="615"/>
      <c r="L24" s="1140"/>
      <c r="M24" s="1131"/>
      <c r="N24" s="1131"/>
      <c r="O24" s="1131"/>
      <c r="P24" s="3227"/>
      <c r="Q24" s="1810"/>
      <c r="R24" s="774"/>
      <c r="S24" s="775"/>
      <c r="T24" s="774"/>
      <c r="U24" s="775"/>
      <c r="V24" s="774"/>
      <c r="W24" s="775"/>
      <c r="X24" s="1813"/>
      <c r="Y24" s="3220"/>
      <c r="Z24" s="1814"/>
      <c r="AA24" s="1811">
        <v>1</v>
      </c>
      <c r="AB24" s="1811">
        <v>1</v>
      </c>
      <c r="AC24" s="2672">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27"/>
      <c r="Q25" s="1810" t="str">
        <f>B25</f>
        <v>毗邻道路的类型与等级</v>
      </c>
      <c r="R25" s="774" t="s">
        <v>17</v>
      </c>
      <c r="S25" s="775">
        <f>F25</f>
        <v>100</v>
      </c>
      <c r="T25" s="774" t="s">
        <v>17</v>
      </c>
      <c r="U25" s="775">
        <f>H25</f>
        <v>100</v>
      </c>
      <c r="V25" s="774" t="s">
        <v>17</v>
      </c>
      <c r="W25" s="775">
        <f>J25</f>
        <v>100</v>
      </c>
      <c r="X25" s="1813"/>
      <c r="Y25" s="3220"/>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27"/>
      <c r="Q26" s="1810"/>
      <c r="R26" s="774"/>
      <c r="S26" s="775"/>
      <c r="T26" s="774"/>
      <c r="U26" s="775"/>
      <c r="V26" s="774"/>
      <c r="W26" s="775"/>
      <c r="X26" s="1813"/>
      <c r="Y26" s="3220"/>
      <c r="Z26" s="1814"/>
      <c r="AA26" s="1811">
        <v>1</v>
      </c>
      <c r="AB26" s="1811">
        <v>1</v>
      </c>
      <c r="AC26" s="2672">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7"/>
      <c r="Q27" s="1810" t="str">
        <f t="shared" ref="Q27:Q47" si="11">B27</f>
        <v>楼层</v>
      </c>
      <c r="R27" s="774" t="s">
        <v>17</v>
      </c>
      <c r="S27" s="775">
        <f>F27</f>
        <v>100</v>
      </c>
      <c r="T27" s="774" t="s">
        <v>17</v>
      </c>
      <c r="U27" s="775">
        <f>H27</f>
        <v>100</v>
      </c>
      <c r="V27" s="774" t="s">
        <v>17</v>
      </c>
      <c r="W27" s="775">
        <f>J27</f>
        <v>100</v>
      </c>
      <c r="X27" s="1813"/>
      <c r="Y27" s="3220"/>
      <c r="Z27" s="1814" t="str">
        <f>Q27</f>
        <v>楼层</v>
      </c>
      <c r="AA27" s="1811">
        <f t="shared" si="3"/>
        <v>1</v>
      </c>
      <c r="AB27" s="1811">
        <f t="shared" si="4"/>
        <v>1</v>
      </c>
      <c r="AC27" s="2672">
        <f t="shared" si="5"/>
        <v>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27"/>
      <c r="Q28" s="1795" t="str">
        <f t="shared" si="11"/>
        <v>朝向</v>
      </c>
      <c r="R28" s="770" t="s">
        <v>17</v>
      </c>
      <c r="S28" s="771">
        <f>F28</f>
        <v>100</v>
      </c>
      <c r="T28" s="770" t="s">
        <v>17</v>
      </c>
      <c r="U28" s="771">
        <f>H28</f>
        <v>100</v>
      </c>
      <c r="V28" s="770" t="s">
        <v>17</v>
      </c>
      <c r="W28" s="771">
        <f>J28</f>
        <v>100</v>
      </c>
      <c r="X28" s="772"/>
      <c r="Y28" s="3220"/>
      <c r="Z28" s="55" t="str">
        <f>Q28</f>
        <v>朝向</v>
      </c>
      <c r="AA28" s="1811">
        <f>D28/F28</f>
        <v>1</v>
      </c>
      <c r="AB28" s="1811">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27"/>
      <c r="Q29" s="1810">
        <f t="shared" si="11"/>
        <v>111</v>
      </c>
      <c r="R29" s="774" t="s">
        <v>17</v>
      </c>
      <c r="S29" s="775">
        <f t="shared" ref="S29:S47" si="12">F29</f>
        <v>100</v>
      </c>
      <c r="T29" s="774" t="s">
        <v>17</v>
      </c>
      <c r="U29" s="775">
        <f t="shared" ref="U29:U47" si="13">H29</f>
        <v>100</v>
      </c>
      <c r="V29" s="774" t="s">
        <v>17</v>
      </c>
      <c r="W29" s="775">
        <f t="shared" ref="W29:W47" si="14">J29</f>
        <v>100</v>
      </c>
      <c r="X29" s="1813"/>
      <c r="Y29" s="3220"/>
      <c r="Z29" s="1814">
        <f t="shared" ref="Z29:Z47" si="15">Q29</f>
        <v>111</v>
      </c>
      <c r="AA29" s="1811">
        <f t="shared" si="3"/>
        <v>1</v>
      </c>
      <c r="AB29" s="1811">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27"/>
      <c r="Q30" s="1810">
        <f t="shared" si="11"/>
        <v>111</v>
      </c>
      <c r="R30" s="774" t="s">
        <v>17</v>
      </c>
      <c r="S30" s="775">
        <f t="shared" si="12"/>
        <v>100</v>
      </c>
      <c r="T30" s="774" t="s">
        <v>17</v>
      </c>
      <c r="U30" s="775">
        <f t="shared" si="13"/>
        <v>100</v>
      </c>
      <c r="V30" s="774" t="s">
        <v>17</v>
      </c>
      <c r="W30" s="775">
        <f t="shared" si="14"/>
        <v>100</v>
      </c>
      <c r="X30" s="1813"/>
      <c r="Y30" s="3220"/>
      <c r="Z30" s="1814">
        <f t="shared" si="15"/>
        <v>111</v>
      </c>
      <c r="AA30" s="1811">
        <f t="shared" si="3"/>
        <v>1</v>
      </c>
      <c r="AB30" s="1811">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27"/>
      <c r="Q31" s="1810">
        <f t="shared" si="11"/>
        <v>111</v>
      </c>
      <c r="R31" s="774" t="s">
        <v>17</v>
      </c>
      <c r="S31" s="775">
        <f t="shared" si="12"/>
        <v>100</v>
      </c>
      <c r="T31" s="774" t="s">
        <v>17</v>
      </c>
      <c r="U31" s="775">
        <f t="shared" si="13"/>
        <v>100</v>
      </c>
      <c r="V31" s="774" t="s">
        <v>17</v>
      </c>
      <c r="W31" s="775">
        <f t="shared" si="14"/>
        <v>100</v>
      </c>
      <c r="X31" s="1813"/>
      <c r="Y31" s="3220"/>
      <c r="Z31" s="1814">
        <f t="shared" si="15"/>
        <v>111</v>
      </c>
      <c r="AA31" s="1811">
        <f t="shared" si="3"/>
        <v>1</v>
      </c>
      <c r="AB31" s="1811">
        <f t="shared" si="4"/>
        <v>1</v>
      </c>
      <c r="AC31" s="2672">
        <f t="shared" si="5"/>
        <v>1</v>
      </c>
    </row>
    <row r="32" spans="1:29" ht="15.75" thickBot="1">
      <c r="A32" s="436"/>
      <c r="B32" s="635">
        <v>111</v>
      </c>
      <c r="C32" s="2616"/>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27"/>
      <c r="Q32" s="1810">
        <f t="shared" si="11"/>
        <v>111</v>
      </c>
      <c r="R32" s="774" t="s">
        <v>17</v>
      </c>
      <c r="S32" s="775">
        <f t="shared" si="12"/>
        <v>100</v>
      </c>
      <c r="T32" s="774" t="s">
        <v>17</v>
      </c>
      <c r="U32" s="775">
        <f t="shared" si="13"/>
        <v>100</v>
      </c>
      <c r="V32" s="774" t="s">
        <v>17</v>
      </c>
      <c r="W32" s="775">
        <f t="shared" si="14"/>
        <v>100</v>
      </c>
      <c r="X32" s="1813"/>
      <c r="Y32" s="3220"/>
      <c r="Z32" s="1814">
        <f t="shared" si="15"/>
        <v>111</v>
      </c>
      <c r="AA32" s="1811">
        <f t="shared" si="3"/>
        <v>1</v>
      </c>
      <c r="AB32" s="1811">
        <f t="shared" si="4"/>
        <v>1</v>
      </c>
      <c r="AC32" s="2672">
        <f t="shared" si="5"/>
        <v>1</v>
      </c>
    </row>
    <row r="33" spans="1:29" ht="15">
      <c r="A33" s="440" t="s">
        <v>2561</v>
      </c>
      <c r="B33" s="71" t="s">
        <v>2691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21" t="s">
        <v>2563</v>
      </c>
      <c r="Q33" s="1810" t="str">
        <f t="shared" si="11"/>
        <v>建筑类型</v>
      </c>
      <c r="R33" s="774" t="s">
        <v>17</v>
      </c>
      <c r="S33" s="775">
        <f t="shared" si="12"/>
        <v>100</v>
      </c>
      <c r="T33" s="774" t="s">
        <v>17</v>
      </c>
      <c r="U33" s="775">
        <f t="shared" si="13"/>
        <v>100</v>
      </c>
      <c r="V33" s="774" t="s">
        <v>17</v>
      </c>
      <c r="W33" s="775">
        <f t="shared" si="14"/>
        <v>100</v>
      </c>
      <c r="X33" s="1813"/>
      <c r="Y33" s="3224" t="s">
        <v>2563</v>
      </c>
      <c r="Z33" s="1814" t="str">
        <f t="shared" si="15"/>
        <v>建筑类型</v>
      </c>
      <c r="AA33" s="1811">
        <f t="shared" si="3"/>
        <v>1</v>
      </c>
      <c r="AB33" s="1811">
        <f t="shared" si="4"/>
        <v>1</v>
      </c>
      <c r="AC33" s="2672">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2"/>
      <c r="Q34" s="776" t="str">
        <f t="shared" si="11"/>
        <v>项目建筑规模</v>
      </c>
      <c r="R34" s="777" t="s">
        <v>17</v>
      </c>
      <c r="S34" s="778" t="e">
        <f t="shared" si="12"/>
        <v>#N/A</v>
      </c>
      <c r="T34" s="777" t="s">
        <v>17</v>
      </c>
      <c r="U34" s="778" t="e">
        <f t="shared" si="13"/>
        <v>#N/A</v>
      </c>
      <c r="V34" s="777" t="s">
        <v>17</v>
      </c>
      <c r="W34" s="778" t="e">
        <f t="shared" si="14"/>
        <v>#N/A</v>
      </c>
      <c r="X34" s="779"/>
      <c r="Y34" s="3224"/>
      <c r="Z34" s="780" t="str">
        <f t="shared" si="15"/>
        <v>项目建筑规模</v>
      </c>
      <c r="AA34" s="1811" t="e">
        <f t="shared" si="3"/>
        <v>#N/A</v>
      </c>
      <c r="AB34" s="1811" t="e">
        <f t="shared" si="4"/>
        <v>#N/A</v>
      </c>
      <c r="AC34" s="2672"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2"/>
      <c r="Q35" s="1810" t="str">
        <f t="shared" si="11"/>
        <v>建筑结构</v>
      </c>
      <c r="R35" s="774" t="s">
        <v>17</v>
      </c>
      <c r="S35" s="775">
        <f t="shared" si="12"/>
        <v>100</v>
      </c>
      <c r="T35" s="774" t="s">
        <v>17</v>
      </c>
      <c r="U35" s="775">
        <f t="shared" si="13"/>
        <v>100</v>
      </c>
      <c r="V35" s="774" t="s">
        <v>17</v>
      </c>
      <c r="W35" s="775">
        <f t="shared" si="14"/>
        <v>100</v>
      </c>
      <c r="X35" s="1813"/>
      <c r="Y35" s="3224"/>
      <c r="Z35" s="1814" t="str">
        <f t="shared" si="15"/>
        <v>建筑结构</v>
      </c>
      <c r="AA35" s="1811">
        <f t="shared" si="3"/>
        <v>1</v>
      </c>
      <c r="AB35" s="1811">
        <f t="shared" si="4"/>
        <v>1</v>
      </c>
      <c r="AC35" s="2672">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2"/>
      <c r="Q36" s="1810" t="str">
        <f t="shared" si="11"/>
        <v>公共部分装修</v>
      </c>
      <c r="R36" s="774" t="s">
        <v>17</v>
      </c>
      <c r="S36" s="775">
        <f t="shared" si="12"/>
        <v>100</v>
      </c>
      <c r="T36" s="774" t="s">
        <v>17</v>
      </c>
      <c r="U36" s="775">
        <f t="shared" si="13"/>
        <v>100</v>
      </c>
      <c r="V36" s="774" t="s">
        <v>17</v>
      </c>
      <c r="W36" s="775">
        <f t="shared" si="14"/>
        <v>100</v>
      </c>
      <c r="X36" s="1813"/>
      <c r="Y36" s="3224"/>
      <c r="Z36" s="1814" t="str">
        <f t="shared" si="15"/>
        <v>公共部分装修</v>
      </c>
      <c r="AA36" s="1811">
        <f t="shared" si="3"/>
        <v>1</v>
      </c>
      <c r="AB36" s="1811">
        <f t="shared" si="4"/>
        <v>1</v>
      </c>
      <c r="AC36" s="2672">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2"/>
      <c r="Q37" s="1810" t="str">
        <f t="shared" si="11"/>
        <v>成新度</v>
      </c>
      <c r="R37" s="774" t="s">
        <v>17</v>
      </c>
      <c r="S37" s="775" t="e">
        <f t="shared" si="12"/>
        <v>#N/A</v>
      </c>
      <c r="T37" s="774" t="s">
        <v>17</v>
      </c>
      <c r="U37" s="775" t="e">
        <f t="shared" si="13"/>
        <v>#N/A</v>
      </c>
      <c r="V37" s="774" t="s">
        <v>17</v>
      </c>
      <c r="W37" s="775" t="e">
        <f t="shared" si="14"/>
        <v>#N/A</v>
      </c>
      <c r="X37" s="1813"/>
      <c r="Y37" s="3224"/>
      <c r="Z37" s="1814" t="str">
        <f t="shared" si="15"/>
        <v>成新度</v>
      </c>
      <c r="AA37" s="1811" t="e">
        <f t="shared" si="3"/>
        <v>#N/A</v>
      </c>
      <c r="AB37" s="1811" t="e">
        <f t="shared" si="4"/>
        <v>#N/A</v>
      </c>
      <c r="AC37" s="2672"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2"/>
      <c r="Q38" s="1795" t="str">
        <f t="shared" si="11"/>
        <v>写字楼等级</v>
      </c>
      <c r="R38" s="770" t="s">
        <v>17</v>
      </c>
      <c r="S38" s="771">
        <f t="shared" si="12"/>
        <v>100</v>
      </c>
      <c r="T38" s="770" t="s">
        <v>17</v>
      </c>
      <c r="U38" s="771">
        <f t="shared" si="13"/>
        <v>100</v>
      </c>
      <c r="V38" s="770" t="s">
        <v>17</v>
      </c>
      <c r="W38" s="771">
        <f t="shared" si="14"/>
        <v>100</v>
      </c>
      <c r="X38" s="772"/>
      <c r="Y38" s="3224"/>
      <c r="Z38" s="55" t="str">
        <f t="shared" si="15"/>
        <v>写字楼等级</v>
      </c>
      <c r="AA38" s="773">
        <f t="shared" si="3"/>
        <v>1</v>
      </c>
      <c r="AB38" s="773">
        <f t="shared" si="4"/>
        <v>1</v>
      </c>
      <c r="AC38" s="2669">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2" t="s">
        <v>2563</v>
      </c>
      <c r="Q39" s="1810" t="str">
        <f t="shared" si="11"/>
        <v>物业管理</v>
      </c>
      <c r="R39" s="774" t="s">
        <v>17</v>
      </c>
      <c r="S39" s="775">
        <f t="shared" si="12"/>
        <v>100</v>
      </c>
      <c r="T39" s="774" t="s">
        <v>17</v>
      </c>
      <c r="U39" s="775">
        <f t="shared" si="13"/>
        <v>100</v>
      </c>
      <c r="V39" s="774" t="s">
        <v>17</v>
      </c>
      <c r="W39" s="775">
        <f t="shared" si="14"/>
        <v>100</v>
      </c>
      <c r="X39" s="1813"/>
      <c r="Y39" s="3224" t="s">
        <v>2563</v>
      </c>
      <c r="Z39" s="1814" t="str">
        <f t="shared" si="15"/>
        <v>物业管理</v>
      </c>
      <c r="AA39" s="1811">
        <f t="shared" si="3"/>
        <v>1</v>
      </c>
      <c r="AB39" s="1811">
        <f t="shared" si="4"/>
        <v>1</v>
      </c>
      <c r="AC39" s="2672">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2"/>
      <c r="Q40" s="1810" t="str">
        <f t="shared" si="11"/>
        <v>市政基础设施</v>
      </c>
      <c r="R40" s="774" t="s">
        <v>17</v>
      </c>
      <c r="S40" s="775">
        <f t="shared" si="12"/>
        <v>100</v>
      </c>
      <c r="T40" s="774" t="s">
        <v>17</v>
      </c>
      <c r="U40" s="775">
        <f t="shared" si="13"/>
        <v>100</v>
      </c>
      <c r="V40" s="774" t="s">
        <v>17</v>
      </c>
      <c r="W40" s="775">
        <f t="shared" si="14"/>
        <v>100</v>
      </c>
      <c r="X40" s="1813"/>
      <c r="Y40" s="3224"/>
      <c r="Z40" s="1814" t="str">
        <f t="shared" si="15"/>
        <v>市政基础设施</v>
      </c>
      <c r="AA40" s="1811">
        <f t="shared" si="3"/>
        <v>1</v>
      </c>
      <c r="AB40" s="1811">
        <f t="shared" si="4"/>
        <v>1</v>
      </c>
      <c r="AC40" s="2672">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2"/>
      <c r="Q41" s="1810" t="str">
        <f t="shared" si="11"/>
        <v>层高</v>
      </c>
      <c r="R41" s="774" t="s">
        <v>17</v>
      </c>
      <c r="S41" s="775">
        <f t="shared" si="12"/>
        <v>100</v>
      </c>
      <c r="T41" s="774" t="s">
        <v>17</v>
      </c>
      <c r="U41" s="775">
        <f t="shared" si="13"/>
        <v>100</v>
      </c>
      <c r="V41" s="774" t="s">
        <v>17</v>
      </c>
      <c r="W41" s="775">
        <f t="shared" si="14"/>
        <v>100</v>
      </c>
      <c r="X41" s="1813"/>
      <c r="Y41" s="3224"/>
      <c r="Z41" s="1814" t="str">
        <f t="shared" si="15"/>
        <v>层高</v>
      </c>
      <c r="AA41" s="1811">
        <f t="shared" si="3"/>
        <v>1</v>
      </c>
      <c r="AB41" s="1811">
        <f t="shared" si="4"/>
        <v>1</v>
      </c>
      <c r="AC41" s="2672">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2"/>
      <c r="Q42" s="776" t="str">
        <f t="shared" si="11"/>
        <v>单套建筑面积</v>
      </c>
      <c r="R42" s="777" t="s">
        <v>17</v>
      </c>
      <c r="S42" s="778">
        <f t="shared" si="12"/>
        <v>100</v>
      </c>
      <c r="T42" s="777" t="s">
        <v>17</v>
      </c>
      <c r="U42" s="778">
        <f t="shared" si="13"/>
        <v>100</v>
      </c>
      <c r="V42" s="777" t="s">
        <v>17</v>
      </c>
      <c r="W42" s="778">
        <f t="shared" si="14"/>
        <v>100</v>
      </c>
      <c r="X42" s="779"/>
      <c r="Y42" s="3224"/>
      <c r="Z42" s="780" t="str">
        <f t="shared" si="15"/>
        <v>单套建筑面积</v>
      </c>
      <c r="AA42" s="1811">
        <f t="shared" si="3"/>
        <v>1</v>
      </c>
      <c r="AB42" s="1811">
        <f t="shared" si="4"/>
        <v>1</v>
      </c>
      <c r="AC42" s="2672">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2"/>
      <c r="Q43" s="1810" t="str">
        <f t="shared" si="11"/>
        <v>内部装修</v>
      </c>
      <c r="R43" s="774" t="s">
        <v>17</v>
      </c>
      <c r="S43" s="775">
        <f t="shared" si="12"/>
        <v>100</v>
      </c>
      <c r="T43" s="774" t="s">
        <v>17</v>
      </c>
      <c r="U43" s="775">
        <f t="shared" si="13"/>
        <v>100</v>
      </c>
      <c r="V43" s="774" t="s">
        <v>17</v>
      </c>
      <c r="W43" s="775">
        <f t="shared" si="14"/>
        <v>100</v>
      </c>
      <c r="X43" s="1813"/>
      <c r="Y43" s="3224"/>
      <c r="Z43" s="1814" t="str">
        <f t="shared" si="15"/>
        <v>内部装修</v>
      </c>
      <c r="AA43" s="1811">
        <f t="shared" si="3"/>
        <v>1</v>
      </c>
      <c r="AB43" s="1811">
        <f t="shared" si="4"/>
        <v>1</v>
      </c>
      <c r="AC43" s="2672">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22"/>
      <c r="Q44" s="1810" t="str">
        <f t="shared" si="11"/>
        <v>内部装修维护情况</v>
      </c>
      <c r="R44" s="774" t="s">
        <v>17</v>
      </c>
      <c r="S44" s="775">
        <f t="shared" si="12"/>
        <v>100</v>
      </c>
      <c r="T44" s="774" t="s">
        <v>17</v>
      </c>
      <c r="U44" s="775">
        <f t="shared" si="13"/>
        <v>100</v>
      </c>
      <c r="V44" s="774" t="s">
        <v>17</v>
      </c>
      <c r="W44" s="775">
        <f t="shared" si="14"/>
        <v>100</v>
      </c>
      <c r="X44" s="1813"/>
      <c r="Y44" s="3224"/>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2"/>
      <c r="Q45" s="1795">
        <f t="shared" si="11"/>
        <v>111</v>
      </c>
      <c r="R45" s="770" t="s">
        <v>17</v>
      </c>
      <c r="S45" s="771">
        <f t="shared" si="12"/>
        <v>100</v>
      </c>
      <c r="T45" s="770" t="s">
        <v>17</v>
      </c>
      <c r="U45" s="771">
        <f t="shared" si="13"/>
        <v>100</v>
      </c>
      <c r="V45" s="770" t="s">
        <v>17</v>
      </c>
      <c r="W45" s="771">
        <f t="shared" si="14"/>
        <v>100</v>
      </c>
      <c r="X45" s="772"/>
      <c r="Y45" s="3224"/>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2"/>
      <c r="Q46" s="1810">
        <f t="shared" si="11"/>
        <v>111</v>
      </c>
      <c r="R46" s="774" t="s">
        <v>17</v>
      </c>
      <c r="S46" s="775">
        <f t="shared" si="12"/>
        <v>100</v>
      </c>
      <c r="T46" s="774" t="s">
        <v>17</v>
      </c>
      <c r="U46" s="775">
        <f t="shared" si="13"/>
        <v>100</v>
      </c>
      <c r="V46" s="774" t="s">
        <v>17</v>
      </c>
      <c r="W46" s="775">
        <f t="shared" si="14"/>
        <v>100</v>
      </c>
      <c r="X46" s="1813"/>
      <c r="Y46" s="3224"/>
      <c r="Z46" s="1814">
        <f t="shared" si="15"/>
        <v>111</v>
      </c>
      <c r="AA46" s="1811">
        <f t="shared" si="3"/>
        <v>1</v>
      </c>
      <c r="AB46" s="1811">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3"/>
      <c r="Q47" s="1810">
        <f t="shared" si="11"/>
        <v>111</v>
      </c>
      <c r="R47" s="774" t="s">
        <v>17</v>
      </c>
      <c r="S47" s="775">
        <f t="shared" si="12"/>
        <v>100</v>
      </c>
      <c r="T47" s="774" t="s">
        <v>17</v>
      </c>
      <c r="U47" s="775">
        <f t="shared" si="13"/>
        <v>100</v>
      </c>
      <c r="V47" s="774" t="s">
        <v>17</v>
      </c>
      <c r="W47" s="775">
        <f t="shared" si="14"/>
        <v>100</v>
      </c>
      <c r="X47" s="1813"/>
      <c r="Y47" s="3225"/>
      <c r="Z47" s="1814">
        <f t="shared" si="15"/>
        <v>111</v>
      </c>
      <c r="AA47" s="1811">
        <f t="shared" si="3"/>
        <v>1</v>
      </c>
      <c r="AB47" s="1811">
        <f t="shared" si="4"/>
        <v>1</v>
      </c>
      <c r="AC47" s="2672">
        <f t="shared" si="5"/>
        <v>1</v>
      </c>
    </row>
    <row r="48" spans="1:29" ht="15">
      <c r="A48" s="479" t="s">
        <v>2575</v>
      </c>
      <c r="B48" s="480"/>
      <c r="C48" s="1407" t="s">
        <v>1</v>
      </c>
      <c r="D48" s="1408"/>
      <c r="E48" s="1409"/>
      <c r="F48" s="1410"/>
      <c r="G48" s="1411"/>
      <c r="H48" s="1412"/>
      <c r="I48" s="1409"/>
      <c r="J48" s="485"/>
      <c r="K48" s="783"/>
      <c r="L48" s="1143"/>
      <c r="M48" s="1131"/>
      <c r="N48" s="1131"/>
      <c r="O48" s="1131"/>
      <c r="P48" s="3199" t="str">
        <f>A48</f>
        <v>成交单价（元/平方米）</v>
      </c>
      <c r="Q48" s="3217"/>
      <c r="R48" s="3218">
        <f>E48</f>
        <v>0</v>
      </c>
      <c r="S48" s="3218"/>
      <c r="T48" s="3218">
        <f>G48</f>
        <v>0</v>
      </c>
      <c r="U48" s="3218"/>
      <c r="V48" s="3218">
        <f>I48</f>
        <v>0</v>
      </c>
      <c r="W48" s="3218"/>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199" t="str">
        <f>A49</f>
        <v>比较价值（元/平方米）</v>
      </c>
      <c r="Q49" s="3217"/>
      <c r="R49" s="3218" t="e">
        <f>IF(F1="售价",ROUND(PRODUCT(R48,AA7:AA47),0),ROUND(PRODUCT(R48,AA7:AA47),1))</f>
        <v>#DIV/0!</v>
      </c>
      <c r="S49" s="3218"/>
      <c r="T49" s="3218" t="e">
        <f>IF(F1="售价",ROUND(PRODUCT(T48,AB7:AB47),0),ROUND(PRODUCT(T48,AB7:AB47),1))</f>
        <v>#DIV/0!</v>
      </c>
      <c r="U49" s="3218"/>
      <c r="V49" s="3218" t="e">
        <f>IF(F1="售价",ROUND(PRODUCT(V48,AC7:AC47),0),ROUND(PRODUCT(V48,AC7:AC47),1))</f>
        <v>#DIV/0!</v>
      </c>
      <c r="W49" s="3218"/>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42" t="str">
        <f>A50</f>
        <v>估价对象XX用房的比较价值（楼面单价，元/平方米）</v>
      </c>
      <c r="Q50" s="3243"/>
      <c r="R50" s="3244" t="e">
        <f>IF(F1="售价",ROUND(AVERAGE(R49:V49),0),ROUND(AVERAGE(R49:V49),1))</f>
        <v>#DIV/0!</v>
      </c>
      <c r="S50" s="3244"/>
      <c r="T50" s="3244"/>
      <c r="U50" s="3244"/>
      <c r="V50" s="3244"/>
      <c r="W50" s="3244"/>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79"/>
      <c r="Q58" s="504"/>
    </row>
    <row r="59" spans="1:29" s="508" customFormat="1" ht="15">
      <c r="A59" s="505" t="s">
        <v>2546</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2586</v>
      </c>
      <c r="B64" s="528" t="s">
        <v>2552</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2697</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2561</v>
      </c>
      <c r="B101" s="528" t="s">
        <v>2610</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2612</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2614</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2615</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2616</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2699</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2618</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2700</v>
      </c>
      <c r="C1" s="1620" t="s">
        <v>2528</v>
      </c>
      <c r="D1" s="1621"/>
      <c r="E1" s="1630"/>
      <c r="F1" s="2585"/>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7"/>
      <c r="D2" s="1124" t="e">
        <f ca="1">SUMIF(INDIRECT("'"&amp;F2&amp;"'"&amp;"!A:A"),"承租人权益价值",INDIRECT("'"&amp;F2&amp;"'"&amp;"!c:c"))</f>
        <v>#REF!</v>
      </c>
      <c r="E2" s="2588" t="s">
        <v>2326</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4106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0" t="s">
        <v>2644</v>
      </c>
      <c r="D4" s="3201"/>
      <c r="E4" s="3202" t="s">
        <v>2645</v>
      </c>
      <c r="F4" s="3203"/>
      <c r="G4" s="3200" t="s">
        <v>2646</v>
      </c>
      <c r="H4" s="3201"/>
      <c r="I4" s="3200" t="s">
        <v>2647</v>
      </c>
      <c r="J4" s="3201"/>
      <c r="K4" s="610" t="s">
        <v>2648</v>
      </c>
      <c r="L4" s="1130"/>
      <c r="M4" s="1131"/>
      <c r="N4" s="1131"/>
      <c r="O4" s="1131"/>
      <c r="P4" s="3204" t="s">
        <v>2649</v>
      </c>
      <c r="Q4" s="3205"/>
      <c r="R4" s="3187" t="s">
        <v>2645</v>
      </c>
      <c r="S4" s="3188"/>
      <c r="T4" s="3187" t="s">
        <v>2646</v>
      </c>
      <c r="U4" s="3188"/>
      <c r="V4" s="3212" t="s">
        <v>2647</v>
      </c>
      <c r="W4" s="3212"/>
      <c r="X4" s="1813"/>
      <c r="Y4" s="3187" t="s">
        <v>2649</v>
      </c>
      <c r="Z4" s="3188"/>
      <c r="AA4" s="3182" t="s">
        <v>2645</v>
      </c>
      <c r="AB4" s="3183" t="s">
        <v>2646</v>
      </c>
      <c r="AC4" s="3182" t="s">
        <v>2647</v>
      </c>
    </row>
    <row r="5" spans="1:29" ht="15">
      <c r="A5" s="404"/>
      <c r="B5" s="405"/>
      <c r="C5" s="3229" t="s">
        <v>2540</v>
      </c>
      <c r="D5" s="3194"/>
      <c r="E5" s="3228" t="s">
        <v>2541</v>
      </c>
      <c r="F5" s="3192"/>
      <c r="G5" s="3229" t="s">
        <v>2542</v>
      </c>
      <c r="H5" s="3194"/>
      <c r="I5" s="3229" t="s">
        <v>2543</v>
      </c>
      <c r="J5" s="3194"/>
      <c r="K5" s="610"/>
      <c r="L5" s="1130"/>
      <c r="M5" s="1131"/>
      <c r="N5" s="1131"/>
      <c r="O5" s="1131"/>
      <c r="P5" s="3206"/>
      <c r="Q5" s="3207"/>
      <c r="R5" s="3189"/>
      <c r="S5" s="3190"/>
      <c r="T5" s="3189"/>
      <c r="U5" s="3190"/>
      <c r="V5" s="3212"/>
      <c r="W5" s="3212"/>
      <c r="X5" s="1813"/>
      <c r="Y5" s="3189"/>
      <c r="Z5" s="3190"/>
      <c r="AA5" s="3183"/>
      <c r="AB5" s="3183"/>
      <c r="AC5" s="3183"/>
    </row>
    <row r="6" spans="1:29" ht="15.75" thickBot="1">
      <c r="A6" s="406"/>
      <c r="B6" s="407"/>
      <c r="C6" s="3195" t="s">
        <v>2544</v>
      </c>
      <c r="D6" s="3196"/>
      <c r="E6" s="3197" t="s">
        <v>2544</v>
      </c>
      <c r="F6" s="3198"/>
      <c r="G6" s="3195" t="s">
        <v>2544</v>
      </c>
      <c r="H6" s="3196"/>
      <c r="I6" s="3195" t="s">
        <v>2544</v>
      </c>
      <c r="J6" s="3196"/>
      <c r="K6" s="610" t="s">
        <v>2545</v>
      </c>
      <c r="L6" s="1130"/>
      <c r="M6" s="1131"/>
      <c r="N6" s="1131"/>
      <c r="O6" s="1131"/>
      <c r="P6" s="3208"/>
      <c r="Q6" s="3209"/>
      <c r="R6" s="3189"/>
      <c r="S6" s="3190"/>
      <c r="T6" s="3210"/>
      <c r="U6" s="3211"/>
      <c r="V6" s="3212"/>
      <c r="W6" s="3212"/>
      <c r="X6" s="1813"/>
      <c r="Y6" s="3210"/>
      <c r="Z6" s="3211"/>
      <c r="AA6" s="3184"/>
      <c r="AB6" s="3184"/>
      <c r="AC6" s="3184"/>
    </row>
    <row r="7" spans="1:29" s="117" customFormat="1" ht="15.75" thickBot="1">
      <c r="A7" s="408" t="s">
        <v>2546</v>
      </c>
      <c r="B7" s="409"/>
      <c r="C7" s="410">
        <f>'数据-取费表'!B2</f>
        <v>43601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5" t="s">
        <v>2547</v>
      </c>
      <c r="Q7" s="3213"/>
      <c r="R7" s="770" t="s">
        <v>17</v>
      </c>
      <c r="S7" s="771">
        <f t="shared" ref="S7:S15" si="0">F7</f>
        <v>0</v>
      </c>
      <c r="T7" s="770" t="s">
        <v>17</v>
      </c>
      <c r="U7" s="771">
        <f t="shared" ref="U7:U15" si="1">H7</f>
        <v>0</v>
      </c>
      <c r="V7" s="770" t="s">
        <v>17</v>
      </c>
      <c r="W7" s="771">
        <f t="shared" ref="W7:W15" si="2">J7</f>
        <v>0</v>
      </c>
      <c r="X7" s="772"/>
      <c r="Y7" s="3185" t="s">
        <v>2547</v>
      </c>
      <c r="Z7" s="3186"/>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5" t="s">
        <v>2550</v>
      </c>
      <c r="Q8" s="3186"/>
      <c r="R8" s="770" t="s">
        <v>17</v>
      </c>
      <c r="S8" s="771">
        <f t="shared" si="0"/>
        <v>0</v>
      </c>
      <c r="T8" s="770" t="s">
        <v>17</v>
      </c>
      <c r="U8" s="771">
        <f t="shared" si="1"/>
        <v>0</v>
      </c>
      <c r="V8" s="770" t="s">
        <v>17</v>
      </c>
      <c r="W8" s="771">
        <f t="shared" si="2"/>
        <v>0</v>
      </c>
      <c r="X8" s="772"/>
      <c r="Y8" s="3185" t="s">
        <v>2550</v>
      </c>
      <c r="Z8" s="3186"/>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7" t="s">
        <v>2553</v>
      </c>
      <c r="Q9" s="1795" t="str">
        <f t="shared" ref="Q9:Q15" si="6">B9</f>
        <v>用途</v>
      </c>
      <c r="R9" s="770" t="s">
        <v>17</v>
      </c>
      <c r="S9" s="771">
        <f t="shared" si="0"/>
        <v>100</v>
      </c>
      <c r="T9" s="770" t="s">
        <v>17</v>
      </c>
      <c r="U9" s="771">
        <f t="shared" si="1"/>
        <v>100</v>
      </c>
      <c r="V9" s="770" t="s">
        <v>17</v>
      </c>
      <c r="W9" s="771">
        <f t="shared" si="2"/>
        <v>100</v>
      </c>
      <c r="X9" s="772"/>
      <c r="Y9" s="303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7"/>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7"/>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17"/>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17"/>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17"/>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2557</v>
      </c>
      <c r="B15" s="69" t="s">
        <v>2701</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9" t="s">
        <v>2558</v>
      </c>
      <c r="Q15" s="1810" t="str">
        <f t="shared" si="6"/>
        <v>产业集聚程度</v>
      </c>
      <c r="R15" s="774" t="s">
        <v>17</v>
      </c>
      <c r="S15" s="775">
        <f t="shared" si="0"/>
        <v>100</v>
      </c>
      <c r="T15" s="774" t="s">
        <v>17</v>
      </c>
      <c r="U15" s="775">
        <f t="shared" si="1"/>
        <v>100</v>
      </c>
      <c r="V15" s="774" t="s">
        <v>17</v>
      </c>
      <c r="W15" s="775">
        <f t="shared" si="2"/>
        <v>100</v>
      </c>
      <c r="X15" s="1813"/>
      <c r="Y15" s="3219"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20"/>
      <c r="Q16" s="1810"/>
      <c r="R16" s="774"/>
      <c r="S16" s="775"/>
      <c r="T16" s="774"/>
      <c r="U16" s="775"/>
      <c r="V16" s="774"/>
      <c r="W16" s="775"/>
      <c r="X16" s="1813"/>
      <c r="Y16" s="3220"/>
      <c r="Z16" s="1814"/>
      <c r="AA16" s="1811">
        <v>1</v>
      </c>
      <c r="AB16" s="1811">
        <v>1</v>
      </c>
      <c r="AC16" s="1811">
        <v>1</v>
      </c>
    </row>
    <row r="17" spans="1:29" ht="85.5">
      <c r="A17" s="428"/>
      <c r="B17" s="451" t="s">
        <v>2095</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0"/>
      <c r="Q17" s="1810" t="str">
        <f>B17</f>
        <v>交通便捷度</v>
      </c>
      <c r="R17" s="774" t="s">
        <v>17</v>
      </c>
      <c r="S17" s="775">
        <f>F17</f>
        <v>100</v>
      </c>
      <c r="T17" s="774" t="s">
        <v>17</v>
      </c>
      <c r="U17" s="775">
        <f>H17</f>
        <v>100</v>
      </c>
      <c r="V17" s="774" t="s">
        <v>17</v>
      </c>
      <c r="W17" s="775">
        <f>J17</f>
        <v>100</v>
      </c>
      <c r="X17" s="1813"/>
      <c r="Y17" s="3220"/>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20"/>
      <c r="Q18" s="1810"/>
      <c r="R18" s="774"/>
      <c r="S18" s="775"/>
      <c r="T18" s="774"/>
      <c r="U18" s="775"/>
      <c r="V18" s="774"/>
      <c r="W18" s="775"/>
      <c r="X18" s="1813"/>
      <c r="Y18" s="3220"/>
      <c r="Z18" s="1814"/>
      <c r="AA18" s="1811">
        <v>1</v>
      </c>
      <c r="AB18" s="1811">
        <v>1</v>
      </c>
      <c r="AC18" s="1811">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0"/>
      <c r="Q19" s="1810" t="str">
        <f>B19</f>
        <v>公共配套设施</v>
      </c>
      <c r="R19" s="774" t="s">
        <v>17</v>
      </c>
      <c r="S19" s="775">
        <f>F19</f>
        <v>100</v>
      </c>
      <c r="T19" s="774" t="s">
        <v>17</v>
      </c>
      <c r="U19" s="775">
        <f>H19</f>
        <v>100</v>
      </c>
      <c r="V19" s="774" t="s">
        <v>17</v>
      </c>
      <c r="W19" s="775">
        <f>J19</f>
        <v>100</v>
      </c>
      <c r="X19" s="1813"/>
      <c r="Y19" s="3220"/>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20"/>
      <c r="Q20" s="1810"/>
      <c r="R20" s="774"/>
      <c r="S20" s="775"/>
      <c r="T20" s="774"/>
      <c r="U20" s="775"/>
      <c r="V20" s="774"/>
      <c r="W20" s="775"/>
      <c r="X20" s="1813"/>
      <c r="Y20" s="3220"/>
      <c r="Z20" s="1814"/>
      <c r="AA20" s="1811">
        <v>1</v>
      </c>
      <c r="AB20" s="1811">
        <v>1</v>
      </c>
      <c r="AC20" s="1811">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0"/>
      <c r="Q21" s="1810" t="str">
        <f>B21</f>
        <v>基础设施水平</v>
      </c>
      <c r="R21" s="774" t="s">
        <v>17</v>
      </c>
      <c r="S21" s="775">
        <f>F21</f>
        <v>100</v>
      </c>
      <c r="T21" s="774" t="s">
        <v>17</v>
      </c>
      <c r="U21" s="775">
        <f>H21</f>
        <v>100</v>
      </c>
      <c r="V21" s="774" t="s">
        <v>17</v>
      </c>
      <c r="W21" s="775">
        <f>J21</f>
        <v>100</v>
      </c>
      <c r="X21" s="1813"/>
      <c r="Y21" s="3220"/>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20"/>
      <c r="Q22" s="1810"/>
      <c r="R22" s="774"/>
      <c r="S22" s="775"/>
      <c r="T22" s="774"/>
      <c r="U22" s="775"/>
      <c r="V22" s="774"/>
      <c r="W22" s="775"/>
      <c r="X22" s="1813"/>
      <c r="Y22" s="3220"/>
      <c r="Z22" s="1814"/>
      <c r="AA22" s="1811">
        <v>1</v>
      </c>
      <c r="AB22" s="1811">
        <v>1</v>
      </c>
      <c r="AC22" s="1811">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0"/>
      <c r="Q23" s="1810" t="str">
        <f>B23</f>
        <v>环境质量</v>
      </c>
      <c r="R23" s="774" t="s">
        <v>17</v>
      </c>
      <c r="S23" s="775">
        <f>F23</f>
        <v>100</v>
      </c>
      <c r="T23" s="774" t="s">
        <v>17</v>
      </c>
      <c r="U23" s="775">
        <f>H23</f>
        <v>100</v>
      </c>
      <c r="V23" s="774" t="s">
        <v>17</v>
      </c>
      <c r="W23" s="775">
        <f>J23</f>
        <v>100</v>
      </c>
      <c r="X23" s="1813"/>
      <c r="Y23" s="3220"/>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20"/>
      <c r="Q24" s="1810"/>
      <c r="R24" s="774"/>
      <c r="S24" s="775"/>
      <c r="T24" s="774"/>
      <c r="U24" s="775"/>
      <c r="V24" s="774"/>
      <c r="W24" s="775"/>
      <c r="X24" s="1813"/>
      <c r="Y24" s="322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0"/>
      <c r="Q25" s="1810">
        <f>B25</f>
        <v>111</v>
      </c>
      <c r="R25" s="774" t="s">
        <v>17</v>
      </c>
      <c r="S25" s="775">
        <f>F25</f>
        <v>100</v>
      </c>
      <c r="T25" s="774" t="s">
        <v>17</v>
      </c>
      <c r="U25" s="775">
        <f>H25</f>
        <v>100</v>
      </c>
      <c r="V25" s="774" t="s">
        <v>17</v>
      </c>
      <c r="W25" s="775">
        <f>J25</f>
        <v>100</v>
      </c>
      <c r="X25" s="1813"/>
      <c r="Y25" s="322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0"/>
      <c r="Q26" s="1810">
        <f t="shared" ref="Q26:Q40" si="11">B26</f>
        <v>111</v>
      </c>
      <c r="R26" s="774" t="s">
        <v>17</v>
      </c>
      <c r="S26" s="775">
        <f>F26</f>
        <v>100</v>
      </c>
      <c r="T26" s="774" t="s">
        <v>17</v>
      </c>
      <c r="U26" s="775">
        <f>H26</f>
        <v>100</v>
      </c>
      <c r="V26" s="774" t="s">
        <v>17</v>
      </c>
      <c r="W26" s="775">
        <f>J26</f>
        <v>100</v>
      </c>
      <c r="X26" s="1813"/>
      <c r="Y26" s="322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0"/>
      <c r="Q27" s="1795">
        <f t="shared" si="11"/>
        <v>111</v>
      </c>
      <c r="R27" s="770" t="s">
        <v>17</v>
      </c>
      <c r="S27" s="771">
        <f>F27</f>
        <v>100</v>
      </c>
      <c r="T27" s="770" t="s">
        <v>17</v>
      </c>
      <c r="U27" s="771">
        <f>H27</f>
        <v>100</v>
      </c>
      <c r="V27" s="770" t="s">
        <v>17</v>
      </c>
      <c r="W27" s="771">
        <f>J27</f>
        <v>100</v>
      </c>
      <c r="X27" s="772"/>
      <c r="Y27" s="322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0"/>
      <c r="Q28" s="1810">
        <f t="shared" si="11"/>
        <v>111</v>
      </c>
      <c r="R28" s="774" t="s">
        <v>17</v>
      </c>
      <c r="S28" s="775">
        <f t="shared" ref="S28:S40" si="12">F28</f>
        <v>100</v>
      </c>
      <c r="T28" s="774" t="s">
        <v>17</v>
      </c>
      <c r="U28" s="775">
        <f t="shared" ref="U28:U40" si="13">H28</f>
        <v>100</v>
      </c>
      <c r="V28" s="774" t="s">
        <v>17</v>
      </c>
      <c r="W28" s="775">
        <f t="shared" ref="W28:W40" si="14">J28</f>
        <v>100</v>
      </c>
      <c r="X28" s="1813"/>
      <c r="Y28" s="3220"/>
      <c r="Z28" s="1814">
        <f t="shared" ref="Z28:Z40" si="15">Q28</f>
        <v>111</v>
      </c>
      <c r="AA28" s="1811">
        <f t="shared" si="3"/>
        <v>1</v>
      </c>
      <c r="AB28" s="1811">
        <f t="shared" si="4"/>
        <v>1</v>
      </c>
      <c r="AC28" s="1811">
        <f t="shared" si="5"/>
        <v>1</v>
      </c>
    </row>
    <row r="29" spans="1:29" ht="28.5">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45" t="s">
        <v>2563</v>
      </c>
      <c r="Q29" s="1810" t="str">
        <f t="shared" si="11"/>
        <v>建筑类型</v>
      </c>
      <c r="R29" s="774" t="s">
        <v>17</v>
      </c>
      <c r="S29" s="775">
        <f t="shared" si="12"/>
        <v>100</v>
      </c>
      <c r="T29" s="774" t="s">
        <v>17</v>
      </c>
      <c r="U29" s="775">
        <f t="shared" si="13"/>
        <v>100</v>
      </c>
      <c r="V29" s="774" t="s">
        <v>17</v>
      </c>
      <c r="W29" s="775">
        <f t="shared" si="14"/>
        <v>100</v>
      </c>
      <c r="X29" s="1813"/>
      <c r="Y29" s="3224"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4"/>
      <c r="Q30" s="776" t="str">
        <f t="shared" si="11"/>
        <v>项目建筑规模</v>
      </c>
      <c r="R30" s="777" t="s">
        <v>17</v>
      </c>
      <c r="S30" s="778" t="e">
        <f t="shared" si="12"/>
        <v>#N/A</v>
      </c>
      <c r="T30" s="777" t="s">
        <v>17</v>
      </c>
      <c r="U30" s="778" t="e">
        <f t="shared" si="13"/>
        <v>#N/A</v>
      </c>
      <c r="V30" s="777" t="s">
        <v>17</v>
      </c>
      <c r="W30" s="778" t="e">
        <f t="shared" si="14"/>
        <v>#N/A</v>
      </c>
      <c r="X30" s="779"/>
      <c r="Y30" s="3224"/>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4"/>
      <c r="Q31" s="1810" t="str">
        <f t="shared" si="11"/>
        <v>建筑结构</v>
      </c>
      <c r="R31" s="774" t="s">
        <v>17</v>
      </c>
      <c r="S31" s="775">
        <f t="shared" si="12"/>
        <v>100</v>
      </c>
      <c r="T31" s="774" t="s">
        <v>17</v>
      </c>
      <c r="U31" s="775">
        <f t="shared" si="13"/>
        <v>100</v>
      </c>
      <c r="V31" s="774" t="s">
        <v>17</v>
      </c>
      <c r="W31" s="775">
        <f t="shared" si="14"/>
        <v>100</v>
      </c>
      <c r="X31" s="1813"/>
      <c r="Y31" s="3224"/>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4"/>
      <c r="Q32" s="1810" t="str">
        <f t="shared" si="11"/>
        <v>公共部分装修</v>
      </c>
      <c r="R32" s="774" t="s">
        <v>17</v>
      </c>
      <c r="S32" s="775">
        <f t="shared" si="12"/>
        <v>100</v>
      </c>
      <c r="T32" s="774" t="s">
        <v>17</v>
      </c>
      <c r="U32" s="775">
        <f t="shared" si="13"/>
        <v>100</v>
      </c>
      <c r="V32" s="774" t="s">
        <v>17</v>
      </c>
      <c r="W32" s="775">
        <f t="shared" si="14"/>
        <v>100</v>
      </c>
      <c r="X32" s="1813"/>
      <c r="Y32" s="3224"/>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4"/>
      <c r="Q33" s="1810" t="str">
        <f t="shared" si="11"/>
        <v>成新度</v>
      </c>
      <c r="R33" s="774" t="s">
        <v>17</v>
      </c>
      <c r="S33" s="775" t="e">
        <f t="shared" si="12"/>
        <v>#N/A</v>
      </c>
      <c r="T33" s="774" t="s">
        <v>17</v>
      </c>
      <c r="U33" s="775" t="e">
        <f t="shared" si="13"/>
        <v>#N/A</v>
      </c>
      <c r="V33" s="774" t="s">
        <v>17</v>
      </c>
      <c r="W33" s="775" t="e">
        <f t="shared" si="14"/>
        <v>#N/A</v>
      </c>
      <c r="X33" s="1813"/>
      <c r="Y33" s="3224"/>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4"/>
      <c r="Q34" s="1795" t="str">
        <f t="shared" si="11"/>
        <v>物业管理</v>
      </c>
      <c r="R34" s="770" t="s">
        <v>17</v>
      </c>
      <c r="S34" s="771">
        <f t="shared" si="12"/>
        <v>100</v>
      </c>
      <c r="T34" s="770" t="s">
        <v>17</v>
      </c>
      <c r="U34" s="771">
        <f t="shared" si="13"/>
        <v>100</v>
      </c>
      <c r="V34" s="770" t="s">
        <v>17</v>
      </c>
      <c r="W34" s="771">
        <f t="shared" si="14"/>
        <v>100</v>
      </c>
      <c r="X34" s="772"/>
      <c r="Y34" s="3224"/>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4" t="s">
        <v>2563</v>
      </c>
      <c r="Q35" s="1810" t="str">
        <f t="shared" si="11"/>
        <v>市政基础设施</v>
      </c>
      <c r="R35" s="774" t="s">
        <v>17</v>
      </c>
      <c r="S35" s="775">
        <f t="shared" si="12"/>
        <v>100</v>
      </c>
      <c r="T35" s="774" t="s">
        <v>17</v>
      </c>
      <c r="U35" s="775">
        <f t="shared" si="13"/>
        <v>100</v>
      </c>
      <c r="V35" s="774" t="s">
        <v>17</v>
      </c>
      <c r="W35" s="775">
        <f t="shared" si="14"/>
        <v>100</v>
      </c>
      <c r="X35" s="1813"/>
      <c r="Y35" s="3224"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4"/>
      <c r="Q36" s="1810" t="str">
        <f t="shared" si="11"/>
        <v>内部装修</v>
      </c>
      <c r="R36" s="774" t="s">
        <v>17</v>
      </c>
      <c r="S36" s="775">
        <f t="shared" si="12"/>
        <v>100</v>
      </c>
      <c r="T36" s="774" t="s">
        <v>17</v>
      </c>
      <c r="U36" s="775">
        <f t="shared" si="13"/>
        <v>100</v>
      </c>
      <c r="V36" s="774" t="s">
        <v>17</v>
      </c>
      <c r="W36" s="775">
        <f t="shared" si="14"/>
        <v>100</v>
      </c>
      <c r="X36" s="1813"/>
      <c r="Y36" s="3224"/>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4"/>
      <c r="Q37" s="1810" t="str">
        <f t="shared" si="11"/>
        <v>内部装修状况</v>
      </c>
      <c r="R37" s="774" t="s">
        <v>17</v>
      </c>
      <c r="S37" s="775">
        <f t="shared" si="12"/>
        <v>100</v>
      </c>
      <c r="T37" s="774" t="s">
        <v>17</v>
      </c>
      <c r="U37" s="775">
        <f t="shared" si="13"/>
        <v>100</v>
      </c>
      <c r="V37" s="774" t="s">
        <v>17</v>
      </c>
      <c r="W37" s="775">
        <f t="shared" si="14"/>
        <v>100</v>
      </c>
      <c r="X37" s="1813"/>
      <c r="Y37" s="322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4"/>
      <c r="Q38" s="776">
        <f t="shared" si="11"/>
        <v>111</v>
      </c>
      <c r="R38" s="777" t="s">
        <v>17</v>
      </c>
      <c r="S38" s="778">
        <f t="shared" si="12"/>
        <v>100</v>
      </c>
      <c r="T38" s="777" t="s">
        <v>17</v>
      </c>
      <c r="U38" s="778">
        <f t="shared" si="13"/>
        <v>100</v>
      </c>
      <c r="V38" s="777" t="s">
        <v>17</v>
      </c>
      <c r="W38" s="778">
        <f t="shared" si="14"/>
        <v>100</v>
      </c>
      <c r="X38" s="779"/>
      <c r="Y38" s="322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4"/>
      <c r="Q39" s="1810">
        <f t="shared" si="11"/>
        <v>111</v>
      </c>
      <c r="R39" s="774" t="s">
        <v>17</v>
      </c>
      <c r="S39" s="775">
        <f t="shared" si="12"/>
        <v>100</v>
      </c>
      <c r="T39" s="774" t="s">
        <v>17</v>
      </c>
      <c r="U39" s="775">
        <f t="shared" si="13"/>
        <v>100</v>
      </c>
      <c r="V39" s="774" t="s">
        <v>17</v>
      </c>
      <c r="W39" s="775">
        <f t="shared" si="14"/>
        <v>100</v>
      </c>
      <c r="X39" s="1813"/>
      <c r="Y39" s="3224"/>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5"/>
      <c r="Q40" s="1810">
        <f t="shared" si="11"/>
        <v>111</v>
      </c>
      <c r="R40" s="774" t="s">
        <v>17</v>
      </c>
      <c r="S40" s="775">
        <f t="shared" si="12"/>
        <v>100</v>
      </c>
      <c r="T40" s="774" t="s">
        <v>17</v>
      </c>
      <c r="U40" s="775">
        <f t="shared" si="13"/>
        <v>100</v>
      </c>
      <c r="V40" s="774" t="s">
        <v>17</v>
      </c>
      <c r="W40" s="775">
        <f t="shared" si="14"/>
        <v>100</v>
      </c>
      <c r="X40" s="1813"/>
      <c r="Y40" s="3225"/>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3"/>
      <c r="L41" s="1143"/>
      <c r="M41" s="1144"/>
      <c r="N41" s="1131"/>
      <c r="O41" s="1144"/>
      <c r="P41" s="3217" t="str">
        <f>A41</f>
        <v>成交单价（元/平方米）</v>
      </c>
      <c r="Q41" s="3217"/>
      <c r="R41" s="3218">
        <f>E41</f>
        <v>0</v>
      </c>
      <c r="S41" s="3218"/>
      <c r="T41" s="3218">
        <f>G41</f>
        <v>0</v>
      </c>
      <c r="U41" s="3218"/>
      <c r="V41" s="3218">
        <f>I41</f>
        <v>0</v>
      </c>
      <c r="W41" s="3218"/>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214" t="str">
        <f>A43</f>
        <v>估价对象XX用房的比较价值（楼面单价，元/平方米）</v>
      </c>
      <c r="Q43" s="3215"/>
      <c r="R43" s="3216" t="e">
        <f>IF(F1="售价",ROUND(AVERAGE(R42:V42),0),ROUND(AVERAGE(R42:V42),1))</f>
        <v>#DIV/0!</v>
      </c>
      <c r="S43" s="3216"/>
      <c r="T43" s="3216"/>
      <c r="U43" s="3216"/>
      <c r="V43" s="3216"/>
      <c r="W43" s="321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5"/>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7"/>
      <c r="D2" s="1124" t="e">
        <f ca="1">SUMIF(INDIRECT("'"&amp;F2&amp;"'"&amp;"!A:A"),"承租人权益价值",INDIRECT("'"&amp;F2&amp;"'"&amp;"!c:c"))</f>
        <v>#REF!</v>
      </c>
      <c r="E2" s="2588" t="s">
        <v>2326</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00" t="s">
        <v>2644</v>
      </c>
      <c r="D4" s="3201"/>
      <c r="E4" s="3202" t="s">
        <v>2645</v>
      </c>
      <c r="F4" s="3203"/>
      <c r="G4" s="3200" t="s">
        <v>2646</v>
      </c>
      <c r="H4" s="3201"/>
      <c r="I4" s="3200" t="s">
        <v>2647</v>
      </c>
      <c r="J4" s="3201"/>
      <c r="K4" s="610" t="s">
        <v>2648</v>
      </c>
      <c r="L4" s="1130"/>
      <c r="M4" s="1131"/>
      <c r="N4" s="1131"/>
      <c r="O4" s="1131"/>
      <c r="P4" s="3204" t="s">
        <v>2649</v>
      </c>
      <c r="Q4" s="3205"/>
      <c r="R4" s="3187" t="s">
        <v>2645</v>
      </c>
      <c r="S4" s="3188"/>
      <c r="T4" s="3187" t="s">
        <v>2646</v>
      </c>
      <c r="U4" s="3188"/>
      <c r="V4" s="3212" t="s">
        <v>2647</v>
      </c>
      <c r="W4" s="3212"/>
      <c r="X4" s="1813"/>
      <c r="Y4" s="3187" t="s">
        <v>2649</v>
      </c>
      <c r="Z4" s="3188"/>
      <c r="AA4" s="3182" t="s">
        <v>2645</v>
      </c>
      <c r="AB4" s="3183" t="s">
        <v>2646</v>
      </c>
      <c r="AC4" s="3182" t="s">
        <v>2647</v>
      </c>
    </row>
    <row r="5" spans="1:29" ht="15">
      <c r="A5" s="404"/>
      <c r="B5" s="405"/>
      <c r="C5" s="3229" t="s">
        <v>2540</v>
      </c>
      <c r="D5" s="3194"/>
      <c r="E5" s="3228" t="s">
        <v>2541</v>
      </c>
      <c r="F5" s="3192"/>
      <c r="G5" s="3229" t="s">
        <v>2542</v>
      </c>
      <c r="H5" s="3194"/>
      <c r="I5" s="3229" t="s">
        <v>2543</v>
      </c>
      <c r="J5" s="3194"/>
      <c r="K5" s="610"/>
      <c r="L5" s="1130"/>
      <c r="M5" s="1131"/>
      <c r="N5" s="1131"/>
      <c r="O5" s="1131"/>
      <c r="P5" s="3206"/>
      <c r="Q5" s="3207"/>
      <c r="R5" s="3189"/>
      <c r="S5" s="3190"/>
      <c r="T5" s="3189"/>
      <c r="U5" s="3190"/>
      <c r="V5" s="3212"/>
      <c r="W5" s="3212"/>
      <c r="X5" s="1813"/>
      <c r="Y5" s="3189"/>
      <c r="Z5" s="3190"/>
      <c r="AA5" s="3183"/>
      <c r="AB5" s="3183"/>
      <c r="AC5" s="3183"/>
    </row>
    <row r="6" spans="1:29" ht="15.75" thickBot="1">
      <c r="A6" s="406"/>
      <c r="B6" s="407"/>
      <c r="C6" s="3195" t="s">
        <v>2544</v>
      </c>
      <c r="D6" s="3196"/>
      <c r="E6" s="3197" t="s">
        <v>2544</v>
      </c>
      <c r="F6" s="3198"/>
      <c r="G6" s="3195" t="s">
        <v>2544</v>
      </c>
      <c r="H6" s="3196"/>
      <c r="I6" s="3195" t="s">
        <v>2544</v>
      </c>
      <c r="J6" s="3196"/>
      <c r="K6" s="610" t="s">
        <v>2545</v>
      </c>
      <c r="L6" s="1130"/>
      <c r="M6" s="1131"/>
      <c r="N6" s="1131"/>
      <c r="O6" s="1131"/>
      <c r="P6" s="3208"/>
      <c r="Q6" s="3209"/>
      <c r="R6" s="3189"/>
      <c r="S6" s="3190"/>
      <c r="T6" s="3210"/>
      <c r="U6" s="3211"/>
      <c r="V6" s="3212"/>
      <c r="W6" s="3212"/>
      <c r="X6" s="1813"/>
      <c r="Y6" s="3210"/>
      <c r="Z6" s="3211"/>
      <c r="AA6" s="3184"/>
      <c r="AB6" s="3184"/>
      <c r="AC6" s="3184"/>
    </row>
    <row r="7" spans="1:29" s="117" customFormat="1" ht="15.75" thickBot="1">
      <c r="A7" s="408" t="s">
        <v>2546</v>
      </c>
      <c r="B7" s="409"/>
      <c r="C7" s="410">
        <f>'数据-取费表'!B2</f>
        <v>43601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5" t="s">
        <v>2547</v>
      </c>
      <c r="Q7" s="3213"/>
      <c r="R7" s="770" t="s">
        <v>17</v>
      </c>
      <c r="S7" s="771">
        <f t="shared" ref="S7:S14" si="0">F7</f>
        <v>0</v>
      </c>
      <c r="T7" s="770" t="s">
        <v>17</v>
      </c>
      <c r="U7" s="771">
        <f t="shared" ref="U7:U14" si="1">H7</f>
        <v>0</v>
      </c>
      <c r="V7" s="770" t="s">
        <v>17</v>
      </c>
      <c r="W7" s="771">
        <f t="shared" ref="W7:W14" si="2">J7</f>
        <v>0</v>
      </c>
      <c r="X7" s="772"/>
      <c r="Y7" s="3185" t="s">
        <v>2547</v>
      </c>
      <c r="Z7" s="3186"/>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5" t="s">
        <v>2550</v>
      </c>
      <c r="Q8" s="3186"/>
      <c r="R8" s="770" t="s">
        <v>17</v>
      </c>
      <c r="S8" s="771">
        <f t="shared" si="0"/>
        <v>0</v>
      </c>
      <c r="T8" s="770" t="s">
        <v>17</v>
      </c>
      <c r="U8" s="771">
        <f t="shared" si="1"/>
        <v>0</v>
      </c>
      <c r="V8" s="770" t="s">
        <v>17</v>
      </c>
      <c r="W8" s="771">
        <f t="shared" si="2"/>
        <v>0</v>
      </c>
      <c r="X8" s="772"/>
      <c r="Y8" s="3185" t="s">
        <v>2550</v>
      </c>
      <c r="Z8" s="3186"/>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7" t="s">
        <v>2553</v>
      </c>
      <c r="Q9" s="1795" t="str">
        <f t="shared" ref="Q9:Q14" si="6">B9</f>
        <v>用途</v>
      </c>
      <c r="R9" s="770" t="s">
        <v>17</v>
      </c>
      <c r="S9" s="771">
        <f t="shared" si="0"/>
        <v>100</v>
      </c>
      <c r="T9" s="770" t="s">
        <v>17</v>
      </c>
      <c r="U9" s="771">
        <f t="shared" si="1"/>
        <v>100</v>
      </c>
      <c r="V9" s="770" t="s">
        <v>17</v>
      </c>
      <c r="W9" s="771">
        <f t="shared" si="2"/>
        <v>100</v>
      </c>
      <c r="X9" s="772"/>
      <c r="Y9" s="3032"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7"/>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7"/>
      <c r="Q11" s="1795">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7"/>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7"/>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14">
      <c r="A14" s="401" t="s">
        <v>2557</v>
      </c>
      <c r="B14" s="629" t="s">
        <v>2707</v>
      </c>
      <c r="C14" s="2691" t="str">
        <f>IF(B1="工业",估价对象房地状况!G4,估价对象房地状况!C6)</f>
        <v>估价对象周边道路状况一般、公共交通通达情况较好（公交车通达度较好）、停车便捷程度一般，综合评价交通便捷度较好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9" t="s">
        <v>2558</v>
      </c>
      <c r="Q14" s="1810" t="str">
        <f t="shared" si="6"/>
        <v>交通便捷度</v>
      </c>
      <c r="R14" s="774" t="s">
        <v>17</v>
      </c>
      <c r="S14" s="775">
        <f t="shared" si="0"/>
        <v>100</v>
      </c>
      <c r="T14" s="774" t="s">
        <v>17</v>
      </c>
      <c r="U14" s="775">
        <f t="shared" si="1"/>
        <v>100</v>
      </c>
      <c r="V14" s="774" t="s">
        <v>17</v>
      </c>
      <c r="W14" s="775">
        <f t="shared" si="2"/>
        <v>100</v>
      </c>
      <c r="X14" s="1813"/>
      <c r="Y14" s="3219"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20"/>
      <c r="Q15" s="1810"/>
      <c r="R15" s="774"/>
      <c r="S15" s="775"/>
      <c r="T15" s="774"/>
      <c r="U15" s="775"/>
      <c r="V15" s="774"/>
      <c r="W15" s="775"/>
      <c r="X15" s="1813"/>
      <c r="Y15" s="3220"/>
      <c r="Z15" s="1814"/>
      <c r="AA15" s="1811">
        <v>1</v>
      </c>
      <c r="AB15" s="1811">
        <v>1</v>
      </c>
      <c r="AC15" s="1811">
        <v>1</v>
      </c>
    </row>
    <row r="16" spans="1:29" ht="42.75">
      <c r="A16" s="404"/>
      <c r="B16" s="631" t="s">
        <v>2686</v>
      </c>
      <c r="C16" s="2607" t="str">
        <f>IF(B1="工业",估价对象房地状况!G5,估价对象房地状况!C7)</f>
        <v>估价对象所在区域公共配套设施较齐备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0"/>
      <c r="Q16" s="1810" t="str">
        <f>B16</f>
        <v>公共配套设施</v>
      </c>
      <c r="R16" s="774" t="s">
        <v>17</v>
      </c>
      <c r="S16" s="775">
        <f>F16</f>
        <v>100</v>
      </c>
      <c r="T16" s="774" t="s">
        <v>17</v>
      </c>
      <c r="U16" s="775">
        <f>H16</f>
        <v>100</v>
      </c>
      <c r="V16" s="774" t="s">
        <v>17</v>
      </c>
      <c r="W16" s="775">
        <f>J16</f>
        <v>100</v>
      </c>
      <c r="X16" s="1813"/>
      <c r="Y16" s="3220"/>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20"/>
      <c r="Q17" s="1810"/>
      <c r="R17" s="774"/>
      <c r="S17" s="775"/>
      <c r="T17" s="774"/>
      <c r="U17" s="775"/>
      <c r="V17" s="774"/>
      <c r="W17" s="775"/>
      <c r="X17" s="1813"/>
      <c r="Y17" s="3220"/>
      <c r="Z17" s="1814"/>
      <c r="AA17" s="1811">
        <v>1</v>
      </c>
      <c r="AB17" s="1811">
        <v>1</v>
      </c>
      <c r="AC17" s="1811">
        <v>1</v>
      </c>
    </row>
    <row r="18" spans="1:29" ht="42.75">
      <c r="A18" s="404"/>
      <c r="B18" s="633" t="s">
        <v>2687</v>
      </c>
      <c r="C18" s="2607" t="str">
        <f>IF(B1="工业",估价对象房地状况!G6,估价对象房地状况!C8)</f>
        <v>估价对象所在区域基础设施水平为六通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0"/>
      <c r="Q18" s="1810" t="str">
        <f>B18</f>
        <v>基础设施水平</v>
      </c>
      <c r="R18" s="774" t="s">
        <v>17</v>
      </c>
      <c r="S18" s="775">
        <f>F18</f>
        <v>100</v>
      </c>
      <c r="T18" s="774" t="s">
        <v>17</v>
      </c>
      <c r="U18" s="775">
        <f>H18</f>
        <v>100</v>
      </c>
      <c r="V18" s="774" t="s">
        <v>17</v>
      </c>
      <c r="W18" s="775">
        <f>J18</f>
        <v>100</v>
      </c>
      <c r="X18" s="1813"/>
      <c r="Y18" s="3220"/>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20"/>
      <c r="Q19" s="1810"/>
      <c r="R19" s="774"/>
      <c r="S19" s="775"/>
      <c r="T19" s="774"/>
      <c r="U19" s="775"/>
      <c r="V19" s="774"/>
      <c r="W19" s="775"/>
      <c r="X19" s="1813"/>
      <c r="Y19" s="3220"/>
      <c r="Z19" s="1814"/>
      <c r="AA19" s="1811">
        <v>1</v>
      </c>
      <c r="AB19" s="1811">
        <v>1</v>
      </c>
      <c r="AC19" s="1811">
        <v>1</v>
      </c>
    </row>
    <row r="20" spans="1:29" ht="71.25">
      <c r="A20" s="404"/>
      <c r="B20" s="631" t="s">
        <v>2708</v>
      </c>
      <c r="C20" s="2607" t="str">
        <f>IF(B1="工业",估价对象房地状况!G7,估价对象房地状况!C9)</f>
        <v>区域自然环境：周边有渭清公园；人文环境一般；综合评价环境状况一般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0"/>
      <c r="Q20" s="1810" t="str">
        <f>B20</f>
        <v>自然及人文环境</v>
      </c>
      <c r="R20" s="774" t="s">
        <v>17</v>
      </c>
      <c r="S20" s="775">
        <f>F20</f>
        <v>100</v>
      </c>
      <c r="T20" s="774" t="s">
        <v>17</v>
      </c>
      <c r="U20" s="775">
        <f>H20</f>
        <v>100</v>
      </c>
      <c r="V20" s="774" t="s">
        <v>17</v>
      </c>
      <c r="W20" s="775">
        <f>J20</f>
        <v>100</v>
      </c>
      <c r="X20" s="1813"/>
      <c r="Y20" s="322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20"/>
      <c r="Q21" s="1810"/>
      <c r="R21" s="774"/>
      <c r="S21" s="775"/>
      <c r="T21" s="774"/>
      <c r="U21" s="775"/>
      <c r="V21" s="774"/>
      <c r="W21" s="775"/>
      <c r="X21" s="1813"/>
      <c r="Y21" s="3220"/>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0"/>
      <c r="Q22" s="1810" t="str">
        <f>B22</f>
        <v>楼层</v>
      </c>
      <c r="R22" s="774" t="s">
        <v>17</v>
      </c>
      <c r="S22" s="775">
        <f>F22</f>
        <v>100</v>
      </c>
      <c r="T22" s="774" t="s">
        <v>17</v>
      </c>
      <c r="U22" s="775">
        <f>H22</f>
        <v>100</v>
      </c>
      <c r="V22" s="774" t="s">
        <v>17</v>
      </c>
      <c r="W22" s="775">
        <f>J22</f>
        <v>100</v>
      </c>
      <c r="X22" s="1813"/>
      <c r="Y22" s="322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0"/>
      <c r="Q23" s="1810">
        <f>B23</f>
        <v>111</v>
      </c>
      <c r="R23" s="774" t="s">
        <v>17</v>
      </c>
      <c r="S23" s="775">
        <f>F23</f>
        <v>100</v>
      </c>
      <c r="T23" s="774" t="s">
        <v>17</v>
      </c>
      <c r="U23" s="775">
        <f>H23</f>
        <v>100</v>
      </c>
      <c r="V23" s="774" t="s">
        <v>17</v>
      </c>
      <c r="W23" s="775">
        <f>J23</f>
        <v>100</v>
      </c>
      <c r="X23" s="1813"/>
      <c r="Y23" s="322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0"/>
      <c r="Q24" s="1810">
        <f t="shared" ref="Q24:Q36" si="11">B24</f>
        <v>111</v>
      </c>
      <c r="R24" s="774" t="s">
        <v>17</v>
      </c>
      <c r="S24" s="775">
        <f>F24</f>
        <v>100</v>
      </c>
      <c r="T24" s="774" t="s">
        <v>17</v>
      </c>
      <c r="U24" s="775">
        <f>H24</f>
        <v>100</v>
      </c>
      <c r="V24" s="774" t="s">
        <v>17</v>
      </c>
      <c r="W24" s="775">
        <f>J24</f>
        <v>100</v>
      </c>
      <c r="X24" s="1813"/>
      <c r="Y24" s="322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0"/>
      <c r="Q25" s="1795">
        <f t="shared" si="11"/>
        <v>111</v>
      </c>
      <c r="R25" s="770" t="s">
        <v>17</v>
      </c>
      <c r="S25" s="771">
        <f>F25</f>
        <v>100</v>
      </c>
      <c r="T25" s="770" t="s">
        <v>17</v>
      </c>
      <c r="U25" s="771">
        <f>H25</f>
        <v>100</v>
      </c>
      <c r="V25" s="770" t="s">
        <v>17</v>
      </c>
      <c r="W25" s="771">
        <f>J25</f>
        <v>100</v>
      </c>
      <c r="X25" s="772"/>
      <c r="Y25" s="3220"/>
      <c r="Z25" s="55">
        <f>Q25</f>
        <v>111</v>
      </c>
      <c r="AA25" s="1811">
        <f>D25/F25</f>
        <v>1</v>
      </c>
      <c r="AB25" s="1811">
        <f>D25/H25</f>
        <v>1</v>
      </c>
      <c r="AC25" s="1811">
        <f>D25/J25</f>
        <v>1</v>
      </c>
    </row>
    <row r="26" spans="1:29" ht="28.5">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5"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4"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4"/>
      <c r="Q27" s="776" t="str">
        <f t="shared" si="11"/>
        <v>项目停车位配比</v>
      </c>
      <c r="R27" s="777" t="s">
        <v>17</v>
      </c>
      <c r="S27" s="778">
        <f t="shared" si="12"/>
        <v>100</v>
      </c>
      <c r="T27" s="777" t="s">
        <v>17</v>
      </c>
      <c r="U27" s="778">
        <f t="shared" si="13"/>
        <v>100</v>
      </c>
      <c r="V27" s="777" t="s">
        <v>17</v>
      </c>
      <c r="W27" s="778">
        <f t="shared" si="14"/>
        <v>100</v>
      </c>
      <c r="X27" s="779"/>
      <c r="Y27" s="3224"/>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4"/>
      <c r="Q28" s="1810" t="str">
        <f t="shared" si="11"/>
        <v>公共部分装修</v>
      </c>
      <c r="R28" s="774" t="s">
        <v>17</v>
      </c>
      <c r="S28" s="775">
        <f t="shared" si="12"/>
        <v>100</v>
      </c>
      <c r="T28" s="774" t="s">
        <v>17</v>
      </c>
      <c r="U28" s="775">
        <f t="shared" si="13"/>
        <v>100</v>
      </c>
      <c r="V28" s="774" t="s">
        <v>17</v>
      </c>
      <c r="W28" s="775">
        <f t="shared" si="14"/>
        <v>100</v>
      </c>
      <c r="X28" s="1813"/>
      <c r="Y28" s="3224"/>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4"/>
      <c r="Q29" s="1810" t="str">
        <f t="shared" si="11"/>
        <v>成新率</v>
      </c>
      <c r="R29" s="774" t="s">
        <v>17</v>
      </c>
      <c r="S29" s="775" t="e">
        <f t="shared" si="12"/>
        <v>#N/A</v>
      </c>
      <c r="T29" s="774" t="s">
        <v>17</v>
      </c>
      <c r="U29" s="775" t="e">
        <f t="shared" si="13"/>
        <v>#N/A</v>
      </c>
      <c r="V29" s="774" t="s">
        <v>17</v>
      </c>
      <c r="W29" s="775" t="e">
        <f t="shared" si="14"/>
        <v>#N/A</v>
      </c>
      <c r="X29" s="1813"/>
      <c r="Y29" s="3224"/>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4"/>
      <c r="Q30" s="1810" t="str">
        <f t="shared" si="11"/>
        <v>物业等级</v>
      </c>
      <c r="R30" s="774" t="s">
        <v>17</v>
      </c>
      <c r="S30" s="775">
        <f t="shared" si="12"/>
        <v>100</v>
      </c>
      <c r="T30" s="774" t="s">
        <v>17</v>
      </c>
      <c r="U30" s="775">
        <f t="shared" si="13"/>
        <v>100</v>
      </c>
      <c r="V30" s="774" t="s">
        <v>17</v>
      </c>
      <c r="W30" s="775">
        <f t="shared" si="14"/>
        <v>100</v>
      </c>
      <c r="X30" s="1813"/>
      <c r="Y30" s="3224"/>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4"/>
      <c r="Q31" s="1795" t="str">
        <f t="shared" si="11"/>
        <v>停车位面积</v>
      </c>
      <c r="R31" s="770" t="s">
        <v>17</v>
      </c>
      <c r="S31" s="771" t="e">
        <f t="shared" si="12"/>
        <v>#N/A</v>
      </c>
      <c r="T31" s="770" t="s">
        <v>17</v>
      </c>
      <c r="U31" s="771" t="e">
        <f t="shared" si="13"/>
        <v>#N/A</v>
      </c>
      <c r="V31" s="770" t="s">
        <v>17</v>
      </c>
      <c r="W31" s="771" t="e">
        <f t="shared" si="14"/>
        <v>#N/A</v>
      </c>
      <c r="X31" s="772"/>
      <c r="Y31" s="3224"/>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4" t="s">
        <v>2563</v>
      </c>
      <c r="Q32" s="1810" t="str">
        <f t="shared" si="11"/>
        <v>车位类型</v>
      </c>
      <c r="R32" s="774" t="s">
        <v>17</v>
      </c>
      <c r="S32" s="775">
        <f t="shared" si="12"/>
        <v>100</v>
      </c>
      <c r="T32" s="774" t="s">
        <v>17</v>
      </c>
      <c r="U32" s="775">
        <f t="shared" si="13"/>
        <v>100</v>
      </c>
      <c r="V32" s="774" t="s">
        <v>17</v>
      </c>
      <c r="W32" s="775">
        <f t="shared" si="14"/>
        <v>100</v>
      </c>
      <c r="X32" s="1813"/>
      <c r="Y32" s="3224"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4"/>
      <c r="Q33" s="1810" t="str">
        <f t="shared" si="11"/>
        <v>是否直接入户</v>
      </c>
      <c r="R33" s="774" t="s">
        <v>17</v>
      </c>
      <c r="S33" s="775">
        <f t="shared" si="12"/>
        <v>100</v>
      </c>
      <c r="T33" s="774" t="s">
        <v>17</v>
      </c>
      <c r="U33" s="775">
        <f t="shared" si="13"/>
        <v>100</v>
      </c>
      <c r="V33" s="774" t="s">
        <v>17</v>
      </c>
      <c r="W33" s="775">
        <f t="shared" si="14"/>
        <v>100</v>
      </c>
      <c r="X33" s="1813"/>
      <c r="Y33" s="322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4"/>
      <c r="Q34" s="1810">
        <f t="shared" si="11"/>
        <v>111</v>
      </c>
      <c r="R34" s="774" t="s">
        <v>17</v>
      </c>
      <c r="S34" s="775">
        <f t="shared" si="12"/>
        <v>100</v>
      </c>
      <c r="T34" s="774" t="s">
        <v>17</v>
      </c>
      <c r="U34" s="775">
        <f t="shared" si="13"/>
        <v>100</v>
      </c>
      <c r="V34" s="774" t="s">
        <v>17</v>
      </c>
      <c r="W34" s="775">
        <f t="shared" si="14"/>
        <v>100</v>
      </c>
      <c r="X34" s="1813"/>
      <c r="Y34" s="322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4"/>
      <c r="Q35" s="776">
        <f t="shared" si="11"/>
        <v>111</v>
      </c>
      <c r="R35" s="777" t="s">
        <v>17</v>
      </c>
      <c r="S35" s="778">
        <f t="shared" si="12"/>
        <v>100</v>
      </c>
      <c r="T35" s="777" t="s">
        <v>17</v>
      </c>
      <c r="U35" s="778">
        <f t="shared" si="13"/>
        <v>100</v>
      </c>
      <c r="V35" s="777" t="s">
        <v>17</v>
      </c>
      <c r="W35" s="778">
        <f t="shared" si="14"/>
        <v>100</v>
      </c>
      <c r="X35" s="779"/>
      <c r="Y35" s="322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4"/>
      <c r="Q36" s="1810">
        <f t="shared" si="11"/>
        <v>111</v>
      </c>
      <c r="R36" s="774" t="s">
        <v>17</v>
      </c>
      <c r="S36" s="775">
        <f t="shared" si="12"/>
        <v>100</v>
      </c>
      <c r="T36" s="774" t="s">
        <v>17</v>
      </c>
      <c r="U36" s="775">
        <f t="shared" si="13"/>
        <v>100</v>
      </c>
      <c r="V36" s="774" t="s">
        <v>17</v>
      </c>
      <c r="W36" s="775">
        <f t="shared" si="14"/>
        <v>100</v>
      </c>
      <c r="X36" s="1813"/>
      <c r="Y36" s="3224"/>
      <c r="Z36" s="1814">
        <f t="shared" si="15"/>
        <v>111</v>
      </c>
      <c r="AA36" s="1811">
        <f t="shared" si="3"/>
        <v>1</v>
      </c>
      <c r="AB36" s="1811">
        <f t="shared" si="4"/>
        <v>1</v>
      </c>
      <c r="AC36" s="1811">
        <f t="shared" si="5"/>
        <v>1</v>
      </c>
    </row>
    <row r="37" spans="1:29" ht="15">
      <c r="A37" s="479" t="s">
        <v>2718</v>
      </c>
      <c r="B37" s="2693" t="s">
        <v>2719</v>
      </c>
      <c r="C37" s="1407" t="s">
        <v>1</v>
      </c>
      <c r="D37" s="1408"/>
      <c r="E37" s="1409"/>
      <c r="F37" s="1410"/>
      <c r="G37" s="1411"/>
      <c r="H37" s="1412"/>
      <c r="I37" s="1409"/>
      <c r="J37" s="1412"/>
      <c r="K37" s="619"/>
      <c r="L37" s="1143"/>
      <c r="M37" s="1144"/>
      <c r="N37" s="1131"/>
      <c r="O37" s="1144"/>
      <c r="P37" s="3217" t="str">
        <f>A37</f>
        <v>成交单价</v>
      </c>
      <c r="Q37" s="3217"/>
      <c r="R37" s="3218">
        <f>E37</f>
        <v>0</v>
      </c>
      <c r="S37" s="3218"/>
      <c r="T37" s="3218">
        <f>G37</f>
        <v>0</v>
      </c>
      <c r="U37" s="3218"/>
      <c r="V37" s="3218">
        <f>I37</f>
        <v>0</v>
      </c>
      <c r="W37" s="3218"/>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214" t="str">
        <f>A39</f>
        <v>估价对象XX用房的比较价值（楼面单价，元/平方米）</v>
      </c>
      <c r="Q39" s="3215"/>
      <c r="R39" s="3216" t="e">
        <f>IF(F1="售价",ROUND(AVERAGE(R38:V38),0),ROUND(AVERAGE(R38:V38),1))</f>
        <v>#DIV/0!</v>
      </c>
      <c r="S39" s="3216"/>
      <c r="T39" s="3216"/>
      <c r="U39" s="3216"/>
      <c r="V39" s="3216"/>
      <c r="W39" s="321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中化第十三建设公司：</v>
      </c>
    </row>
    <row r="4" spans="1:1" ht="36">
      <c r="A4" s="1948" t="str">
        <f>"受贵公司委托，我公司对"&amp;项目基本情况!S1&amp;"进行了预评估。"</f>
        <v>受贵公司委托，我公司对陕西省渭南市开发区东府小区10#住宅楼进行了预评估。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估价对象为陕西省渭南市开发区东府小区10#住宅楼房地产，为所有。根据《国有土地使用证》[]，估价对象（分摊）出让国有建设用地使用权面积为0平方米，建筑面积为4106平方米。</v>
      </c>
    </row>
    <row r="8" spans="1:1" ht="57.75">
      <c r="A8" s="1951" t="s">
        <v>1610</v>
      </c>
    </row>
    <row r="9" spans="1:1" ht="18.75">
      <c r="A9" s="1950" t="s">
        <v>1611</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渭南市开发区东府小区10#住宅楼房地产,属开发建设的，该项目尚在开发建设中。根据《国有土地使用证》[]，估价对象（分摊）出让国有建设用地使用权面积为0平方米，规划建筑面积为4106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1614</v>
      </c>
    </row>
    <row r="15" spans="1:1" ht="18">
      <c r="A15" s="1954" t="str">
        <f>TEXT(项目基本情况!D3,"yyyy年m月d日;;")&amp;IF(项目基本情况!D3=项目基本情况!B3,"（评估专业人员实地查勘之日）","")</f>
        <v>2019年5月16日（评估专业人员实地查勘之日）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16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本次评估采用的主估价方法为收益法和比较法。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5"/>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7"/>
      <c r="D2" s="1124" t="e">
        <f ca="1">SUMIF(INDIRECT("'"&amp;F2&amp;"'"&amp;"!A:A"),"承租人权益价值",INDIRECT("'"&amp;F2&amp;"'"&amp;"!c:c"))</f>
        <v>#REF!</v>
      </c>
      <c r="E2" s="2588" t="s">
        <v>2326</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0" t="s">
        <v>2644</v>
      </c>
      <c r="D4" s="3201"/>
      <c r="E4" s="3202" t="s">
        <v>2645</v>
      </c>
      <c r="F4" s="3203"/>
      <c r="G4" s="3200" t="s">
        <v>2646</v>
      </c>
      <c r="H4" s="3201"/>
      <c r="I4" s="3200" t="s">
        <v>2647</v>
      </c>
      <c r="J4" s="3201"/>
      <c r="K4" s="610" t="s">
        <v>2648</v>
      </c>
      <c r="L4" s="1130"/>
      <c r="M4" s="1131"/>
      <c r="N4" s="1131"/>
      <c r="O4" s="1131"/>
      <c r="P4" s="3204" t="s">
        <v>2649</v>
      </c>
      <c r="Q4" s="3205"/>
      <c r="R4" s="3187" t="s">
        <v>2645</v>
      </c>
      <c r="S4" s="3188"/>
      <c r="T4" s="3187" t="s">
        <v>2646</v>
      </c>
      <c r="U4" s="3188"/>
      <c r="V4" s="3212" t="s">
        <v>2647</v>
      </c>
      <c r="W4" s="3212"/>
      <c r="X4" s="1813"/>
      <c r="Y4" s="3187" t="s">
        <v>2649</v>
      </c>
      <c r="Z4" s="3188"/>
      <c r="AA4" s="3182" t="s">
        <v>2645</v>
      </c>
      <c r="AB4" s="3183" t="s">
        <v>2646</v>
      </c>
      <c r="AC4" s="3182" t="s">
        <v>2647</v>
      </c>
    </row>
    <row r="5" spans="1:29" ht="15">
      <c r="A5" s="404"/>
      <c r="B5" s="405"/>
      <c r="C5" s="3229" t="s">
        <v>2540</v>
      </c>
      <c r="D5" s="3194"/>
      <c r="E5" s="3228" t="s">
        <v>2541</v>
      </c>
      <c r="F5" s="3192"/>
      <c r="G5" s="3229" t="s">
        <v>2542</v>
      </c>
      <c r="H5" s="3194"/>
      <c r="I5" s="3229" t="s">
        <v>2543</v>
      </c>
      <c r="J5" s="3194"/>
      <c r="K5" s="610"/>
      <c r="L5" s="1130"/>
      <c r="M5" s="1131"/>
      <c r="N5" s="1131"/>
      <c r="O5" s="1131"/>
      <c r="P5" s="3206"/>
      <c r="Q5" s="3207"/>
      <c r="R5" s="3189"/>
      <c r="S5" s="3190"/>
      <c r="T5" s="3189"/>
      <c r="U5" s="3190"/>
      <c r="V5" s="3212"/>
      <c r="W5" s="3212"/>
      <c r="X5" s="1813"/>
      <c r="Y5" s="3189"/>
      <c r="Z5" s="3190"/>
      <c r="AA5" s="3183"/>
      <c r="AB5" s="3183"/>
      <c r="AC5" s="3183"/>
    </row>
    <row r="6" spans="1:29" ht="15.75" thickBot="1">
      <c r="A6" s="406"/>
      <c r="B6" s="407"/>
      <c r="C6" s="3195" t="s">
        <v>2544</v>
      </c>
      <c r="D6" s="3196"/>
      <c r="E6" s="3197" t="s">
        <v>2544</v>
      </c>
      <c r="F6" s="3198"/>
      <c r="G6" s="3195" t="s">
        <v>2544</v>
      </c>
      <c r="H6" s="3196"/>
      <c r="I6" s="3195" t="s">
        <v>2544</v>
      </c>
      <c r="J6" s="3196"/>
      <c r="K6" s="610" t="s">
        <v>2545</v>
      </c>
      <c r="L6" s="1130"/>
      <c r="M6" s="1131"/>
      <c r="N6" s="1131"/>
      <c r="O6" s="1131"/>
      <c r="P6" s="3208"/>
      <c r="Q6" s="3209"/>
      <c r="R6" s="3189"/>
      <c r="S6" s="3190"/>
      <c r="T6" s="3210"/>
      <c r="U6" s="3211"/>
      <c r="V6" s="3212"/>
      <c r="W6" s="3212"/>
      <c r="X6" s="1813"/>
      <c r="Y6" s="3210"/>
      <c r="Z6" s="3211"/>
      <c r="AA6" s="3184"/>
      <c r="AB6" s="3184"/>
      <c r="AC6" s="3184"/>
    </row>
    <row r="7" spans="1:29" s="117" customFormat="1" ht="15.75" thickBot="1">
      <c r="A7" s="408" t="s">
        <v>2546</v>
      </c>
      <c r="B7" s="409"/>
      <c r="C7" s="410">
        <f>'数据-取费表'!B2</f>
        <v>43601</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85" t="s">
        <v>2547</v>
      </c>
      <c r="Q7" s="3213"/>
      <c r="R7" s="770" t="s">
        <v>17</v>
      </c>
      <c r="S7" s="771">
        <f t="shared" ref="S7:S14" si="0">F7</f>
        <v>0</v>
      </c>
      <c r="T7" s="770" t="s">
        <v>17</v>
      </c>
      <c r="U7" s="771">
        <f t="shared" ref="U7:U14" si="1">H7</f>
        <v>0</v>
      </c>
      <c r="V7" s="770" t="s">
        <v>17</v>
      </c>
      <c r="W7" s="771">
        <f t="shared" ref="W7:W14" si="2">J7</f>
        <v>0</v>
      </c>
      <c r="X7" s="772"/>
      <c r="Y7" s="3185" t="s">
        <v>2547</v>
      </c>
      <c r="Z7" s="3186"/>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5" t="s">
        <v>2550</v>
      </c>
      <c r="Q8" s="3186"/>
      <c r="R8" s="770" t="s">
        <v>17</v>
      </c>
      <c r="S8" s="771">
        <f t="shared" si="0"/>
        <v>0</v>
      </c>
      <c r="T8" s="770" t="s">
        <v>17</v>
      </c>
      <c r="U8" s="771">
        <f t="shared" si="1"/>
        <v>0</v>
      </c>
      <c r="V8" s="770" t="s">
        <v>17</v>
      </c>
      <c r="W8" s="771">
        <f t="shared" si="2"/>
        <v>0</v>
      </c>
      <c r="X8" s="772"/>
      <c r="Y8" s="3185" t="s">
        <v>2550</v>
      </c>
      <c r="Z8" s="3186"/>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7" t="s">
        <v>2553</v>
      </c>
      <c r="Q9" s="1795" t="str">
        <f t="shared" ref="Q9:Q14" si="6">B9</f>
        <v>用途</v>
      </c>
      <c r="R9" s="770" t="s">
        <v>17</v>
      </c>
      <c r="S9" s="771">
        <f t="shared" si="0"/>
        <v>100</v>
      </c>
      <c r="T9" s="770" t="s">
        <v>17</v>
      </c>
      <c r="U9" s="771">
        <f t="shared" si="1"/>
        <v>100</v>
      </c>
      <c r="V9" s="770" t="s">
        <v>17</v>
      </c>
      <c r="W9" s="771">
        <f t="shared" si="2"/>
        <v>100</v>
      </c>
      <c r="X9" s="772"/>
      <c r="Y9" s="3032"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7"/>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7"/>
      <c r="Q11" s="1795">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7"/>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17"/>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14">
      <c r="A14" s="440" t="s">
        <v>2557</v>
      </c>
      <c r="B14" s="69" t="s">
        <v>2707</v>
      </c>
      <c r="C14" s="2691" t="str">
        <f>IF(B1="工业",估价对象房地状况!G4,估价对象房地状况!C6)</f>
        <v>估价对象周边道路状况一般、公共交通通达情况较好（公交车通达度较好）、停车便捷程度一般，综合评价交通便捷度较好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9" t="s">
        <v>2558</v>
      </c>
      <c r="Q14" s="1810" t="str">
        <f t="shared" si="6"/>
        <v>交通便捷度</v>
      </c>
      <c r="R14" s="774" t="s">
        <v>17</v>
      </c>
      <c r="S14" s="775">
        <f t="shared" si="0"/>
        <v>100</v>
      </c>
      <c r="T14" s="774" t="s">
        <v>17</v>
      </c>
      <c r="U14" s="775">
        <f t="shared" si="1"/>
        <v>100</v>
      </c>
      <c r="V14" s="774" t="s">
        <v>17</v>
      </c>
      <c r="W14" s="775">
        <f t="shared" si="2"/>
        <v>100</v>
      </c>
      <c r="X14" s="1813"/>
      <c r="Y14" s="3219"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20"/>
      <c r="Q15" s="1810"/>
      <c r="R15" s="774"/>
      <c r="S15" s="775"/>
      <c r="T15" s="774"/>
      <c r="U15" s="775"/>
      <c r="V15" s="774"/>
      <c r="W15" s="775"/>
      <c r="X15" s="1813"/>
      <c r="Y15" s="3220"/>
      <c r="Z15" s="1814"/>
      <c r="AA15" s="1811">
        <v>1</v>
      </c>
      <c r="AB15" s="1811">
        <v>1</v>
      </c>
      <c r="AC15" s="1811">
        <v>1</v>
      </c>
    </row>
    <row r="16" spans="1:29" ht="42.75">
      <c r="A16" s="428"/>
      <c r="B16" s="451" t="s">
        <v>2686</v>
      </c>
      <c r="C16" s="2607" t="str">
        <f>IF(B1="工业",估价对象房地状况!G5,估价对象房地状况!C7)</f>
        <v>估价对象所在区域公共配套设施较齐备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0"/>
      <c r="Q16" s="1810" t="str">
        <f>B16</f>
        <v>公共配套设施</v>
      </c>
      <c r="R16" s="774" t="s">
        <v>17</v>
      </c>
      <c r="S16" s="775">
        <f>F16</f>
        <v>100</v>
      </c>
      <c r="T16" s="774" t="s">
        <v>17</v>
      </c>
      <c r="U16" s="775">
        <f>H16</f>
        <v>100</v>
      </c>
      <c r="V16" s="774" t="s">
        <v>17</v>
      </c>
      <c r="W16" s="775">
        <f>J16</f>
        <v>100</v>
      </c>
      <c r="X16" s="1813"/>
      <c r="Y16" s="3220"/>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20"/>
      <c r="Q17" s="1810"/>
      <c r="R17" s="774"/>
      <c r="S17" s="775"/>
      <c r="T17" s="774"/>
      <c r="U17" s="775"/>
      <c r="V17" s="774"/>
      <c r="W17" s="775"/>
      <c r="X17" s="1813"/>
      <c r="Y17" s="3220"/>
      <c r="Z17" s="1814"/>
      <c r="AA17" s="1811">
        <v>1</v>
      </c>
      <c r="AB17" s="1811">
        <v>1</v>
      </c>
      <c r="AC17" s="1811">
        <v>1</v>
      </c>
    </row>
    <row r="18" spans="1:29" ht="42.75">
      <c r="A18" s="428"/>
      <c r="B18" s="1384" t="s">
        <v>2687</v>
      </c>
      <c r="C18" s="2607" t="str">
        <f>IF(B1="工业",估价对象房地状况!G6,估价对象房地状况!C8)</f>
        <v>估价对象所在区域基础设施水平为六通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0"/>
      <c r="Q18" s="1810" t="str">
        <f>B18</f>
        <v>基础设施水平</v>
      </c>
      <c r="R18" s="774" t="s">
        <v>17</v>
      </c>
      <c r="S18" s="775">
        <f>F18</f>
        <v>100</v>
      </c>
      <c r="T18" s="774" t="s">
        <v>17</v>
      </c>
      <c r="U18" s="775">
        <f>H18</f>
        <v>100</v>
      </c>
      <c r="V18" s="774" t="s">
        <v>17</v>
      </c>
      <c r="W18" s="775">
        <f>J18</f>
        <v>100</v>
      </c>
      <c r="X18" s="1813"/>
      <c r="Y18" s="3220"/>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20"/>
      <c r="Q19" s="1810"/>
      <c r="R19" s="774"/>
      <c r="S19" s="775"/>
      <c r="T19" s="774"/>
      <c r="U19" s="775"/>
      <c r="V19" s="774"/>
      <c r="W19" s="775"/>
      <c r="X19" s="1813"/>
      <c r="Y19" s="3220"/>
      <c r="Z19" s="1814"/>
      <c r="AA19" s="1811">
        <v>1</v>
      </c>
      <c r="AB19" s="1811">
        <v>1</v>
      </c>
      <c r="AC19" s="1811">
        <v>1</v>
      </c>
    </row>
    <row r="20" spans="1:29" ht="71.25">
      <c r="A20" s="428"/>
      <c r="B20" s="451" t="s">
        <v>2708</v>
      </c>
      <c r="C20" s="2607" t="str">
        <f>IF(B1="工业",估价对象房地状况!G7,估价对象房地状况!C9)</f>
        <v>区域自然环境：周边有渭清公园；人文环境一般；综合评价环境状况一般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0"/>
      <c r="Q20" s="1810" t="str">
        <f>B20</f>
        <v>自然及人文环境</v>
      </c>
      <c r="R20" s="774" t="s">
        <v>17</v>
      </c>
      <c r="S20" s="775">
        <f>F20</f>
        <v>100</v>
      </c>
      <c r="T20" s="774" t="s">
        <v>17</v>
      </c>
      <c r="U20" s="775">
        <f>H20</f>
        <v>100</v>
      </c>
      <c r="V20" s="774" t="s">
        <v>17</v>
      </c>
      <c r="W20" s="775">
        <f>J20</f>
        <v>100</v>
      </c>
      <c r="X20" s="1813"/>
      <c r="Y20" s="322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20"/>
      <c r="Q21" s="1810"/>
      <c r="R21" s="774"/>
      <c r="S21" s="775"/>
      <c r="T21" s="774"/>
      <c r="U21" s="775"/>
      <c r="V21" s="774"/>
      <c r="W21" s="775"/>
      <c r="X21" s="1813"/>
      <c r="Y21" s="3220"/>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0"/>
      <c r="Q22" s="1810" t="str">
        <f>B22</f>
        <v>楼层</v>
      </c>
      <c r="R22" s="774" t="s">
        <v>17</v>
      </c>
      <c r="S22" s="775">
        <f>F22</f>
        <v>100</v>
      </c>
      <c r="T22" s="774" t="s">
        <v>17</v>
      </c>
      <c r="U22" s="775">
        <f>H22</f>
        <v>100</v>
      </c>
      <c r="V22" s="774" t="s">
        <v>17</v>
      </c>
      <c r="W22" s="775">
        <f>J22</f>
        <v>100</v>
      </c>
      <c r="X22" s="1813"/>
      <c r="Y22" s="3220"/>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0"/>
      <c r="Q23" s="1810">
        <f>B23</f>
        <v>111</v>
      </c>
      <c r="R23" s="774" t="s">
        <v>17</v>
      </c>
      <c r="S23" s="775">
        <f>F23</f>
        <v>100</v>
      </c>
      <c r="T23" s="774" t="s">
        <v>17</v>
      </c>
      <c r="U23" s="775">
        <f>H23</f>
        <v>100</v>
      </c>
      <c r="V23" s="774" t="s">
        <v>17</v>
      </c>
      <c r="W23" s="775">
        <f>J23</f>
        <v>100</v>
      </c>
      <c r="X23" s="1813"/>
      <c r="Y23" s="3220"/>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0"/>
      <c r="Q24" s="1810">
        <f t="shared" ref="Q24:Q34" si="11">B24</f>
        <v>111</v>
      </c>
      <c r="R24" s="774" t="s">
        <v>17</v>
      </c>
      <c r="S24" s="775">
        <f>F24</f>
        <v>100</v>
      </c>
      <c r="T24" s="774" t="s">
        <v>17</v>
      </c>
      <c r="U24" s="775">
        <f>H24</f>
        <v>100</v>
      </c>
      <c r="V24" s="774" t="s">
        <v>17</v>
      </c>
      <c r="W24" s="775">
        <f>J24</f>
        <v>100</v>
      </c>
      <c r="X24" s="1813"/>
      <c r="Y24" s="3220"/>
      <c r="Z24" s="1814">
        <f>Q24</f>
        <v>111</v>
      </c>
      <c r="AA24" s="1811">
        <f t="shared" si="3"/>
        <v>1</v>
      </c>
      <c r="AB24" s="1811">
        <f t="shared" si="4"/>
        <v>1</v>
      </c>
      <c r="AC24" s="1811">
        <f t="shared" si="5"/>
        <v>1</v>
      </c>
    </row>
    <row r="25" spans="1:29" s="117" customFormat="1" ht="15.75" thickBot="1">
      <c r="A25" s="431"/>
      <c r="B25" s="2600">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20"/>
      <c r="Q25" s="1795">
        <f t="shared" si="11"/>
        <v>111</v>
      </c>
      <c r="R25" s="770" t="s">
        <v>17</v>
      </c>
      <c r="S25" s="771">
        <f>F25</f>
        <v>100</v>
      </c>
      <c r="T25" s="770" t="s">
        <v>17</v>
      </c>
      <c r="U25" s="771">
        <f>H25</f>
        <v>100</v>
      </c>
      <c r="V25" s="770" t="s">
        <v>17</v>
      </c>
      <c r="W25" s="771">
        <f>J25</f>
        <v>100</v>
      </c>
      <c r="X25" s="772"/>
      <c r="Y25" s="3220"/>
      <c r="Z25" s="55">
        <f>Q25</f>
        <v>111</v>
      </c>
      <c r="AA25" s="1811">
        <f>D25/F25</f>
        <v>1</v>
      </c>
      <c r="AB25" s="1811">
        <f>D25/H25</f>
        <v>1</v>
      </c>
      <c r="AC25" s="1811">
        <f>D25/J25</f>
        <v>1</v>
      </c>
    </row>
    <row r="26" spans="1:29" ht="28.5">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45"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4"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4"/>
      <c r="Q27" s="776" t="str">
        <f t="shared" si="11"/>
        <v>成新率</v>
      </c>
      <c r="R27" s="777" t="s">
        <v>17</v>
      </c>
      <c r="S27" s="778" t="e">
        <f t="shared" si="12"/>
        <v>#N/A</v>
      </c>
      <c r="T27" s="777" t="s">
        <v>17</v>
      </c>
      <c r="U27" s="778" t="e">
        <f t="shared" si="13"/>
        <v>#N/A</v>
      </c>
      <c r="V27" s="777" t="s">
        <v>17</v>
      </c>
      <c r="W27" s="778" t="e">
        <f t="shared" si="14"/>
        <v>#N/A</v>
      </c>
      <c r="X27" s="779"/>
      <c r="Y27" s="3224"/>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4"/>
      <c r="Q28" s="1810" t="str">
        <f t="shared" si="11"/>
        <v>物业等级</v>
      </c>
      <c r="R28" s="774" t="s">
        <v>17</v>
      </c>
      <c r="S28" s="775">
        <f t="shared" si="12"/>
        <v>100</v>
      </c>
      <c r="T28" s="774" t="s">
        <v>17</v>
      </c>
      <c r="U28" s="775">
        <f t="shared" si="13"/>
        <v>100</v>
      </c>
      <c r="V28" s="774" t="s">
        <v>17</v>
      </c>
      <c r="W28" s="775">
        <f t="shared" si="14"/>
        <v>100</v>
      </c>
      <c r="X28" s="1813"/>
      <c r="Y28" s="3224"/>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4"/>
      <c r="Q29" s="1810" t="str">
        <f t="shared" si="11"/>
        <v>有无电梯</v>
      </c>
      <c r="R29" s="774" t="s">
        <v>17</v>
      </c>
      <c r="S29" s="775">
        <f t="shared" si="12"/>
        <v>100</v>
      </c>
      <c r="T29" s="774" t="s">
        <v>17</v>
      </c>
      <c r="U29" s="775">
        <f t="shared" si="13"/>
        <v>100</v>
      </c>
      <c r="V29" s="774" t="s">
        <v>17</v>
      </c>
      <c r="W29" s="775">
        <f t="shared" si="14"/>
        <v>100</v>
      </c>
      <c r="X29" s="1813"/>
      <c r="Y29" s="3224"/>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4"/>
      <c r="Q30" s="1810" t="str">
        <f t="shared" si="11"/>
        <v>建筑面积</v>
      </c>
      <c r="R30" s="774" t="s">
        <v>17</v>
      </c>
      <c r="S30" s="775" t="e">
        <f t="shared" si="12"/>
        <v>#N/A</v>
      </c>
      <c r="T30" s="774" t="s">
        <v>17</v>
      </c>
      <c r="U30" s="775" t="e">
        <f t="shared" si="13"/>
        <v>#N/A</v>
      </c>
      <c r="V30" s="774" t="s">
        <v>17</v>
      </c>
      <c r="W30" s="775" t="e">
        <f t="shared" si="14"/>
        <v>#N/A</v>
      </c>
      <c r="X30" s="1813"/>
      <c r="Y30" s="3224"/>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4"/>
      <c r="Q31" s="1795" t="str">
        <f t="shared" si="11"/>
        <v>是否封闭</v>
      </c>
      <c r="R31" s="770" t="s">
        <v>17</v>
      </c>
      <c r="S31" s="771">
        <f t="shared" si="12"/>
        <v>100</v>
      </c>
      <c r="T31" s="770" t="s">
        <v>17</v>
      </c>
      <c r="U31" s="771">
        <f t="shared" si="13"/>
        <v>100</v>
      </c>
      <c r="V31" s="770" t="s">
        <v>17</v>
      </c>
      <c r="W31" s="771">
        <f t="shared" si="14"/>
        <v>100</v>
      </c>
      <c r="X31" s="772"/>
      <c r="Y31" s="3224"/>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4" t="s">
        <v>2563</v>
      </c>
      <c r="Q32" s="1810">
        <f t="shared" si="11"/>
        <v>111</v>
      </c>
      <c r="R32" s="774" t="s">
        <v>17</v>
      </c>
      <c r="S32" s="775">
        <f t="shared" si="12"/>
        <v>100</v>
      </c>
      <c r="T32" s="774" t="s">
        <v>17</v>
      </c>
      <c r="U32" s="775">
        <f t="shared" si="13"/>
        <v>100</v>
      </c>
      <c r="V32" s="774" t="s">
        <v>17</v>
      </c>
      <c r="W32" s="775">
        <f t="shared" si="14"/>
        <v>100</v>
      </c>
      <c r="X32" s="1813"/>
      <c r="Y32" s="3224" t="s">
        <v>2563</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4"/>
      <c r="Q33" s="1810">
        <f t="shared" si="11"/>
        <v>111</v>
      </c>
      <c r="R33" s="774" t="s">
        <v>17</v>
      </c>
      <c r="S33" s="775">
        <f t="shared" si="12"/>
        <v>100</v>
      </c>
      <c r="T33" s="774" t="s">
        <v>17</v>
      </c>
      <c r="U33" s="775">
        <f t="shared" si="13"/>
        <v>100</v>
      </c>
      <c r="V33" s="774" t="s">
        <v>17</v>
      </c>
      <c r="W33" s="775">
        <f t="shared" si="14"/>
        <v>100</v>
      </c>
      <c r="X33" s="1813"/>
      <c r="Y33" s="3224"/>
      <c r="Z33" s="1814">
        <f t="shared" si="15"/>
        <v>111</v>
      </c>
      <c r="AA33" s="1811">
        <f t="shared" si="3"/>
        <v>1</v>
      </c>
      <c r="AB33" s="1811">
        <f t="shared" si="4"/>
        <v>1</v>
      </c>
      <c r="AC33" s="1811">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24"/>
      <c r="Q34" s="1810">
        <f t="shared" si="11"/>
        <v>111</v>
      </c>
      <c r="R34" s="774" t="s">
        <v>17</v>
      </c>
      <c r="S34" s="775">
        <f t="shared" si="12"/>
        <v>100</v>
      </c>
      <c r="T34" s="774" t="s">
        <v>17</v>
      </c>
      <c r="U34" s="775">
        <f t="shared" si="13"/>
        <v>100</v>
      </c>
      <c r="V34" s="774" t="s">
        <v>17</v>
      </c>
      <c r="W34" s="775">
        <f t="shared" si="14"/>
        <v>100</v>
      </c>
      <c r="X34" s="1813"/>
      <c r="Y34" s="3224"/>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217" t="str">
        <f>A35</f>
        <v>成交单价（元/平方米）</v>
      </c>
      <c r="Q35" s="3217"/>
      <c r="R35" s="3218">
        <f>E35</f>
        <v>0</v>
      </c>
      <c r="S35" s="3218"/>
      <c r="T35" s="3218">
        <f>G35</f>
        <v>0</v>
      </c>
      <c r="U35" s="3218"/>
      <c r="V35" s="3218">
        <f>I35</f>
        <v>0</v>
      </c>
      <c r="W35" s="3218"/>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214" t="str">
        <f>A37</f>
        <v>估价对象XX用房的比较价值（楼面单价，元/平方米）</v>
      </c>
      <c r="Q37" s="3215"/>
      <c r="R37" s="3216" t="e">
        <f>IF(F1="售价",ROUND(AVERAGE(R36:V36),0),ROUND(AVERAGE(R36:V36),1))</f>
        <v>#DIV/0!</v>
      </c>
      <c r="S37" s="3216"/>
      <c r="T37" s="3216"/>
      <c r="U37" s="3216"/>
      <c r="V37" s="3216"/>
      <c r="W37" s="321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F28" sqref="F2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7"/>
      <c r="C1" s="242"/>
      <c r="D1" s="242"/>
      <c r="E1" s="242"/>
      <c r="F1" s="242"/>
      <c r="G1" s="1379">
        <f>MATCH(B1,'数据-取费表'!A6:A16,0)+5</f>
        <v>7</v>
      </c>
    </row>
    <row r="2" spans="1:9" s="244" customFormat="1" ht="18" customHeight="1">
      <c r="A2" s="245" t="s">
        <v>2325</v>
      </c>
      <c r="B2" s="246" t="e">
        <f ca="1">IF(D2="——",C52,C52-E2)</f>
        <v>#DIV/0!</v>
      </c>
      <c r="C2" s="243" t="s">
        <v>2326</v>
      </c>
      <c r="D2" s="2548" t="s">
        <v>70</v>
      </c>
      <c r="E2" s="1440" t="e">
        <f ca="1">SUMIF(INDIRECT("'"&amp;G2&amp;"'"&amp;"!A:A"),"承租人权益价值",INDIRECT("'"&amp;G2&amp;"'"&amp;"!c:c"))</f>
        <v>#REF!</v>
      </c>
      <c r="F2" s="2549" t="s">
        <v>2326</v>
      </c>
      <c r="G2" s="2550"/>
    </row>
    <row r="3" spans="1:9" s="244" customFormat="1" ht="18" customHeight="1" thickBot="1">
      <c r="A3" s="247" t="s">
        <v>2327</v>
      </c>
      <c r="B3" s="248" t="e">
        <f ca="1">ROUND(B2*10000/(IF(B1="",'数据-汇总表'!E3,INDIRECT("'数据-取费表'!k"&amp;$G$1))),0)</f>
        <v>#DIV/0!</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t="e">
        <f>C6+C7+C8</f>
        <v>#DIV/0!</v>
      </c>
      <c r="D5" s="255" t="s">
        <v>2332</v>
      </c>
      <c r="E5" s="256" t="s">
        <v>2333</v>
      </c>
      <c r="F5" s="256" t="s">
        <v>2334</v>
      </c>
      <c r="G5" s="257"/>
    </row>
    <row r="6" spans="1:9" s="258" customFormat="1" ht="13.5" customHeight="1">
      <c r="A6" s="949" t="s">
        <v>2335</v>
      </c>
      <c r="B6" s="259" t="s">
        <v>2336</v>
      </c>
      <c r="C6" s="260" t="e">
        <f>'土地比较法-住宅、综合'!F56</f>
        <v>#DIV/0!</v>
      </c>
      <c r="D6" s="261"/>
      <c r="E6" s="262"/>
      <c r="F6" s="262"/>
      <c r="G6" s="263"/>
    </row>
    <row r="7" spans="1:9" s="258" customFormat="1" ht="13.5" customHeight="1">
      <c r="A7" s="949" t="s">
        <v>2337</v>
      </c>
      <c r="B7" s="259" t="s">
        <v>2338</v>
      </c>
      <c r="C7" s="264" t="e">
        <f>ROUND(C6*F7,0)</f>
        <v>#DIV/0!</v>
      </c>
      <c r="D7" s="264"/>
      <c r="E7" s="262"/>
      <c r="F7" s="265">
        <f>'数据-取费表'!B48+'数据-取费表'!B49</f>
        <v>0.06</v>
      </c>
      <c r="G7" s="263"/>
    </row>
    <row r="8" spans="1:9" s="267" customFormat="1">
      <c r="A8" s="949" t="s">
        <v>2339</v>
      </c>
      <c r="B8" s="259" t="s">
        <v>2340</v>
      </c>
      <c r="C8" s="264">
        <f>IF(G8="已包含在土地购买价格中","0",IF(B1="",'数据-取费表'!B29,IF(G9="全部缴纳",C9+C10,H9)))</f>
        <v>21</v>
      </c>
      <c r="D8" s="266"/>
      <c r="E8" s="264"/>
      <c r="F8" s="265"/>
      <c r="G8" s="2551" t="s">
        <v>3172</v>
      </c>
    </row>
    <row r="9" spans="1:9" s="258" customFormat="1" ht="13.5" customHeight="1">
      <c r="A9" s="950" t="s">
        <v>800</v>
      </c>
      <c r="B9" s="268" t="s">
        <v>2341</v>
      </c>
      <c r="C9" s="269">
        <f ca="1">ROUND(D9*E9/10000,0)</f>
        <v>21</v>
      </c>
      <c r="D9" s="1032">
        <f ca="1">IF(B1="",'数据-汇总表'!E5,IF(INDIRECT("'数据-取费表'!c"&amp;$G$1)="住宅",INDIRECT("'数据-取费表'!k"&amp;$G$1),0))</f>
        <v>4106</v>
      </c>
      <c r="E9" s="269">
        <f>'数据-取费表'!B27</f>
        <v>50</v>
      </c>
      <c r="F9" s="265"/>
      <c r="G9" s="2552" t="s">
        <v>3171</v>
      </c>
      <c r="H9" s="1390"/>
      <c r="I9" s="2553" t="s">
        <v>2342</v>
      </c>
    </row>
    <row r="10" spans="1:9" s="258" customFormat="1" ht="13.5" customHeight="1">
      <c r="A10" s="950" t="s">
        <v>801</v>
      </c>
      <c r="B10" s="268" t="s">
        <v>2343</v>
      </c>
      <c r="C10" s="269">
        <f ca="1">ROUND(D10*E10/10000,0)</f>
        <v>0</v>
      </c>
      <c r="D10" s="1032">
        <f ca="1">IF(B1="",'数据-汇总表'!E6,IF(INDIRECT("'数据-取费表'!c"&amp;$G$1)="住宅",INDIRECT("'数据-取费表'!s"&amp;$G$1),INDIRECT("'数据-取费表'!k"&amp;$G$1)+INDIRECT("'数据-取费表'!s"&amp;$G$1)))</f>
        <v>0</v>
      </c>
      <c r="E10" s="269">
        <f>'数据-取费表'!B28</f>
        <v>50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4106</v>
      </c>
      <c r="E19" s="255">
        <f>'数据-取费表'!B31</f>
        <v>200</v>
      </c>
      <c r="F19" s="275"/>
      <c r="G19" s="2551" t="s">
        <v>3173</v>
      </c>
    </row>
    <row r="20" spans="1:7" s="258" customFormat="1" ht="13.5" customHeight="1">
      <c r="A20" s="299" t="s">
        <v>2356</v>
      </c>
      <c r="B20" s="254" t="s">
        <v>2357</v>
      </c>
      <c r="C20" s="276" t="e">
        <f>ROUND((C5+C19)*F20,0)</f>
        <v>#DIV/0!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t="e">
        <f ca="1">ROUND(SUM(C23:C25),0)</f>
        <v>#DIV/0!</v>
      </c>
      <c r="D22" s="279">
        <f ca="1">C26</f>
        <v>1E-3</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t="e">
        <f ca="1">ROUND(IF('数据-取费表'!B22&lt;=1,C5*F22*'数据-取费表'!B23,C5*(POWER((1+F22),'数据-取费表'!B23)-1)),0)</f>
        <v>#DIV/0!</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t="e">
        <f ca="1">ROUND(IF('数据-取费表'!B22&lt;=1,C20*F22*'数据-取费表'!B23/2,C20*(POWER((1+F22),'数据-取费表'!B23/2)-1)),0)</f>
        <v>#DIV/0!</v>
      </c>
      <c r="D25" s="282"/>
      <c r="E25" s="285"/>
      <c r="F25" s="283"/>
      <c r="G25" s="286" t="s">
        <v>2373</v>
      </c>
    </row>
    <row r="26" spans="1:7" s="258" customFormat="1">
      <c r="A26" s="951"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t="e">
        <f ca="1">C28</f>
        <v>#DIV/0!</v>
      </c>
      <c r="D27" s="279">
        <f ca="1">C29</f>
        <v>2E-3</v>
      </c>
      <c r="E27" s="280" t="s">
        <v>2377</v>
      </c>
      <c r="F27" s="290">
        <f ca="1">IF(B1="",'数据-取费表'!Q16,INDIRECT("'数据-取费表'!q"&amp;$G$1))</f>
        <v>0.1</v>
      </c>
      <c r="G27" s="291" t="s">
        <v>2378</v>
      </c>
    </row>
    <row r="28" spans="1:7" s="258" customFormat="1" ht="13.5" customHeight="1">
      <c r="A28" s="951" t="s">
        <v>791</v>
      </c>
      <c r="B28" s="292" t="s">
        <v>2379</v>
      </c>
      <c r="C28" s="293" t="e">
        <f ca="1">ROUND((C5+C19+C20)*F27*'数据-取费表'!B21/'数据-取费表'!B20,0)</f>
        <v>#DIV/0!</v>
      </c>
      <c r="D28" s="279"/>
      <c r="E28" s="280"/>
      <c r="F28" s="290"/>
      <c r="G28" s="291"/>
    </row>
    <row r="29" spans="1:7" s="258" customFormat="1" ht="13.5" customHeight="1">
      <c r="A29" s="951" t="s">
        <v>792</v>
      </c>
      <c r="B29" s="292" t="s">
        <v>2380</v>
      </c>
      <c r="C29" s="282">
        <f ca="1">ROUND(C21*F27*'数据-取费表'!B21/'数据-取费表'!B20,4)</f>
        <v>2E-3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t="e">
        <f ca="1">ROUND((C5+C19+C20+C22+C27)/(1-C21-D22-D27-C30),0)</f>
        <v>#DIV/0!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973</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821</v>
      </c>
      <c r="D34" s="261"/>
      <c r="E34" s="264"/>
      <c r="F34" s="301">
        <f ca="1">IF('数据-取费表'!B24=0,1,IF(B1="",'数据-取费表'!N16,INDIRECT("'数据-取费表'!n"&amp;$G$1)))</f>
        <v>1</v>
      </c>
      <c r="G34" s="263" t="s">
        <v>2389</v>
      </c>
    </row>
    <row r="35" spans="1:7" ht="13.5" customHeight="1">
      <c r="A35" s="951" t="s">
        <v>796</v>
      </c>
      <c r="B35" s="259" t="s">
        <v>2390</v>
      </c>
      <c r="C35" s="264">
        <f ca="1">ROUND(C34*F35,0)</f>
        <v>25</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33</v>
      </c>
      <c r="D36" s="264"/>
      <c r="E36" s="264"/>
      <c r="F36" s="303">
        <f>'数据-取费表'!B34</f>
        <v>0.04</v>
      </c>
      <c r="G36" s="304" t="s">
        <v>2393</v>
      </c>
    </row>
    <row r="37" spans="1:7" s="302" customFormat="1" ht="13.5" customHeight="1">
      <c r="A37" s="951" t="s">
        <v>798</v>
      </c>
      <c r="B37" s="259" t="s">
        <v>2394</v>
      </c>
      <c r="C37" s="293">
        <f ca="1">ROUND(E37*D37*F34/10000,0)</f>
        <v>82</v>
      </c>
      <c r="D37" s="261">
        <f ca="1">D19</f>
        <v>4106</v>
      </c>
      <c r="E37" s="293">
        <f>'数据-取费表'!B35</f>
        <v>200</v>
      </c>
      <c r="F37" s="303"/>
      <c r="G37" s="305" t="s">
        <v>2395</v>
      </c>
    </row>
    <row r="38" spans="1:7" ht="13.5" customHeight="1">
      <c r="A38" s="951" t="s">
        <v>799</v>
      </c>
      <c r="B38" s="259" t="s">
        <v>2396</v>
      </c>
      <c r="C38" s="264">
        <f ca="1">ROUND(C34*F38,0)</f>
        <v>12</v>
      </c>
      <c r="D38" s="264"/>
      <c r="E38" s="264"/>
      <c r="F38" s="303">
        <f>'数据-取费表'!B36</f>
        <v>1.4999999999999999E-2</v>
      </c>
      <c r="G38" s="263" t="s">
        <v>2391</v>
      </c>
    </row>
    <row r="39" spans="1:7" s="258" customFormat="1" ht="13.5" customHeight="1">
      <c r="A39" s="299" t="s">
        <v>2397</v>
      </c>
      <c r="B39" s="254" t="s">
        <v>2398</v>
      </c>
      <c r="C39" s="276">
        <f ca="1">ROUND(C33*F20,0)</f>
        <v>19</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47</v>
      </c>
      <c r="D41" s="279">
        <f ca="1">C44</f>
        <v>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46</v>
      </c>
      <c r="D42" s="282"/>
      <c r="E42" s="282"/>
      <c r="F42" s="283"/>
      <c r="G42" s="3152" t="s">
        <v>2407</v>
      </c>
    </row>
    <row r="43" spans="1:7" ht="13.5" customHeight="1">
      <c r="A43" s="951" t="s">
        <v>792</v>
      </c>
      <c r="B43" s="259" t="s">
        <v>2408</v>
      </c>
      <c r="C43" s="282">
        <f ca="1">ROUND(IF('数据-取费表'!B22&lt;=1,C39*F22*'数据-取费表'!B21/2,C39*(POWER((1+F22),'数据-取费表'!B21/2)-1)),0)</f>
        <v>1</v>
      </c>
      <c r="D43" s="282"/>
      <c r="E43" s="282"/>
      <c r="F43" s="283"/>
      <c r="G43" s="3153"/>
    </row>
    <row r="44" spans="1:7" ht="13.5" customHeight="1">
      <c r="A44" s="951" t="s">
        <v>793</v>
      </c>
      <c r="B44" s="259" t="s">
        <v>2409</v>
      </c>
      <c r="C44" s="282">
        <f ca="1">ROUND(IF('数据-取费表'!B22&lt;=1,C40*F22*'数据-取费表'!B21/2,C40*(POWER((1+F22),'数据-取费表'!B21/2)-1)),4)</f>
        <v>1E-3</v>
      </c>
      <c r="D44" s="282"/>
      <c r="E44" s="282"/>
      <c r="F44" s="283"/>
      <c r="G44" s="3154"/>
    </row>
    <row r="45" spans="1:7" s="258" customFormat="1" ht="13.5" customHeight="1">
      <c r="A45" s="299" t="s">
        <v>2410</v>
      </c>
      <c r="B45" s="288" t="s">
        <v>2376</v>
      </c>
      <c r="C45" s="289">
        <f ca="1">C46</f>
        <v>99</v>
      </c>
      <c r="D45" s="279">
        <f ca="1">C47</f>
        <v>2E-3</v>
      </c>
      <c r="E45" s="280" t="s">
        <v>2402</v>
      </c>
      <c r="F45" s="290"/>
      <c r="G45" s="291" t="s">
        <v>2411</v>
      </c>
    </row>
    <row r="46" spans="1:7" s="258" customFormat="1" ht="13.5" customHeight="1">
      <c r="A46" s="951" t="s">
        <v>791</v>
      </c>
      <c r="B46" s="292" t="s">
        <v>2412</v>
      </c>
      <c r="C46" s="293">
        <f ca="1">ROUND((C33+C39)*F27,0)</f>
        <v>99</v>
      </c>
      <c r="D46" s="307"/>
      <c r="E46" s="280"/>
      <c r="F46" s="290"/>
      <c r="G46" s="291"/>
    </row>
    <row r="47" spans="1:7" s="258" customFormat="1" ht="13.5" customHeight="1">
      <c r="A47" s="951" t="s">
        <v>792</v>
      </c>
      <c r="B47" s="292" t="s">
        <v>2413</v>
      </c>
      <c r="C47" s="282">
        <f ca="1">ROUND(C40*F27,4)</f>
        <v>2E-3</v>
      </c>
      <c r="D47" s="307"/>
      <c r="E47" s="280"/>
      <c r="F47" s="290"/>
      <c r="G47" s="291"/>
    </row>
    <row r="48" spans="1:7" s="258" customFormat="1" ht="13.5" customHeight="1">
      <c r="A48" s="299" t="s">
        <v>2375</v>
      </c>
      <c r="B48" s="254" t="s">
        <v>2414</v>
      </c>
      <c r="C48" s="1728">
        <f>ROUND(F30/(1+'数据-取费表'!C42),4)</f>
        <v>5.33E-2</v>
      </c>
      <c r="D48" s="280" t="s">
        <v>2402</v>
      </c>
      <c r="E48" s="276"/>
      <c r="F48" s="281"/>
      <c r="G48" s="278" t="s">
        <v>2415</v>
      </c>
    </row>
    <row r="49" spans="1:7" ht="16.5" customHeight="1">
      <c r="A49" s="299" t="s">
        <v>2381</v>
      </c>
      <c r="B49" s="254" t="s">
        <v>2416</v>
      </c>
      <c r="C49" s="276">
        <f ca="1">ROUND((C33+C39+C41+C45)/(1-C40-D41-D45-C48),0)</f>
        <v>1232</v>
      </c>
      <c r="D49" s="276"/>
      <c r="E49" s="276"/>
      <c r="F49" s="308"/>
      <c r="G49" s="278" t="s">
        <v>2417</v>
      </c>
    </row>
    <row r="50" spans="1:7" s="302" customFormat="1" ht="24">
      <c r="A50" s="299" t="s">
        <v>2418</v>
      </c>
      <c r="B50" s="254" t="s">
        <v>2419</v>
      </c>
      <c r="C50" s="276"/>
      <c r="D50" s="276"/>
      <c r="E50" s="276"/>
      <c r="F50" s="308">
        <f>IF('数据-取费表'!B24=0,'数据-取费表'!N16,1)</f>
        <v>0.65</v>
      </c>
      <c r="G50" s="291" t="s">
        <v>2420</v>
      </c>
    </row>
    <row r="51" spans="1:7" ht="16.5" customHeight="1">
      <c r="A51" s="299" t="s">
        <v>2421</v>
      </c>
      <c r="B51" s="254" t="s">
        <v>2422</v>
      </c>
      <c r="C51" s="276">
        <f ca="1">ROUND(C49*F50,0)</f>
        <v>801</v>
      </c>
      <c r="D51" s="276"/>
      <c r="E51" s="276"/>
      <c r="F51" s="308"/>
      <c r="G51" s="278" t="s">
        <v>2423</v>
      </c>
    </row>
    <row r="52" spans="1:7" s="252" customFormat="1" ht="16.5" thickBot="1">
      <c r="A52" s="309" t="s">
        <v>2424</v>
      </c>
      <c r="B52" s="310"/>
      <c r="C52" s="311" t="e">
        <f ca="1">C31+C51</f>
        <v>#DIV/0!</v>
      </c>
      <c r="D52" s="310"/>
      <c r="E52" s="310"/>
      <c r="F52" s="310"/>
      <c r="G52" s="312"/>
    </row>
    <row r="55" spans="1:7" ht="15">
      <c r="B55" s="314" t="s">
        <v>2425</v>
      </c>
      <c r="C55" s="315"/>
    </row>
    <row r="56" spans="1:7">
      <c r="B56" s="317" t="s">
        <v>1509</v>
      </c>
      <c r="C56" s="319" t="e">
        <f ca="1">1-C57</f>
        <v>#DIV/0!</v>
      </c>
    </row>
    <row r="57" spans="1:7">
      <c r="B57" s="317" t="s">
        <v>1510</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9" sqref="C3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f>'数据-汇总表'!F19</f>
        <v>4106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00" t="s">
        <v>2644</v>
      </c>
      <c r="D4" s="3201"/>
      <c r="E4" s="3202" t="s">
        <v>2645</v>
      </c>
      <c r="F4" s="3203"/>
      <c r="G4" s="3200" t="s">
        <v>2646</v>
      </c>
      <c r="H4" s="3201"/>
      <c r="I4" s="3200" t="s">
        <v>2647</v>
      </c>
      <c r="J4" s="3201"/>
      <c r="K4" s="610" t="s">
        <v>2648</v>
      </c>
      <c r="L4" s="1130"/>
      <c r="M4" s="1131"/>
      <c r="N4" s="1131"/>
      <c r="O4" s="1131"/>
      <c r="P4" s="3204" t="s">
        <v>2649</v>
      </c>
      <c r="Q4" s="3205"/>
      <c r="R4" s="3187" t="s">
        <v>2645</v>
      </c>
      <c r="S4" s="3188"/>
      <c r="T4" s="3187" t="s">
        <v>2646</v>
      </c>
      <c r="U4" s="3188"/>
      <c r="V4" s="3212" t="s">
        <v>2647</v>
      </c>
      <c r="W4" s="3212"/>
      <c r="X4" s="1813"/>
      <c r="Y4" s="3187" t="s">
        <v>2649</v>
      </c>
      <c r="Z4" s="3188"/>
      <c r="AA4" s="3182" t="s">
        <v>2645</v>
      </c>
      <c r="AB4" s="3183" t="s">
        <v>2646</v>
      </c>
      <c r="AC4" s="3182" t="s">
        <v>2647</v>
      </c>
    </row>
    <row r="5" spans="1:30" ht="15">
      <c r="A5" s="404"/>
      <c r="B5" s="405"/>
      <c r="C5" s="3229" t="s">
        <v>2540</v>
      </c>
      <c r="D5" s="3194"/>
      <c r="E5" s="3228" t="str">
        <f>Sheet1!A5</f>
        <v>高新区新盛路与胜利大街西南角</v>
      </c>
      <c r="F5" s="3192"/>
      <c r="G5" s="3229" t="str">
        <f>Sheet1!A7</f>
        <v>高新区崇业路东侧</v>
      </c>
      <c r="H5" s="3194"/>
      <c r="I5" s="3229" t="str">
        <f>Sheet1!A20</f>
        <v>高新区胜利大街北侧</v>
      </c>
      <c r="J5" s="3194"/>
      <c r="K5" s="610"/>
      <c r="L5" s="1130"/>
      <c r="M5" s="1131"/>
      <c r="N5" s="1131"/>
      <c r="O5" s="1131"/>
      <c r="P5" s="3206"/>
      <c r="Q5" s="3207"/>
      <c r="R5" s="3189"/>
      <c r="S5" s="3190"/>
      <c r="T5" s="3189"/>
      <c r="U5" s="3190"/>
      <c r="V5" s="3212"/>
      <c r="W5" s="3212"/>
      <c r="X5" s="1813"/>
      <c r="Y5" s="3189"/>
      <c r="Z5" s="3190"/>
      <c r="AA5" s="3183"/>
      <c r="AB5" s="3183"/>
      <c r="AC5" s="3183"/>
    </row>
    <row r="6" spans="1:30" ht="15.75" thickBot="1">
      <c r="A6" s="406"/>
      <c r="B6" s="407"/>
      <c r="C6" s="3195" t="s">
        <v>2544</v>
      </c>
      <c r="D6" s="3196"/>
      <c r="E6" s="3197" t="s">
        <v>2544</v>
      </c>
      <c r="F6" s="3198"/>
      <c r="G6" s="3195" t="s">
        <v>2544</v>
      </c>
      <c r="H6" s="3196"/>
      <c r="I6" s="3195" t="s">
        <v>2544</v>
      </c>
      <c r="J6" s="3196"/>
      <c r="K6" s="610" t="s">
        <v>2545</v>
      </c>
      <c r="L6" s="1130"/>
      <c r="M6" s="1131"/>
      <c r="N6" s="1131"/>
      <c r="O6" s="1131"/>
      <c r="P6" s="3208"/>
      <c r="Q6" s="3209"/>
      <c r="R6" s="3189"/>
      <c r="S6" s="3190"/>
      <c r="T6" s="3210"/>
      <c r="U6" s="3211"/>
      <c r="V6" s="3212"/>
      <c r="W6" s="3212"/>
      <c r="X6" s="1813"/>
      <c r="Y6" s="3210"/>
      <c r="Z6" s="3211"/>
      <c r="AA6" s="3184"/>
      <c r="AB6" s="3184"/>
      <c r="AC6" s="3184"/>
    </row>
    <row r="7" spans="1:30" s="117" customFormat="1" ht="15.75" thickBot="1">
      <c r="A7" s="408" t="s">
        <v>2546</v>
      </c>
      <c r="B7" s="409"/>
      <c r="C7" s="410">
        <f>'数据-取费表'!B2</f>
        <v>43601</v>
      </c>
      <c r="D7" s="411">
        <v>100</v>
      </c>
      <c r="E7" s="412" t="str">
        <f>Sheet1!H5</f>
        <v>2019-04-26</v>
      </c>
      <c r="F7" s="413">
        <f>SUMIF(70:70,YEAR(E7)&amp;"-"&amp;INT((MONTH(E7)+2)/3),71:71)</f>
        <v>100</v>
      </c>
      <c r="G7" s="2694" t="str">
        <f>Sheet1!H7</f>
        <v>2019-04-26</v>
      </c>
      <c r="H7" s="411">
        <f>SUMIF(70:70,YEAR(G7)&amp;"-"&amp;INT((MONTH(G7)+2)/3),71:71)</f>
        <v>100</v>
      </c>
      <c r="I7" s="2694" t="str">
        <f>Sheet1!H20</f>
        <v>2019-01-02</v>
      </c>
      <c r="J7" s="411">
        <f>SUMIF(70:70,YEAR(I7)&amp;"-"&amp;INT((MONTH(I7)+2)/3),71:71)</f>
        <v>99.5</v>
      </c>
      <c r="K7" s="611"/>
      <c r="L7" s="1132"/>
      <c r="M7" s="1133"/>
      <c r="N7" s="1133"/>
      <c r="O7" s="1133"/>
      <c r="P7" s="3185" t="s">
        <v>2547</v>
      </c>
      <c r="Q7" s="3213"/>
      <c r="R7" s="770" t="s">
        <v>17</v>
      </c>
      <c r="S7" s="771">
        <f t="shared" ref="S7:S15" si="0">F7</f>
        <v>100</v>
      </c>
      <c r="T7" s="770" t="s">
        <v>17</v>
      </c>
      <c r="U7" s="771">
        <f t="shared" ref="U7:U15" si="1">H7</f>
        <v>100</v>
      </c>
      <c r="V7" s="770" t="s">
        <v>17</v>
      </c>
      <c r="W7" s="771">
        <f t="shared" ref="W7:W15" si="2">J7</f>
        <v>99.5</v>
      </c>
      <c r="X7" s="772"/>
      <c r="Y7" s="3185" t="s">
        <v>2547</v>
      </c>
      <c r="Z7" s="3186"/>
      <c r="AA7" s="773">
        <f>D7/F7</f>
        <v>1</v>
      </c>
      <c r="AB7" s="773">
        <f>D7/H7</f>
        <v>1</v>
      </c>
      <c r="AC7" s="773">
        <f>D7/J7</f>
        <v>1.0050251256281406</v>
      </c>
    </row>
    <row r="8" spans="1:30" s="117" customFormat="1" ht="15.75" thickBot="1">
      <c r="A8" s="408" t="s">
        <v>2548</v>
      </c>
      <c r="B8" s="409"/>
      <c r="C8" s="414" t="s">
        <v>2549</v>
      </c>
      <c r="D8" s="411">
        <v>100</v>
      </c>
      <c r="E8" s="414" t="s">
        <v>2549</v>
      </c>
      <c r="F8" s="413">
        <f>SUMIF(73:73,E8,74:74)-SUMIF(73:73,C8,74:74)+100</f>
        <v>100</v>
      </c>
      <c r="G8" s="414" t="s">
        <v>2549</v>
      </c>
      <c r="H8" s="411">
        <f>SUMIF(73:73,G8,74:74)-SUMIF(73:73,C8,74:74)+100</f>
        <v>100</v>
      </c>
      <c r="I8" s="414" t="s">
        <v>2549</v>
      </c>
      <c r="J8" s="411">
        <f>SUMIF(73:73,I8,74:74)-SUMIF(73:73,C8,74:74)+100</f>
        <v>100</v>
      </c>
      <c r="K8" s="611"/>
      <c r="L8" s="1132"/>
      <c r="M8" s="1133"/>
      <c r="N8" s="1133"/>
      <c r="O8" s="1133"/>
      <c r="P8" s="3185" t="s">
        <v>2550</v>
      </c>
      <c r="Q8" s="3186"/>
      <c r="R8" s="770" t="s">
        <v>17</v>
      </c>
      <c r="S8" s="771">
        <f t="shared" si="0"/>
        <v>100</v>
      </c>
      <c r="T8" s="770" t="s">
        <v>17</v>
      </c>
      <c r="U8" s="771">
        <f t="shared" si="1"/>
        <v>100</v>
      </c>
      <c r="V8" s="770" t="s">
        <v>17</v>
      </c>
      <c r="W8" s="771">
        <f t="shared" si="2"/>
        <v>100</v>
      </c>
      <c r="X8" s="772"/>
      <c r="Y8" s="3185" t="s">
        <v>2550</v>
      </c>
      <c r="Z8" s="3186"/>
      <c r="AA8" s="773">
        <f t="shared" ref="AA8:AA45" si="3">D8/F8</f>
        <v>1</v>
      </c>
      <c r="AB8" s="773">
        <f t="shared" ref="AB8:AB45" si="4">D8/H8</f>
        <v>1</v>
      </c>
      <c r="AC8" s="773">
        <f t="shared" ref="AC8:AC45" si="5">D8/J8</f>
        <v>1</v>
      </c>
    </row>
    <row r="9" spans="1:30" s="117" customFormat="1">
      <c r="A9" s="415" t="s">
        <v>2551</v>
      </c>
      <c r="B9" s="71" t="s">
        <v>2552</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17" t="s">
        <v>2553</v>
      </c>
      <c r="Q9" s="1795" t="str">
        <f t="shared" ref="Q9:Q15" si="6">B9</f>
        <v>用途</v>
      </c>
      <c r="R9" s="770" t="s">
        <v>17</v>
      </c>
      <c r="S9" s="771">
        <f t="shared" si="0"/>
        <v>100</v>
      </c>
      <c r="T9" s="770" t="s">
        <v>17</v>
      </c>
      <c r="U9" s="771">
        <f t="shared" si="1"/>
        <v>100</v>
      </c>
      <c r="V9" s="770" t="s">
        <v>17</v>
      </c>
      <c r="W9" s="771">
        <f t="shared" si="2"/>
        <v>100</v>
      </c>
      <c r="X9" s="772"/>
      <c r="Y9" s="3032"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110</v>
      </c>
      <c r="G10" s="463"/>
      <c r="H10" s="136">
        <f>ROUND(100/'数据-取费表'!G16,0)</f>
        <v>110</v>
      </c>
      <c r="I10" s="463"/>
      <c r="J10" s="136">
        <f>ROUND(100/'数据-取费表'!G16,0)</f>
        <v>110</v>
      </c>
      <c r="K10" s="672"/>
      <c r="L10" s="1135"/>
      <c r="M10" s="1136"/>
      <c r="N10" s="1136"/>
      <c r="O10" s="1137"/>
      <c r="P10" s="3217"/>
      <c r="Q10" s="1795" t="str">
        <f t="shared" si="6"/>
        <v>土地使用年限（年）</v>
      </c>
      <c r="R10" s="770" t="s">
        <v>17</v>
      </c>
      <c r="S10" s="771">
        <f t="shared" si="0"/>
        <v>110</v>
      </c>
      <c r="T10" s="770" t="s">
        <v>17</v>
      </c>
      <c r="U10" s="771">
        <f t="shared" si="1"/>
        <v>110</v>
      </c>
      <c r="V10" s="770" t="s">
        <v>17</v>
      </c>
      <c r="W10" s="771">
        <f t="shared" si="2"/>
        <v>110</v>
      </c>
      <c r="X10" s="772"/>
      <c r="Y10" s="3032"/>
      <c r="Z10" s="55" t="str">
        <f t="shared" si="7"/>
        <v>土地使用年限（年）</v>
      </c>
      <c r="AA10" s="773">
        <f t="shared" si="3"/>
        <v>0.90909090909090906</v>
      </c>
      <c r="AB10" s="773">
        <f t="shared" si="4"/>
        <v>0.90909090909090906</v>
      </c>
      <c r="AC10" s="773">
        <f t="shared" si="5"/>
        <v>0.90909090909090906</v>
      </c>
    </row>
    <row r="11" spans="1:30" ht="15">
      <c r="A11" s="428"/>
      <c r="B11" s="422" t="s">
        <v>2556</v>
      </c>
      <c r="C11" s="429"/>
      <c r="D11" s="136">
        <v>100</v>
      </c>
      <c r="E11" s="429"/>
      <c r="F11" s="136">
        <f>LOOKUP(E11,80:80,81:81)-LOOKUP(C11,80:80,81:81)+100</f>
        <v>100</v>
      </c>
      <c r="G11" s="430"/>
      <c r="H11" s="136">
        <f>LOOKUP(G11,80:80,81:81)-LOOKUP(C11,80:80,81:81)+100</f>
        <v>100</v>
      </c>
      <c r="I11" s="429"/>
      <c r="J11" s="136">
        <f>LOOKUP(I11,80:80,81:81)-LOOKUP(C11,80:80,81:81)+100</f>
        <v>100</v>
      </c>
      <c r="K11" s="673"/>
      <c r="L11" s="1138"/>
      <c r="M11" s="1131"/>
      <c r="N11" s="1131"/>
      <c r="O11" s="1139"/>
      <c r="P11" s="3217"/>
      <c r="Q11" s="1795" t="str">
        <f t="shared" si="6"/>
        <v>容积率</v>
      </c>
      <c r="R11" s="770" t="s">
        <v>17</v>
      </c>
      <c r="S11" s="771">
        <f t="shared" si="0"/>
        <v>100</v>
      </c>
      <c r="T11" s="770" t="s">
        <v>17</v>
      </c>
      <c r="U11" s="771">
        <f t="shared" si="1"/>
        <v>100</v>
      </c>
      <c r="V11" s="770" t="s">
        <v>17</v>
      </c>
      <c r="W11" s="771">
        <f t="shared" si="2"/>
        <v>100</v>
      </c>
      <c r="X11" s="772"/>
      <c r="Y11" s="3032"/>
      <c r="Z11" s="55" t="str">
        <f t="shared" si="7"/>
        <v>容积率</v>
      </c>
      <c r="AA11" s="773">
        <f t="shared" si="3"/>
        <v>1</v>
      </c>
      <c r="AB11" s="773">
        <f t="shared" si="4"/>
        <v>1</v>
      </c>
      <c r="AC11" s="773">
        <f t="shared" si="5"/>
        <v>1</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7"/>
      <c r="Q12" s="1795" t="str">
        <f t="shared" si="6"/>
        <v>配建</v>
      </c>
      <c r="R12" s="770" t="s">
        <v>17</v>
      </c>
      <c r="S12" s="771">
        <f t="shared" si="0"/>
        <v>100</v>
      </c>
      <c r="T12" s="770" t="s">
        <v>17</v>
      </c>
      <c r="U12" s="771">
        <f t="shared" si="1"/>
        <v>100</v>
      </c>
      <c r="V12" s="770" t="s">
        <v>17</v>
      </c>
      <c r="W12" s="771">
        <f t="shared" si="2"/>
        <v>100</v>
      </c>
      <c r="X12" s="772"/>
      <c r="Y12" s="3032"/>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7"/>
      <c r="Q13" s="1795">
        <f t="shared" si="6"/>
        <v>111</v>
      </c>
      <c r="R13" s="770" t="s">
        <v>17</v>
      </c>
      <c r="S13" s="771">
        <f t="shared" si="0"/>
        <v>100</v>
      </c>
      <c r="T13" s="770" t="s">
        <v>17</v>
      </c>
      <c r="U13" s="771">
        <f t="shared" si="1"/>
        <v>100</v>
      </c>
      <c r="V13" s="770" t="s">
        <v>17</v>
      </c>
      <c r="W13" s="771">
        <f t="shared" si="2"/>
        <v>100</v>
      </c>
      <c r="X13" s="772"/>
      <c r="Y13" s="3032"/>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7"/>
      <c r="Q14" s="1795">
        <f t="shared" si="6"/>
        <v>111</v>
      </c>
      <c r="R14" s="770" t="s">
        <v>17</v>
      </c>
      <c r="S14" s="771">
        <f t="shared" si="0"/>
        <v>100</v>
      </c>
      <c r="T14" s="770" t="s">
        <v>17</v>
      </c>
      <c r="U14" s="771">
        <f t="shared" si="1"/>
        <v>100</v>
      </c>
      <c r="V14" s="770" t="s">
        <v>17</v>
      </c>
      <c r="W14" s="771">
        <f t="shared" si="2"/>
        <v>100</v>
      </c>
      <c r="X14" s="772"/>
      <c r="Y14" s="3032"/>
      <c r="Z14" s="55">
        <f t="shared" si="7"/>
        <v>111</v>
      </c>
      <c r="AA14" s="773">
        <f>D14/F14</f>
        <v>1</v>
      </c>
      <c r="AB14" s="773">
        <f>D14/H14</f>
        <v>1</v>
      </c>
      <c r="AC14" s="773">
        <f>D14/J14</f>
        <v>1</v>
      </c>
    </row>
    <row r="15" spans="1:30" ht="99.75">
      <c r="A15" s="440" t="s">
        <v>2557</v>
      </c>
      <c r="B15" s="69" t="s">
        <v>2084</v>
      </c>
      <c r="C15" s="2603" t="str">
        <f>估价对象房地状况!C15</f>
        <v>估价对象周边居住用地比例较大、居住小区规模和社区发展完善程度较好，综合评价居住社区成熟度较好</v>
      </c>
      <c r="D15" s="441">
        <v>100</v>
      </c>
      <c r="E15" s="442"/>
      <c r="F15" s="441">
        <f>SUMIF(88:88,E16,89:89)-SUMIF(88:88,C16,89:89)+100</f>
        <v>0</v>
      </c>
      <c r="G15" s="442"/>
      <c r="H15" s="441">
        <f>SUMIF(88:88,G16,89:89)-SUMIF(88:88,C16,89:89)+100</f>
        <v>0</v>
      </c>
      <c r="I15" s="444"/>
      <c r="J15" s="441">
        <f>SUMIF(88:88,I16,89:89)-SUMIF(88:88,C16,89:89)+100</f>
        <v>0</v>
      </c>
      <c r="K15" s="673"/>
      <c r="L15" s="1140"/>
      <c r="M15" s="1131"/>
      <c r="N15" s="1131"/>
      <c r="O15" s="1139"/>
      <c r="P15" s="3219" t="s">
        <v>2558</v>
      </c>
      <c r="Q15" s="1810" t="str">
        <f t="shared" si="6"/>
        <v>居住社区成熟度</v>
      </c>
      <c r="R15" s="774" t="s">
        <v>17</v>
      </c>
      <c r="S15" s="775">
        <f t="shared" si="0"/>
        <v>0</v>
      </c>
      <c r="T15" s="774" t="s">
        <v>17</v>
      </c>
      <c r="U15" s="775">
        <f t="shared" si="1"/>
        <v>0</v>
      </c>
      <c r="V15" s="774" t="s">
        <v>17</v>
      </c>
      <c r="W15" s="775">
        <f t="shared" si="2"/>
        <v>0</v>
      </c>
      <c r="X15" s="1813"/>
      <c r="Y15" s="3219" t="s">
        <v>2558</v>
      </c>
      <c r="Z15" s="1814" t="str">
        <f t="shared" si="7"/>
        <v>居住社区成熟度</v>
      </c>
      <c r="AA15" s="1811" t="e">
        <f t="shared" si="3"/>
        <v>#DIV/0!</v>
      </c>
      <c r="AB15" s="1811" t="e">
        <f t="shared" si="4"/>
        <v>#DIV/0!</v>
      </c>
      <c r="AC15" s="1811" t="e">
        <f t="shared" si="5"/>
        <v>#DIV/0!</v>
      </c>
    </row>
    <row r="16" spans="1:30" ht="15">
      <c r="A16" s="428"/>
      <c r="B16" s="446"/>
      <c r="C16" s="447" t="s">
        <v>3178</v>
      </c>
      <c r="D16" s="448"/>
      <c r="E16" s="2605"/>
      <c r="F16" s="448"/>
      <c r="G16" s="2605"/>
      <c r="H16" s="450"/>
      <c r="I16" s="2604"/>
      <c r="J16" s="448"/>
      <c r="K16" s="672"/>
      <c r="L16" s="1140"/>
      <c r="M16" s="1131"/>
      <c r="N16" s="1131"/>
      <c r="O16" s="1139"/>
      <c r="P16" s="3220"/>
      <c r="Q16" s="1810"/>
      <c r="R16" s="774"/>
      <c r="S16" s="775"/>
      <c r="T16" s="774"/>
      <c r="U16" s="775"/>
      <c r="V16" s="774"/>
      <c r="W16" s="775"/>
      <c r="X16" s="1813"/>
      <c r="Y16" s="3220"/>
      <c r="Z16" s="1814"/>
      <c r="AA16" s="1811">
        <v>1</v>
      </c>
      <c r="AB16" s="1811">
        <v>1</v>
      </c>
      <c r="AC16" s="1811">
        <v>1</v>
      </c>
    </row>
    <row r="17" spans="1:29" ht="71.25" hidden="1">
      <c r="A17" s="428"/>
      <c r="B17" s="451" t="s">
        <v>2651</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0"/>
      <c r="Q17" s="1810" t="str">
        <f>B17</f>
        <v>商业繁华度</v>
      </c>
      <c r="R17" s="774" t="s">
        <v>17</v>
      </c>
      <c r="S17" s="775">
        <f>F17</f>
        <v>100</v>
      </c>
      <c r="T17" s="774" t="s">
        <v>17</v>
      </c>
      <c r="U17" s="775">
        <f>H17</f>
        <v>100</v>
      </c>
      <c r="V17" s="774" t="s">
        <v>17</v>
      </c>
      <c r="W17" s="775">
        <f>J17</f>
        <v>100</v>
      </c>
      <c r="X17" s="1813"/>
      <c r="Y17" s="3220"/>
      <c r="Z17" s="1814" t="str">
        <f>Q17</f>
        <v>商业繁华度</v>
      </c>
      <c r="AA17" s="1811">
        <f t="shared" si="3"/>
        <v>1</v>
      </c>
      <c r="AB17" s="1811">
        <f t="shared" si="4"/>
        <v>1</v>
      </c>
      <c r="AC17" s="1811">
        <f t="shared" si="5"/>
        <v>1</v>
      </c>
    </row>
    <row r="18" spans="1:29" ht="15" hidden="1">
      <c r="A18" s="428"/>
      <c r="B18" s="456"/>
      <c r="C18" s="2608"/>
      <c r="D18" s="450"/>
      <c r="E18" s="2610"/>
      <c r="F18" s="450"/>
      <c r="G18" s="2610"/>
      <c r="H18" s="448"/>
      <c r="I18" s="2609"/>
      <c r="J18" s="448"/>
      <c r="K18" s="672"/>
      <c r="L18" s="1140"/>
      <c r="M18" s="1131"/>
      <c r="N18" s="1131"/>
      <c r="O18" s="1139"/>
      <c r="P18" s="3220"/>
      <c r="Q18" s="1810"/>
      <c r="R18" s="774"/>
      <c r="S18" s="775"/>
      <c r="T18" s="774"/>
      <c r="U18" s="775"/>
      <c r="V18" s="774"/>
      <c r="W18" s="775"/>
      <c r="X18" s="1813"/>
      <c r="Y18" s="3220"/>
      <c r="Z18" s="1814"/>
      <c r="AA18" s="1811">
        <v>1</v>
      </c>
      <c r="AB18" s="1811">
        <v>1</v>
      </c>
      <c r="AC18" s="1811">
        <v>1</v>
      </c>
    </row>
    <row r="19" spans="1:29" ht="71.25" hidden="1">
      <c r="A19" s="428"/>
      <c r="B19" s="451" t="s">
        <v>2685</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0"/>
      <c r="Q19" s="1810" t="str">
        <f>B19</f>
        <v>办公集聚程度</v>
      </c>
      <c r="R19" s="774" t="s">
        <v>17</v>
      </c>
      <c r="S19" s="775">
        <f>F19</f>
        <v>100</v>
      </c>
      <c r="T19" s="774" t="s">
        <v>17</v>
      </c>
      <c r="U19" s="775">
        <f>H19</f>
        <v>100</v>
      </c>
      <c r="V19" s="774" t="s">
        <v>17</v>
      </c>
      <c r="W19" s="775">
        <f>J19</f>
        <v>100</v>
      </c>
      <c r="X19" s="1813"/>
      <c r="Y19" s="3220"/>
      <c r="Z19" s="1814" t="str">
        <f>Q19</f>
        <v>办公集聚程度</v>
      </c>
      <c r="AA19" s="1811">
        <f t="shared" si="3"/>
        <v>1</v>
      </c>
      <c r="AB19" s="1811">
        <f t="shared" si="4"/>
        <v>1</v>
      </c>
      <c r="AC19" s="1811">
        <f t="shared" si="5"/>
        <v>1</v>
      </c>
    </row>
    <row r="20" spans="1:29" ht="15" hidden="1">
      <c r="A20" s="428"/>
      <c r="B20" s="456"/>
      <c r="C20" s="447"/>
      <c r="D20" s="448"/>
      <c r="E20" s="2605"/>
      <c r="F20" s="448"/>
      <c r="G20" s="2605"/>
      <c r="H20" s="448"/>
      <c r="I20" s="2604"/>
      <c r="J20" s="448"/>
      <c r="K20" s="672"/>
      <c r="L20" s="1140"/>
      <c r="M20" s="1131"/>
      <c r="N20" s="1131"/>
      <c r="O20" s="1139"/>
      <c r="P20" s="3220"/>
      <c r="Q20" s="1810"/>
      <c r="R20" s="774"/>
      <c r="S20" s="775"/>
      <c r="T20" s="774"/>
      <c r="U20" s="775"/>
      <c r="V20" s="774"/>
      <c r="W20" s="775"/>
      <c r="X20" s="1813"/>
      <c r="Y20" s="3220"/>
      <c r="Z20" s="1814"/>
      <c r="AA20" s="1811">
        <v>1</v>
      </c>
      <c r="AB20" s="1811">
        <v>1</v>
      </c>
      <c r="AC20" s="1811">
        <v>1</v>
      </c>
    </row>
    <row r="21" spans="1:29" ht="114">
      <c r="A21" s="428"/>
      <c r="B21" s="451" t="s">
        <v>2707</v>
      </c>
      <c r="C21" s="2607" t="str">
        <f>估价对象房地状况!C18</f>
        <v>估价对象周边道路状况一般、公共交通通达情况较好（公交车通达度较好）、停车便捷程度一般，综合评价交通便捷度较好</v>
      </c>
      <c r="D21" s="450">
        <v>100</v>
      </c>
      <c r="E21" s="452"/>
      <c r="F21" s="455">
        <f>SUMIF(94:94,E22,95:95)-SUMIF(94:94,C22,95:95)+100</f>
        <v>0</v>
      </c>
      <c r="G21" s="452"/>
      <c r="H21" s="450">
        <f>SUMIF(94:94,G22,95:95)-SUMIF(94:94,C22,95:95)+100</f>
        <v>0</v>
      </c>
      <c r="I21" s="454"/>
      <c r="J21" s="450">
        <f>SUMIF(94:94,I22,95:95)-SUMIF(94:94,C22,95:95)+100</f>
        <v>0</v>
      </c>
      <c r="K21" s="673"/>
      <c r="L21" s="1140"/>
      <c r="M21" s="1131"/>
      <c r="N21" s="1131"/>
      <c r="O21" s="1139"/>
      <c r="P21" s="3220"/>
      <c r="Q21" s="1810" t="str">
        <f>B21</f>
        <v>交通便捷度</v>
      </c>
      <c r="R21" s="774" t="s">
        <v>17</v>
      </c>
      <c r="S21" s="775">
        <f>F21</f>
        <v>0</v>
      </c>
      <c r="T21" s="774" t="s">
        <v>17</v>
      </c>
      <c r="U21" s="775">
        <f>H21</f>
        <v>0</v>
      </c>
      <c r="V21" s="774" t="s">
        <v>17</v>
      </c>
      <c r="W21" s="775">
        <f>J21</f>
        <v>0</v>
      </c>
      <c r="X21" s="1813"/>
      <c r="Y21" s="3220"/>
      <c r="Z21" s="1814" t="str">
        <f>Q21</f>
        <v>交通便捷度</v>
      </c>
      <c r="AA21" s="1811" t="e">
        <f t="shared" si="3"/>
        <v>#DIV/0!</v>
      </c>
      <c r="AB21" s="1811" t="e">
        <f t="shared" si="4"/>
        <v>#DIV/0!</v>
      </c>
      <c r="AC21" s="1811" t="e">
        <f t="shared" si="5"/>
        <v>#DIV/0!</v>
      </c>
    </row>
    <row r="22" spans="1:29" ht="15">
      <c r="A22" s="428"/>
      <c r="B22" s="1384"/>
      <c r="C22" s="447" t="s">
        <v>3178</v>
      </c>
      <c r="D22" s="450"/>
      <c r="E22" s="2605"/>
      <c r="F22" s="448"/>
      <c r="G22" s="2605"/>
      <c r="H22" s="448"/>
      <c r="I22" s="2604"/>
      <c r="J22" s="448"/>
      <c r="K22" s="672"/>
      <c r="L22" s="1140"/>
      <c r="M22" s="1131"/>
      <c r="N22" s="1131"/>
      <c r="O22" s="1139"/>
      <c r="P22" s="3220"/>
      <c r="Q22" s="1810"/>
      <c r="R22" s="774"/>
      <c r="S22" s="775"/>
      <c r="T22" s="774"/>
      <c r="U22" s="775"/>
      <c r="V22" s="774"/>
      <c r="W22" s="775"/>
      <c r="X22" s="1813"/>
      <c r="Y22" s="3220"/>
      <c r="Z22" s="1814"/>
      <c r="AA22" s="1811">
        <v>1</v>
      </c>
      <c r="AB22" s="1811">
        <v>1</v>
      </c>
      <c r="AC22" s="1811">
        <v>1</v>
      </c>
    </row>
    <row r="23" spans="1:29" ht="15">
      <c r="A23" s="404"/>
      <c r="B23" s="451" t="s">
        <v>2746</v>
      </c>
      <c r="C23" s="1389">
        <f>估价对象房地状况!C19</f>
        <v>0</v>
      </c>
      <c r="D23" s="455">
        <v>100</v>
      </c>
      <c r="E23" s="452"/>
      <c r="F23" s="455">
        <f>SUMIF(96:96,E24,97:97)-SUMIF(96:96,C24,97:97)+100</f>
        <v>0</v>
      </c>
      <c r="G23" s="454"/>
      <c r="H23" s="455">
        <f>SUMIF(96:96,G24,97:97)-SUMIF(96:96,C24,97:97)+100</f>
        <v>0</v>
      </c>
      <c r="I23" s="454"/>
      <c r="J23" s="455">
        <f>SUMIF(96:96,I24,97:97)-SUMIF(96:96,C24,97:97)+100</f>
        <v>0</v>
      </c>
      <c r="K23" s="673"/>
      <c r="L23" s="1140"/>
      <c r="M23" s="1131"/>
      <c r="N23" s="1131"/>
      <c r="O23" s="1139"/>
      <c r="P23" s="3220"/>
      <c r="Q23" s="1810" t="str">
        <f t="shared" ref="Q23:Q37" si="8">B23</f>
        <v>区域土地利用方向</v>
      </c>
      <c r="R23" s="774" t="s">
        <v>17</v>
      </c>
      <c r="S23" s="775">
        <f>F23</f>
        <v>0</v>
      </c>
      <c r="T23" s="774" t="s">
        <v>17</v>
      </c>
      <c r="U23" s="775">
        <f>H23</f>
        <v>0</v>
      </c>
      <c r="V23" s="774" t="s">
        <v>17</v>
      </c>
      <c r="W23" s="775">
        <f>J23</f>
        <v>0</v>
      </c>
      <c r="X23" s="1813"/>
      <c r="Y23" s="3220"/>
      <c r="Z23" s="1814" t="str">
        <f>Q23</f>
        <v>区域土地利用方向</v>
      </c>
      <c r="AA23" s="1811" t="e">
        <f t="shared" si="3"/>
        <v>#DIV/0!</v>
      </c>
      <c r="AB23" s="1811" t="e">
        <f t="shared" si="4"/>
        <v>#DIV/0!</v>
      </c>
      <c r="AC23" s="1811" t="e">
        <f t="shared" si="5"/>
        <v>#DIV/0!</v>
      </c>
    </row>
    <row r="24" spans="1:29" ht="15">
      <c r="A24" s="404"/>
      <c r="B24" s="456"/>
      <c r="C24" s="616" t="s">
        <v>3178</v>
      </c>
      <c r="D24" s="448"/>
      <c r="E24" s="2605"/>
      <c r="F24" s="448"/>
      <c r="G24" s="2604"/>
      <c r="H24" s="448"/>
      <c r="I24" s="2604"/>
      <c r="J24" s="448"/>
      <c r="K24" s="812"/>
      <c r="L24" s="1140"/>
      <c r="M24" s="1131"/>
      <c r="N24" s="1131"/>
      <c r="O24" s="1139"/>
      <c r="P24" s="3220"/>
      <c r="Q24" s="1810"/>
      <c r="R24" s="774"/>
      <c r="S24" s="775"/>
      <c r="T24" s="774"/>
      <c r="U24" s="775"/>
      <c r="V24" s="774"/>
      <c r="W24" s="775"/>
      <c r="X24" s="1813"/>
      <c r="Y24" s="3220"/>
      <c r="Z24" s="1814"/>
      <c r="AA24" s="1811"/>
      <c r="AB24" s="1811"/>
      <c r="AC24" s="1811"/>
    </row>
    <row r="25" spans="1:29" ht="71.25">
      <c r="A25" s="404"/>
      <c r="B25" s="1384" t="s">
        <v>2747</v>
      </c>
      <c r="C25" s="2662" t="str">
        <f>估价对象房地状况!C20</f>
        <v>区域自然环境：周边有渭清公园；人文环境一般；综合评价环境状况一般</v>
      </c>
      <c r="D25" s="450">
        <v>100</v>
      </c>
      <c r="E25" s="452"/>
      <c r="F25" s="450">
        <f>SUMIF(98:98,E26,99:99)-SUMIF(98:98,C26,99:99)+100</f>
        <v>0</v>
      </c>
      <c r="G25" s="452"/>
      <c r="H25" s="450">
        <f>SUMIF(98:98,G26,99:99)-SUMIF(98:98,C26,99:99)+100</f>
        <v>0</v>
      </c>
      <c r="I25" s="454"/>
      <c r="J25" s="450">
        <f>SUMIF(98:98,I26,99:99)-SUMIF(98:98,C26,99:99)+100</f>
        <v>0</v>
      </c>
      <c r="K25" s="673"/>
      <c r="L25" s="1140"/>
      <c r="M25" s="1131"/>
      <c r="N25" s="1131"/>
      <c r="O25" s="1139"/>
      <c r="P25" s="3220"/>
      <c r="Q25" s="1810" t="str">
        <f t="shared" si="8"/>
        <v>自然及人文环境状况</v>
      </c>
      <c r="R25" s="774" t="s">
        <v>17</v>
      </c>
      <c r="S25" s="775">
        <f>F25</f>
        <v>0</v>
      </c>
      <c r="T25" s="774" t="s">
        <v>17</v>
      </c>
      <c r="U25" s="775">
        <f>H25</f>
        <v>0</v>
      </c>
      <c r="V25" s="774" t="s">
        <v>17</v>
      </c>
      <c r="W25" s="775">
        <f>J25</f>
        <v>0</v>
      </c>
      <c r="X25" s="1813"/>
      <c r="Y25" s="3220"/>
      <c r="Z25" s="1814" t="str">
        <f>Q25</f>
        <v>自然及人文环境状况</v>
      </c>
      <c r="AA25" s="1811" t="e">
        <f t="shared" si="3"/>
        <v>#DIV/0!</v>
      </c>
      <c r="AB25" s="1811" t="e">
        <f t="shared" si="4"/>
        <v>#DIV/0!</v>
      </c>
      <c r="AC25" s="1811" t="e">
        <f t="shared" si="5"/>
        <v>#DIV/0!</v>
      </c>
    </row>
    <row r="26" spans="1:29" ht="15">
      <c r="A26" s="404"/>
      <c r="B26" s="456"/>
      <c r="C26" s="447" t="s">
        <v>3179</v>
      </c>
      <c r="D26" s="448"/>
      <c r="E26" s="2611"/>
      <c r="F26" s="448"/>
      <c r="G26" s="2611"/>
      <c r="H26" s="448"/>
      <c r="I26" s="447"/>
      <c r="J26" s="448"/>
      <c r="K26" s="672"/>
      <c r="L26" s="1140"/>
      <c r="M26" s="1131"/>
      <c r="N26" s="1131"/>
      <c r="O26" s="1139"/>
      <c r="P26" s="3220"/>
      <c r="Q26" s="1810"/>
      <c r="R26" s="774"/>
      <c r="S26" s="775"/>
      <c r="T26" s="774"/>
      <c r="U26" s="775"/>
      <c r="V26" s="774"/>
      <c r="W26" s="775"/>
      <c r="X26" s="1813"/>
      <c r="Y26" s="3220"/>
      <c r="Z26" s="1814"/>
      <c r="AA26" s="1811">
        <v>1</v>
      </c>
      <c r="AB26" s="1811">
        <v>1</v>
      </c>
      <c r="AC26" s="1811">
        <v>1</v>
      </c>
    </row>
    <row r="27" spans="1:29" s="117" customFormat="1" ht="42.75">
      <c r="A27" s="649"/>
      <c r="B27" s="1384" t="s">
        <v>2652</v>
      </c>
      <c r="C27" s="2607" t="str">
        <f>估价对象房地状况!C21</f>
        <v>估价对象所在区域公共配套设施较齐备</v>
      </c>
      <c r="D27" s="450">
        <v>100</v>
      </c>
      <c r="E27" s="452"/>
      <c r="F27" s="450">
        <f>SUMIF(100:100,E28,101:101)-SUMIF(100:100,C28,101:101)+100</f>
        <v>0</v>
      </c>
      <c r="G27" s="452"/>
      <c r="H27" s="450">
        <f>SUMIF(100:100,G28,101:101)-SUMIF(100:100,C28,101:101)+100</f>
        <v>0</v>
      </c>
      <c r="I27" s="454"/>
      <c r="J27" s="450">
        <f>SUMIF(100:100,I28,101:101)-SUMIF(100:100,C28,101:101)+100</f>
        <v>0</v>
      </c>
      <c r="K27" s="673"/>
      <c r="L27" s="1132"/>
      <c r="M27" s="1133"/>
      <c r="N27" s="1133"/>
      <c r="O27" s="1134"/>
      <c r="P27" s="3220"/>
      <c r="Q27" s="1795" t="str">
        <f t="shared" si="8"/>
        <v>公共配套设施</v>
      </c>
      <c r="R27" s="770" t="s">
        <v>17</v>
      </c>
      <c r="S27" s="771">
        <f>F27</f>
        <v>0</v>
      </c>
      <c r="T27" s="770" t="s">
        <v>17</v>
      </c>
      <c r="U27" s="771">
        <f>H27</f>
        <v>0</v>
      </c>
      <c r="V27" s="770" t="s">
        <v>17</v>
      </c>
      <c r="W27" s="771">
        <f>J27</f>
        <v>0</v>
      </c>
      <c r="X27" s="772"/>
      <c r="Y27" s="3220"/>
      <c r="Z27" s="55" t="str">
        <f>Q27</f>
        <v>公共配套设施</v>
      </c>
      <c r="AA27" s="1811" t="e">
        <f>D27/F27</f>
        <v>#DIV/0!</v>
      </c>
      <c r="AB27" s="1811" t="e">
        <f>D27/H27</f>
        <v>#DIV/0!</v>
      </c>
      <c r="AC27" s="1811" t="e">
        <f>D27/J27</f>
        <v>#DIV/0!</v>
      </c>
    </row>
    <row r="28" spans="1:29" s="117" customFormat="1" ht="15">
      <c r="A28" s="649"/>
      <c r="B28" s="456"/>
      <c r="C28" s="2698" t="s">
        <v>3178</v>
      </c>
      <c r="D28" s="448"/>
      <c r="E28" s="2611"/>
      <c r="F28" s="448"/>
      <c r="G28" s="2611"/>
      <c r="H28" s="448"/>
      <c r="I28" s="447"/>
      <c r="J28" s="448"/>
      <c r="K28" s="672"/>
      <c r="L28" s="1132"/>
      <c r="M28" s="1133"/>
      <c r="N28" s="1133"/>
      <c r="O28" s="1134"/>
      <c r="P28" s="3220"/>
      <c r="Q28" s="1795"/>
      <c r="R28" s="770"/>
      <c r="S28" s="771"/>
      <c r="T28" s="770"/>
      <c r="U28" s="771"/>
      <c r="V28" s="770"/>
      <c r="W28" s="771"/>
      <c r="X28" s="772"/>
      <c r="Y28" s="3220"/>
      <c r="Z28" s="55"/>
      <c r="AA28" s="1811">
        <v>1</v>
      </c>
      <c r="AB28" s="1811">
        <v>1</v>
      </c>
      <c r="AC28" s="1811">
        <v>1</v>
      </c>
    </row>
    <row r="29" spans="1:29" s="117" customFormat="1" ht="42.75">
      <c r="A29" s="649"/>
      <c r="B29" s="1384" t="s">
        <v>2653</v>
      </c>
      <c r="C29" s="2607" t="str">
        <f>估价对象房地状况!C22</f>
        <v>估价对象所在区域基础设施水平为六通</v>
      </c>
      <c r="D29" s="450">
        <v>100</v>
      </c>
      <c r="E29" s="452"/>
      <c r="F29" s="450">
        <f>SUMIF(102:102,E30,103:103)-SUMIF(102:102,C30,103:103)+100</f>
        <v>0</v>
      </c>
      <c r="G29" s="452"/>
      <c r="H29" s="450">
        <f>SUMIF(102:102,G30,103:103)-SUMIF(102:102,C30,103:103)+100</f>
        <v>0</v>
      </c>
      <c r="I29" s="454"/>
      <c r="J29" s="450">
        <f>SUMIF(102:102,I30,103:103)-SUMIF(102:102,C30,103:103)+100</f>
        <v>0</v>
      </c>
      <c r="K29" s="673"/>
      <c r="L29" s="1132"/>
      <c r="M29" s="1133"/>
      <c r="N29" s="1133"/>
      <c r="O29" s="1134"/>
      <c r="P29" s="3220"/>
      <c r="Q29" s="1795" t="str">
        <f t="shared" ref="Q29" si="9">B29</f>
        <v>基础设施水平</v>
      </c>
      <c r="R29" s="770" t="s">
        <v>17</v>
      </c>
      <c r="S29" s="771">
        <f>F29</f>
        <v>0</v>
      </c>
      <c r="T29" s="770" t="s">
        <v>17</v>
      </c>
      <c r="U29" s="771">
        <f>H29</f>
        <v>0</v>
      </c>
      <c r="V29" s="770" t="s">
        <v>17</v>
      </c>
      <c r="W29" s="771">
        <f>J29</f>
        <v>0</v>
      </c>
      <c r="X29" s="772"/>
      <c r="Y29" s="3220"/>
      <c r="Z29" s="55" t="str">
        <f>Q29</f>
        <v>基础设施水平</v>
      </c>
      <c r="AA29" s="1811" t="e">
        <f>D29/F29</f>
        <v>#DIV/0!</v>
      </c>
      <c r="AB29" s="1811" t="e">
        <f>D29/H29</f>
        <v>#DIV/0!</v>
      </c>
      <c r="AC29" s="1811" t="e">
        <f>D29/J29</f>
        <v>#DIV/0!</v>
      </c>
    </row>
    <row r="30" spans="1:29" s="117" customFormat="1" ht="15">
      <c r="A30" s="649"/>
      <c r="B30" s="456"/>
      <c r="C30" s="2698" t="s">
        <v>3180</v>
      </c>
      <c r="D30" s="448"/>
      <c r="E30" s="2699"/>
      <c r="F30" s="448"/>
      <c r="G30" s="2699"/>
      <c r="H30" s="448"/>
      <c r="I30" s="2699"/>
      <c r="J30" s="448"/>
      <c r="K30" s="672"/>
      <c r="L30" s="1132"/>
      <c r="M30" s="1133"/>
      <c r="N30" s="1133"/>
      <c r="O30" s="1134"/>
      <c r="P30" s="3220"/>
      <c r="Q30" s="1795"/>
      <c r="R30" s="770"/>
      <c r="S30" s="771"/>
      <c r="T30" s="770"/>
      <c r="U30" s="771"/>
      <c r="V30" s="770"/>
      <c r="W30" s="771"/>
      <c r="X30" s="772"/>
      <c r="Y30" s="3220"/>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20"/>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0"/>
      <c r="Q32" s="1810" t="str">
        <f t="shared" si="8"/>
        <v>毗邻道路的类型与等级</v>
      </c>
      <c r="R32" s="774" t="s">
        <v>17</v>
      </c>
      <c r="S32" s="775">
        <f t="shared" si="10"/>
        <v>100</v>
      </c>
      <c r="T32" s="774" t="s">
        <v>17</v>
      </c>
      <c r="U32" s="775">
        <f t="shared" si="11"/>
        <v>100</v>
      </c>
      <c r="V32" s="774" t="s">
        <v>17</v>
      </c>
      <c r="W32" s="775">
        <f t="shared" si="12"/>
        <v>100</v>
      </c>
      <c r="X32" s="1813"/>
      <c r="Y32" s="3220"/>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20"/>
      <c r="Q33" s="1810"/>
      <c r="R33" s="774"/>
      <c r="S33" s="775"/>
      <c r="T33" s="774"/>
      <c r="U33" s="775"/>
      <c r="V33" s="774"/>
      <c r="W33" s="775"/>
      <c r="X33" s="1813"/>
      <c r="Y33" s="3220"/>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0"/>
      <c r="Q34" s="1810" t="str">
        <f t="shared" si="8"/>
        <v>土地级别</v>
      </c>
      <c r="R34" s="774" t="s">
        <v>17</v>
      </c>
      <c r="S34" s="775">
        <f t="shared" si="10"/>
        <v>100</v>
      </c>
      <c r="T34" s="774" t="s">
        <v>17</v>
      </c>
      <c r="U34" s="775">
        <f t="shared" si="11"/>
        <v>100</v>
      </c>
      <c r="V34" s="774" t="s">
        <v>17</v>
      </c>
      <c r="W34" s="775">
        <f t="shared" si="12"/>
        <v>100</v>
      </c>
      <c r="X34" s="1813"/>
      <c r="Y34" s="3220"/>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0"/>
      <c r="Q35" s="1810">
        <f t="shared" si="8"/>
        <v>111</v>
      </c>
      <c r="R35" s="774" t="s">
        <v>17</v>
      </c>
      <c r="S35" s="775">
        <f t="shared" si="10"/>
        <v>100</v>
      </c>
      <c r="T35" s="774" t="s">
        <v>17</v>
      </c>
      <c r="U35" s="775">
        <f t="shared" si="11"/>
        <v>100</v>
      </c>
      <c r="V35" s="774" t="s">
        <v>17</v>
      </c>
      <c r="W35" s="775">
        <f t="shared" si="12"/>
        <v>100</v>
      </c>
      <c r="X35" s="1813"/>
      <c r="Y35" s="3220"/>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5" t="s">
        <v>2563</v>
      </c>
      <c r="Q36" s="1810">
        <f t="shared" si="8"/>
        <v>111</v>
      </c>
      <c r="R36" s="774" t="s">
        <v>17</v>
      </c>
      <c r="S36" s="775">
        <f t="shared" si="10"/>
        <v>100</v>
      </c>
      <c r="T36" s="774" t="s">
        <v>17</v>
      </c>
      <c r="U36" s="775">
        <f t="shared" si="11"/>
        <v>100</v>
      </c>
      <c r="V36" s="774" t="s">
        <v>17</v>
      </c>
      <c r="W36" s="775">
        <f t="shared" si="12"/>
        <v>100</v>
      </c>
      <c r="X36" s="1813"/>
      <c r="Y36" s="3224"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4"/>
      <c r="Q37" s="1810">
        <f t="shared" si="8"/>
        <v>111</v>
      </c>
      <c r="R37" s="777" t="s">
        <v>17</v>
      </c>
      <c r="S37" s="778">
        <f t="shared" si="10"/>
        <v>100</v>
      </c>
      <c r="T37" s="777" t="s">
        <v>17</v>
      </c>
      <c r="U37" s="778">
        <f t="shared" si="11"/>
        <v>100</v>
      </c>
      <c r="V37" s="777" t="s">
        <v>17</v>
      </c>
      <c r="W37" s="778">
        <f t="shared" si="12"/>
        <v>100</v>
      </c>
      <c r="X37" s="779"/>
      <c r="Y37" s="3224"/>
      <c r="Z37" s="780">
        <f t="shared" si="13"/>
        <v>111</v>
      </c>
      <c r="AA37" s="1811">
        <f t="shared" si="3"/>
        <v>1</v>
      </c>
      <c r="AB37" s="1811">
        <f t="shared" si="4"/>
        <v>1</v>
      </c>
      <c r="AC37" s="1811">
        <f t="shared" si="5"/>
        <v>1</v>
      </c>
    </row>
    <row r="38" spans="1:29" ht="15">
      <c r="A38" s="472" t="s">
        <v>2561</v>
      </c>
      <c r="B38" s="456" t="s">
        <v>2749</v>
      </c>
      <c r="C38" s="679">
        <v>10000</v>
      </c>
      <c r="D38" s="467">
        <v>100</v>
      </c>
      <c r="E38" s="679">
        <f>Sheet1!D5</f>
        <v>25271.8</v>
      </c>
      <c r="F38" s="467">
        <f>LOOKUP(E38,117:117,118:118)-LOOKUP(C38,117:117,118:118)+100</f>
        <v>100</v>
      </c>
      <c r="G38" s="679">
        <f>Sheet1!D7</f>
        <v>138154.20000000001</v>
      </c>
      <c r="H38" s="467">
        <f>LOOKUP(G38,117:117,118:118)-LOOKUP(C38,117:117,118:118)+100</f>
        <v>102</v>
      </c>
      <c r="I38" s="530">
        <f>Sheet1!D20</f>
        <v>93357.34</v>
      </c>
      <c r="J38" s="467">
        <f>LOOKUP(I38,117:117,118:118)-LOOKUP(C38,117:117,118:118)+100</f>
        <v>101</v>
      </c>
      <c r="K38" s="613"/>
      <c r="L38" s="1140"/>
      <c r="M38" s="1131"/>
      <c r="N38" s="1131"/>
      <c r="O38" s="1139"/>
      <c r="P38" s="3224"/>
      <c r="Q38" s="1810" t="str">
        <f>B38</f>
        <v>宗地面积</v>
      </c>
      <c r="R38" s="774" t="s">
        <v>17</v>
      </c>
      <c r="S38" s="775">
        <f t="shared" si="10"/>
        <v>100</v>
      </c>
      <c r="T38" s="774" t="s">
        <v>17</v>
      </c>
      <c r="U38" s="775">
        <f t="shared" si="11"/>
        <v>102</v>
      </c>
      <c r="V38" s="774" t="s">
        <v>17</v>
      </c>
      <c r="W38" s="775">
        <f t="shared" si="12"/>
        <v>101</v>
      </c>
      <c r="X38" s="1813"/>
      <c r="Y38" s="3224"/>
      <c r="Z38" s="1814" t="str">
        <f t="shared" si="13"/>
        <v>宗地面积</v>
      </c>
      <c r="AA38" s="1811">
        <f t="shared" si="3"/>
        <v>1</v>
      </c>
      <c r="AB38" s="1811">
        <f t="shared" si="4"/>
        <v>0.98039215686274506</v>
      </c>
      <c r="AC38" s="1811">
        <f t="shared" si="5"/>
        <v>0.99009900990099009</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24"/>
      <c r="Q39" s="1810" t="str">
        <f t="shared" ref="Q39:Q45" si="14">B39</f>
        <v>宗地形状</v>
      </c>
      <c r="R39" s="774" t="s">
        <v>17</v>
      </c>
      <c r="S39" s="775">
        <f t="shared" si="10"/>
        <v>100</v>
      </c>
      <c r="T39" s="774" t="s">
        <v>17</v>
      </c>
      <c r="U39" s="775">
        <f t="shared" si="11"/>
        <v>100</v>
      </c>
      <c r="V39" s="774" t="s">
        <v>17</v>
      </c>
      <c r="W39" s="775">
        <f t="shared" si="12"/>
        <v>100</v>
      </c>
      <c r="X39" s="1813"/>
      <c r="Y39" s="3224"/>
      <c r="Z39" s="1814" t="str">
        <f t="shared" si="13"/>
        <v>宗地形状</v>
      </c>
      <c r="AA39" s="1811">
        <f t="shared" si="3"/>
        <v>1</v>
      </c>
      <c r="AB39" s="1811">
        <f t="shared" si="4"/>
        <v>1</v>
      </c>
      <c r="AC39" s="1811">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24"/>
      <c r="Q40" s="1810" t="str">
        <f t="shared" si="14"/>
        <v>临街宽度及深度</v>
      </c>
      <c r="R40" s="774" t="s">
        <v>17</v>
      </c>
      <c r="S40" s="775">
        <f t="shared" si="10"/>
        <v>100</v>
      </c>
      <c r="T40" s="774" t="s">
        <v>17</v>
      </c>
      <c r="U40" s="775">
        <f t="shared" si="11"/>
        <v>100</v>
      </c>
      <c r="V40" s="774" t="s">
        <v>17</v>
      </c>
      <c r="W40" s="775">
        <f t="shared" si="12"/>
        <v>100</v>
      </c>
      <c r="X40" s="1813"/>
      <c r="Y40" s="3224"/>
      <c r="Z40" s="1814" t="str">
        <f t="shared" si="13"/>
        <v>临街宽度及深度</v>
      </c>
      <c r="AA40" s="1811">
        <f t="shared" si="3"/>
        <v>1</v>
      </c>
      <c r="AB40" s="1811">
        <f t="shared" si="4"/>
        <v>1</v>
      </c>
      <c r="AC40" s="1811">
        <f t="shared" si="5"/>
        <v>1</v>
      </c>
    </row>
    <row r="41" spans="1:29" s="117" customFormat="1" ht="15">
      <c r="A41" s="473"/>
      <c r="B41" s="422" t="s">
        <v>2752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24"/>
      <c r="Q41" s="1810" t="str">
        <f t="shared" si="14"/>
        <v>宗地开发程度</v>
      </c>
      <c r="R41" s="770" t="s">
        <v>17</v>
      </c>
      <c r="S41" s="771">
        <f t="shared" si="10"/>
        <v>100</v>
      </c>
      <c r="T41" s="770" t="s">
        <v>17</v>
      </c>
      <c r="U41" s="771">
        <f t="shared" si="11"/>
        <v>100</v>
      </c>
      <c r="V41" s="770" t="s">
        <v>17</v>
      </c>
      <c r="W41" s="771">
        <f t="shared" si="12"/>
        <v>100</v>
      </c>
      <c r="X41" s="772"/>
      <c r="Y41" s="3224"/>
      <c r="Z41" s="55" t="str">
        <f t="shared" si="13"/>
        <v>宗地开发程度</v>
      </c>
      <c r="AA41" s="773">
        <f t="shared" si="3"/>
        <v>1</v>
      </c>
      <c r="AB41" s="773">
        <f t="shared" si="4"/>
        <v>1</v>
      </c>
      <c r="AC41" s="773">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24" t="s">
        <v>2563</v>
      </c>
      <c r="Q42" s="1810" t="str">
        <f t="shared" si="14"/>
        <v>工程地质条件</v>
      </c>
      <c r="R42" s="774" t="s">
        <v>17</v>
      </c>
      <c r="S42" s="775">
        <f t="shared" si="10"/>
        <v>100</v>
      </c>
      <c r="T42" s="774" t="s">
        <v>17</v>
      </c>
      <c r="U42" s="775">
        <f t="shared" si="11"/>
        <v>100</v>
      </c>
      <c r="V42" s="774" t="s">
        <v>17</v>
      </c>
      <c r="W42" s="775">
        <f t="shared" si="12"/>
        <v>100</v>
      </c>
      <c r="X42" s="1813"/>
      <c r="Y42" s="3224"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4"/>
      <c r="Q43" s="1810">
        <f t="shared" si="14"/>
        <v>111</v>
      </c>
      <c r="R43" s="774" t="s">
        <v>17</v>
      </c>
      <c r="S43" s="775">
        <f t="shared" si="10"/>
        <v>100</v>
      </c>
      <c r="T43" s="774" t="s">
        <v>17</v>
      </c>
      <c r="U43" s="775">
        <f t="shared" si="11"/>
        <v>100</v>
      </c>
      <c r="V43" s="774" t="s">
        <v>17</v>
      </c>
      <c r="W43" s="775">
        <f t="shared" si="12"/>
        <v>100</v>
      </c>
      <c r="X43" s="1813"/>
      <c r="Y43" s="322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4"/>
      <c r="Q44" s="1810">
        <f t="shared" si="14"/>
        <v>111</v>
      </c>
      <c r="R44" s="774" t="s">
        <v>17</v>
      </c>
      <c r="S44" s="775">
        <f t="shared" si="10"/>
        <v>100</v>
      </c>
      <c r="T44" s="774" t="s">
        <v>17</v>
      </c>
      <c r="U44" s="775">
        <f t="shared" si="11"/>
        <v>100</v>
      </c>
      <c r="V44" s="774" t="s">
        <v>17</v>
      </c>
      <c r="W44" s="775">
        <f t="shared" si="12"/>
        <v>100</v>
      </c>
      <c r="X44" s="1813"/>
      <c r="Y44" s="3224"/>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4"/>
      <c r="Q45" s="1810">
        <f t="shared" si="14"/>
        <v>111</v>
      </c>
      <c r="R45" s="777" t="s">
        <v>17</v>
      </c>
      <c r="S45" s="778">
        <f t="shared" si="10"/>
        <v>100</v>
      </c>
      <c r="T45" s="777" t="s">
        <v>17</v>
      </c>
      <c r="U45" s="778">
        <f t="shared" si="11"/>
        <v>100</v>
      </c>
      <c r="V45" s="777" t="s">
        <v>17</v>
      </c>
      <c r="W45" s="778">
        <f t="shared" si="12"/>
        <v>100</v>
      </c>
      <c r="X45" s="779"/>
      <c r="Y45" s="3224"/>
      <c r="Z45" s="780">
        <f t="shared" si="13"/>
        <v>111</v>
      </c>
      <c r="AA45" s="1811">
        <f t="shared" si="3"/>
        <v>1</v>
      </c>
      <c r="AB45" s="1811">
        <f t="shared" si="4"/>
        <v>1</v>
      </c>
      <c r="AC45" s="1811">
        <f t="shared" si="5"/>
        <v>1</v>
      </c>
    </row>
    <row r="46" spans="1:29" ht="15">
      <c r="A46" s="479" t="s">
        <v>2718</v>
      </c>
      <c r="B46" s="2702" t="s">
        <v>2754</v>
      </c>
      <c r="C46" s="682" t="s">
        <v>1</v>
      </c>
      <c r="D46" s="481"/>
      <c r="E46" s="482">
        <f>Sheet1!K5</f>
        <v>1006.38</v>
      </c>
      <c r="F46" s="483"/>
      <c r="G46" s="484">
        <f>Sheet1!K7</f>
        <v>1001.29</v>
      </c>
      <c r="H46" s="485"/>
      <c r="I46" s="482">
        <f>Sheet1!K20</f>
        <v>1001.52</v>
      </c>
      <c r="J46" s="485"/>
      <c r="K46" s="783"/>
      <c r="L46" s="1143"/>
      <c r="M46" s="1144"/>
      <c r="N46" s="1131"/>
      <c r="O46" s="1144"/>
      <c r="P46" s="3217" t="str">
        <f>A46</f>
        <v>成交单价</v>
      </c>
      <c r="Q46" s="3217"/>
      <c r="R46" s="3212">
        <f>E46</f>
        <v>1006.38</v>
      </c>
      <c r="S46" s="3212"/>
      <c r="T46" s="3212">
        <f>G46</f>
        <v>1001.29</v>
      </c>
      <c r="U46" s="3212"/>
      <c r="V46" s="3212">
        <f>I46</f>
        <v>1001.52</v>
      </c>
      <c r="W46" s="3212"/>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217" t="str">
        <f>A47</f>
        <v>比较价值（元/平方米）</v>
      </c>
      <c r="Q47" s="3217"/>
      <c r="R47" s="3246" t="e">
        <f>ROUND(PRODUCT(R46,AA7:AA45),0)</f>
        <v>#DIV/0!</v>
      </c>
      <c r="S47" s="3246"/>
      <c r="T47" s="3246" t="e">
        <f>ROUND(PRODUCT(T46,AB7:AB45),0)</f>
        <v>#DIV/0!</v>
      </c>
      <c r="U47" s="3246"/>
      <c r="V47" s="3246" t="e">
        <f>ROUND(PRODUCT(V46,AC7:AC45),0)</f>
        <v>#DIV/0!</v>
      </c>
      <c r="W47" s="3246"/>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214" t="str">
        <f>A48</f>
        <v>估价对象XX用房的比较价值（楼面单价，元/平方米）</v>
      </c>
      <c r="Q48" s="3215"/>
      <c r="R48" s="3247" t="e">
        <f>ROUND(AVERAGE(R47:V47),0)</f>
        <v>#DIV/0!</v>
      </c>
      <c r="S48" s="3247"/>
      <c r="T48" s="3247"/>
      <c r="U48" s="3247"/>
      <c r="V48" s="3247"/>
      <c r="W48" s="324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f>IF(E46&lt;G46,G46/E46-1,E46/G46-1)</f>
        <v>5.0834423593564271E-3</v>
      </c>
      <c r="F53" s="500" t="str">
        <f>IF(OR(E53&gt;=0.3,E53&lt;=-0.3),"超过30%","")</f>
        <v/>
      </c>
      <c r="G53" s="499">
        <f>IF(G46&lt;I46,I46/G46-1,G46/I46-1)</f>
        <v>2.2970368224983773E-4</v>
      </c>
      <c r="H53" s="500" t="str">
        <f>IF(OR(G53&gt;=0.3,G53&lt;=-0.3),"超过30%","")</f>
        <v/>
      </c>
      <c r="I53" s="499">
        <f>IF(I46&lt;E46,E46/I46-1,I46/E46-1)</f>
        <v>4.8526240115025487E-3</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3" t="s">
        <v>2758</v>
      </c>
      <c r="D55" s="2704" t="s">
        <v>2759</v>
      </c>
      <c r="E55" s="686" t="s">
        <v>2760</v>
      </c>
      <c r="F55" s="1107" t="s">
        <v>2761</v>
      </c>
      <c r="G55" s="3200" t="s">
        <v>2762</v>
      </c>
      <c r="H55" s="3248"/>
      <c r="I55" s="144" t="s">
        <v>2763</v>
      </c>
      <c r="J55" s="2705" t="str">
        <f>项目基本情况!F35</f>
        <v>陕西省</v>
      </c>
      <c r="K55" s="2706" t="s">
        <v>2764</v>
      </c>
      <c r="L55" s="1106"/>
      <c r="M55" s="1144"/>
      <c r="N55" s="1144"/>
      <c r="O55" s="1144"/>
    </row>
    <row r="56" spans="1:15" s="692" customFormat="1">
      <c r="A56" s="688" t="s">
        <v>2765</v>
      </c>
      <c r="B56" s="689" t="e">
        <f>C48</f>
        <v>#DIV/0!</v>
      </c>
      <c r="C56" s="690">
        <v>1</v>
      </c>
      <c r="D56" s="1163">
        <v>1</v>
      </c>
      <c r="E56" s="690">
        <f>'数据-汇总表'!E8+'数据-汇总表'!E9</f>
        <v>4106</v>
      </c>
      <c r="F56" s="1103" t="e">
        <f t="shared" ref="F56:F65" si="15">ROUND(B56*E56/10000,0)</f>
        <v>#DIV/0!</v>
      </c>
      <c r="G56" s="3199"/>
      <c r="H56" s="3217"/>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49"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49"/>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49"/>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49"/>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7"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7"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08"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1026</v>
      </c>
      <c r="E66" s="696">
        <f>IF(B46="楼面地价",SUM(E56:E65),'数据-汇总表'!D3)</f>
        <v>4106</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09" t="s">
        <v>2780</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0" t="s">
        <v>2781</v>
      </c>
      <c r="B71" s="332" t="str">
        <f>"北京市平均增长率"&amp;TEXT(SUMIF(基准地价修正!N21:N25,A71,基准地价修正!P21:P25),"0.00%")</f>
        <v>北京市平均增长率2.26%</v>
      </c>
      <c r="C71" s="603">
        <v>100</v>
      </c>
      <c r="D71" s="595">
        <f>C71-0.5</f>
        <v>99.5</v>
      </c>
      <c r="E71" s="595">
        <f t="shared" ref="E71:G71" si="20">D71-0.5</f>
        <v>99</v>
      </c>
      <c r="F71" s="595">
        <f t="shared" si="20"/>
        <v>98.5</v>
      </c>
      <c r="G71" s="595">
        <f t="shared" si="20"/>
        <v>98</v>
      </c>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0（含）-1</v>
      </c>
      <c r="D79" s="547" t="str">
        <f t="shared" ref="D79:L79" si="21">D80&amp;"（含）"&amp;"-"&amp;E80</f>
        <v>1（含）-2</v>
      </c>
      <c r="E79" s="547" t="str">
        <f t="shared" si="21"/>
        <v>2（含）-3</v>
      </c>
      <c r="F79" s="547" t="str">
        <f t="shared" si="21"/>
        <v>3（含）-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c r="H80" s="549"/>
      <c r="I80" s="549"/>
      <c r="J80" s="549"/>
      <c r="K80" s="550"/>
      <c r="L80" s="551"/>
      <c r="M80" s="552"/>
      <c r="N80" s="1152"/>
      <c r="O80" s="1152"/>
      <c r="P80" s="45"/>
      <c r="Q80" s="504"/>
    </row>
    <row r="81" spans="1:17" ht="15.75" thickBot="1">
      <c r="A81" s="534"/>
      <c r="B81" s="535"/>
      <c r="C81" s="544">
        <v>100</v>
      </c>
      <c r="D81" s="544">
        <f t="shared" ref="D81:M81" si="22">IF($B$46="单位面积地价",C81+$K11,C81-$K11)</f>
        <v>100</v>
      </c>
      <c r="E81" s="544">
        <f t="shared" si="22"/>
        <v>100</v>
      </c>
      <c r="F81" s="544">
        <f t="shared" si="22"/>
        <v>100</v>
      </c>
      <c r="G81" s="544">
        <f t="shared" si="22"/>
        <v>100</v>
      </c>
      <c r="H81" s="544">
        <f t="shared" si="22"/>
        <v>100</v>
      </c>
      <c r="I81" s="544">
        <f t="shared" si="22"/>
        <v>100</v>
      </c>
      <c r="J81" s="544">
        <f t="shared" si="22"/>
        <v>100</v>
      </c>
      <c r="K81" s="544">
        <f t="shared" si="22"/>
        <v>100</v>
      </c>
      <c r="L81" s="544">
        <f t="shared" si="22"/>
        <v>100</v>
      </c>
      <c r="M81" s="544">
        <f t="shared" si="22"/>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2561</v>
      </c>
      <c r="B116" s="528" t="s">
        <v>2789</v>
      </c>
      <c r="C116" s="529" t="str">
        <f>C117&amp;"(含)"&amp;"-"&amp;D117</f>
        <v>0(含)-50000</v>
      </c>
      <c r="D116" s="529" t="str">
        <f t="shared" ref="D116:M116" si="26">D117&amp;"(含)"&amp;"-"&amp;E117</f>
        <v>50000(含)-100000</v>
      </c>
      <c r="E116" s="529" t="str">
        <f t="shared" si="26"/>
        <v>100000(含)-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50000</v>
      </c>
      <c r="E117" s="595">
        <v>100000</v>
      </c>
      <c r="F117" s="595"/>
      <c r="G117" s="595"/>
      <c r="H117" s="595"/>
      <c r="I117" s="595"/>
      <c r="J117" s="596"/>
      <c r="K117" s="596"/>
      <c r="L117" s="597"/>
      <c r="M117" s="598"/>
      <c r="N117" s="1152"/>
      <c r="O117" s="1152"/>
      <c r="P117" s="45"/>
      <c r="Q117" s="504"/>
    </row>
    <row r="118" spans="1:17" ht="15.75" thickBot="1">
      <c r="A118" s="534"/>
      <c r="B118" s="543"/>
      <c r="C118" s="570">
        <v>100</v>
      </c>
      <c r="D118" s="591">
        <v>101</v>
      </c>
      <c r="E118" s="591">
        <v>102</v>
      </c>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100</v>
      </c>
      <c r="E120" s="544">
        <f t="shared" si="27"/>
        <v>100</v>
      </c>
      <c r="F120" s="544">
        <f t="shared" si="27"/>
        <v>100</v>
      </c>
      <c r="G120" s="544">
        <f t="shared" si="27"/>
        <v>100</v>
      </c>
      <c r="H120" s="544">
        <f t="shared" si="27"/>
        <v>100</v>
      </c>
      <c r="I120" s="544">
        <f t="shared" si="27"/>
        <v>100</v>
      </c>
      <c r="J120" s="544">
        <f t="shared" si="27"/>
        <v>100</v>
      </c>
      <c r="K120" s="544">
        <f t="shared" si="27"/>
        <v>100</v>
      </c>
      <c r="L120" s="544">
        <f t="shared" si="27"/>
        <v>100</v>
      </c>
      <c r="M120" s="545">
        <f t="shared" si="27"/>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9">D124-$K41</f>
        <v>100</v>
      </c>
      <c r="F124" s="544">
        <f t="shared" si="29"/>
        <v>100</v>
      </c>
      <c r="G124" s="544">
        <f t="shared" si="29"/>
        <v>100</v>
      </c>
      <c r="H124" s="544">
        <f t="shared" si="29"/>
        <v>100</v>
      </c>
      <c r="I124" s="544">
        <f t="shared" si="29"/>
        <v>100</v>
      </c>
      <c r="J124" s="544">
        <f t="shared" si="29"/>
        <v>100</v>
      </c>
      <c r="K124" s="544">
        <f t="shared" si="29"/>
        <v>100</v>
      </c>
      <c r="L124" s="544">
        <f t="shared" si="29"/>
        <v>100</v>
      </c>
      <c r="M124" s="545">
        <f t="shared" si="29"/>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0" t="s">
        <v>2644</v>
      </c>
      <c r="D4" s="3201"/>
      <c r="E4" s="3202" t="s">
        <v>2645</v>
      </c>
      <c r="F4" s="3203"/>
      <c r="G4" s="3200" t="s">
        <v>2646</v>
      </c>
      <c r="H4" s="3201"/>
      <c r="I4" s="3200" t="s">
        <v>2647</v>
      </c>
      <c r="J4" s="3201"/>
      <c r="K4" s="610" t="s">
        <v>2648</v>
      </c>
      <c r="L4" s="1130"/>
      <c r="M4" s="1131"/>
      <c r="N4" s="1131"/>
      <c r="O4" s="1131"/>
      <c r="P4" s="3204" t="s">
        <v>2649</v>
      </c>
      <c r="Q4" s="3205"/>
      <c r="R4" s="3187" t="s">
        <v>2645</v>
      </c>
      <c r="S4" s="3188"/>
      <c r="T4" s="3187" t="s">
        <v>2646</v>
      </c>
      <c r="U4" s="3188"/>
      <c r="V4" s="3212" t="s">
        <v>2647</v>
      </c>
      <c r="W4" s="3212"/>
      <c r="X4" s="1813"/>
      <c r="Y4" s="3187" t="s">
        <v>2649</v>
      </c>
      <c r="Z4" s="3188"/>
      <c r="AA4" s="3182" t="s">
        <v>2645</v>
      </c>
      <c r="AB4" s="3183" t="s">
        <v>2646</v>
      </c>
      <c r="AC4" s="3182" t="s">
        <v>2647</v>
      </c>
    </row>
    <row r="5" spans="1:29" ht="15">
      <c r="A5" s="404"/>
      <c r="B5" s="405"/>
      <c r="C5" s="3229" t="s">
        <v>2540</v>
      </c>
      <c r="D5" s="3194"/>
      <c r="E5" s="3228" t="s">
        <v>2541</v>
      </c>
      <c r="F5" s="3192"/>
      <c r="G5" s="3229" t="s">
        <v>2542</v>
      </c>
      <c r="H5" s="3194"/>
      <c r="I5" s="3229" t="s">
        <v>2543</v>
      </c>
      <c r="J5" s="3194"/>
      <c r="K5" s="610"/>
      <c r="L5" s="1130"/>
      <c r="M5" s="1131"/>
      <c r="N5" s="1131"/>
      <c r="O5" s="1131"/>
      <c r="P5" s="3206"/>
      <c r="Q5" s="3207"/>
      <c r="R5" s="3189"/>
      <c r="S5" s="3190"/>
      <c r="T5" s="3189"/>
      <c r="U5" s="3190"/>
      <c r="V5" s="3212"/>
      <c r="W5" s="3212"/>
      <c r="X5" s="1813"/>
      <c r="Y5" s="3189"/>
      <c r="Z5" s="3190"/>
      <c r="AA5" s="3183"/>
      <c r="AB5" s="3183"/>
      <c r="AC5" s="3183"/>
    </row>
    <row r="6" spans="1:29" ht="15.75" thickBot="1">
      <c r="A6" s="406"/>
      <c r="B6" s="407"/>
      <c r="C6" s="3250" t="s">
        <v>2795</v>
      </c>
      <c r="D6" s="3251"/>
      <c r="E6" s="3252" t="s">
        <v>2795</v>
      </c>
      <c r="F6" s="3253"/>
      <c r="G6" s="3250" t="s">
        <v>2795</v>
      </c>
      <c r="H6" s="3251"/>
      <c r="I6" s="3250" t="s">
        <v>2795</v>
      </c>
      <c r="J6" s="3251"/>
      <c r="K6" s="610" t="s">
        <v>2545</v>
      </c>
      <c r="L6" s="1130"/>
      <c r="M6" s="1131"/>
      <c r="N6" s="1131"/>
      <c r="O6" s="1131"/>
      <c r="P6" s="3208"/>
      <c r="Q6" s="3209"/>
      <c r="R6" s="3189"/>
      <c r="S6" s="3190"/>
      <c r="T6" s="3210"/>
      <c r="U6" s="3211"/>
      <c r="V6" s="3212"/>
      <c r="W6" s="3212"/>
      <c r="X6" s="1813"/>
      <c r="Y6" s="3210"/>
      <c r="Z6" s="3211"/>
      <c r="AA6" s="3184"/>
      <c r="AB6" s="3184"/>
      <c r="AC6" s="3184"/>
    </row>
    <row r="7" spans="1:29" s="117" customFormat="1" ht="15.75" thickBot="1">
      <c r="A7" s="408" t="s">
        <v>2546</v>
      </c>
      <c r="B7" s="409"/>
      <c r="C7" s="410">
        <f>'数据-取费表'!B2</f>
        <v>43601</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85" t="s">
        <v>2547</v>
      </c>
      <c r="Q7" s="3213"/>
      <c r="R7" s="770" t="s">
        <v>17</v>
      </c>
      <c r="S7" s="771">
        <f t="shared" ref="S7:S15" si="0">F7</f>
        <v>0</v>
      </c>
      <c r="T7" s="770" t="s">
        <v>17</v>
      </c>
      <c r="U7" s="771">
        <f t="shared" ref="U7:U15" si="1">H7</f>
        <v>0</v>
      </c>
      <c r="V7" s="770" t="s">
        <v>17</v>
      </c>
      <c r="W7" s="771">
        <f t="shared" ref="W7:W15" si="2">J7</f>
        <v>0</v>
      </c>
      <c r="X7" s="772"/>
      <c r="Y7" s="3185" t="s">
        <v>2547</v>
      </c>
      <c r="Z7" s="3186"/>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5" t="s">
        <v>2550</v>
      </c>
      <c r="Q8" s="3186"/>
      <c r="R8" s="770" t="s">
        <v>17</v>
      </c>
      <c r="S8" s="771">
        <f t="shared" si="0"/>
        <v>0</v>
      </c>
      <c r="T8" s="770" t="s">
        <v>17</v>
      </c>
      <c r="U8" s="771">
        <f t="shared" si="1"/>
        <v>0</v>
      </c>
      <c r="V8" s="770" t="s">
        <v>17</v>
      </c>
      <c r="W8" s="771">
        <f t="shared" si="2"/>
        <v>0</v>
      </c>
      <c r="X8" s="772"/>
      <c r="Y8" s="3185" t="s">
        <v>2550</v>
      </c>
      <c r="Z8" s="3186"/>
      <c r="AA8" s="773" t="e">
        <f t="shared" ref="AA8:AA40" si="3">D8/F8</f>
        <v>#DIV/0!</v>
      </c>
      <c r="AB8" s="773" t="e">
        <f t="shared" ref="AB8:AB40" si="4">D8/H8</f>
        <v>#DIV/0!</v>
      </c>
      <c r="AC8" s="773" t="e">
        <f t="shared" ref="AC8:AC40" si="5">D8/J8</f>
        <v>#DIV/0!</v>
      </c>
    </row>
    <row r="9" spans="1:29" s="117" customFormat="1">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17" t="s">
        <v>2553</v>
      </c>
      <c r="Q9" s="1795" t="str">
        <f t="shared" ref="Q9:Q15" si="6">B9</f>
        <v>用途</v>
      </c>
      <c r="R9" s="770" t="s">
        <v>17</v>
      </c>
      <c r="S9" s="771">
        <f t="shared" si="0"/>
        <v>100</v>
      </c>
      <c r="T9" s="770" t="s">
        <v>17</v>
      </c>
      <c r="U9" s="771">
        <f t="shared" si="1"/>
        <v>100</v>
      </c>
      <c r="V9" s="770" t="s">
        <v>17</v>
      </c>
      <c r="W9" s="771">
        <f t="shared" si="2"/>
        <v>100</v>
      </c>
      <c r="X9" s="772"/>
      <c r="Y9" s="3032"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110</v>
      </c>
      <c r="G10" s="432"/>
      <c r="H10" s="136">
        <f>ROUND(100/'数据-取费表'!G16,0)</f>
        <v>110</v>
      </c>
      <c r="I10" s="432"/>
      <c r="J10" s="136">
        <f>ROUND(100/'数据-取费表'!G16,0)</f>
        <v>110</v>
      </c>
      <c r="K10" s="672"/>
      <c r="L10" s="1135"/>
      <c r="M10" s="1136"/>
      <c r="N10" s="1136"/>
      <c r="O10" s="1137"/>
      <c r="P10" s="3217"/>
      <c r="Q10" s="1795" t="str">
        <f t="shared" si="6"/>
        <v>土地使用年限（年）</v>
      </c>
      <c r="R10" s="770" t="s">
        <v>17</v>
      </c>
      <c r="S10" s="771">
        <f t="shared" si="0"/>
        <v>110</v>
      </c>
      <c r="T10" s="770" t="s">
        <v>17</v>
      </c>
      <c r="U10" s="771">
        <f t="shared" si="1"/>
        <v>110</v>
      </c>
      <c r="V10" s="770" t="s">
        <v>17</v>
      </c>
      <c r="W10" s="771">
        <f t="shared" si="2"/>
        <v>110</v>
      </c>
      <c r="X10" s="772"/>
      <c r="Y10" s="3032"/>
      <c r="Z10" s="55" t="str">
        <f t="shared" si="7"/>
        <v>土地使用年限（年）</v>
      </c>
      <c r="AA10" s="773">
        <f t="shared" si="3"/>
        <v>0.90909090909090906</v>
      </c>
      <c r="AB10" s="773">
        <f t="shared" si="4"/>
        <v>0.90909090909090906</v>
      </c>
      <c r="AC10" s="773">
        <f t="shared" si="5"/>
        <v>0.90909090909090906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7"/>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7"/>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7"/>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7"/>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2557</v>
      </c>
      <c r="B15" s="629" t="s">
        <v>2796</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9" t="s">
        <v>2558</v>
      </c>
      <c r="Q15" s="1810" t="str">
        <f t="shared" si="6"/>
        <v>产业集聚程度</v>
      </c>
      <c r="R15" s="774" t="s">
        <v>17</v>
      </c>
      <c r="S15" s="775">
        <f t="shared" si="0"/>
        <v>100</v>
      </c>
      <c r="T15" s="774" t="s">
        <v>17</v>
      </c>
      <c r="U15" s="775">
        <f t="shared" si="1"/>
        <v>100</v>
      </c>
      <c r="V15" s="774" t="s">
        <v>17</v>
      </c>
      <c r="W15" s="775">
        <f t="shared" si="2"/>
        <v>100</v>
      </c>
      <c r="X15" s="1813"/>
      <c r="Y15" s="3219" t="s">
        <v>2558</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20"/>
      <c r="Q16" s="1810"/>
      <c r="R16" s="774"/>
      <c r="S16" s="775"/>
      <c r="T16" s="774"/>
      <c r="U16" s="775"/>
      <c r="V16" s="774"/>
      <c r="W16" s="775"/>
      <c r="X16" s="1813"/>
      <c r="Y16" s="3220"/>
      <c r="Z16" s="1814"/>
      <c r="AA16" s="1811">
        <v>1</v>
      </c>
      <c r="AB16" s="1811">
        <v>1</v>
      </c>
      <c r="AC16" s="1811">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0"/>
      <c r="Q17" s="1810" t="str">
        <f>B17</f>
        <v>交通便捷度</v>
      </c>
      <c r="R17" s="774" t="s">
        <v>17</v>
      </c>
      <c r="S17" s="775">
        <f>F17</f>
        <v>100</v>
      </c>
      <c r="T17" s="774" t="s">
        <v>17</v>
      </c>
      <c r="U17" s="775">
        <f>H17</f>
        <v>100</v>
      </c>
      <c r="V17" s="774" t="s">
        <v>17</v>
      </c>
      <c r="W17" s="775">
        <f>J17</f>
        <v>100</v>
      </c>
      <c r="X17" s="1813"/>
      <c r="Y17" s="3220"/>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20"/>
      <c r="Q18" s="1810"/>
      <c r="R18" s="774"/>
      <c r="S18" s="775"/>
      <c r="T18" s="774"/>
      <c r="U18" s="775"/>
      <c r="V18" s="774"/>
      <c r="W18" s="775"/>
      <c r="X18" s="1813"/>
      <c r="Y18" s="3220"/>
      <c r="Z18" s="1814"/>
      <c r="AA18" s="1811">
        <v>1</v>
      </c>
      <c r="AB18" s="1811">
        <v>1</v>
      </c>
      <c r="AC18" s="1811">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0"/>
      <c r="Q19" s="1810" t="str">
        <f t="shared" ref="Q19:Q33" si="8">B19</f>
        <v>区域土地利用方向</v>
      </c>
      <c r="R19" s="774" t="s">
        <v>17</v>
      </c>
      <c r="S19" s="775">
        <f>F19</f>
        <v>100</v>
      </c>
      <c r="T19" s="774" t="s">
        <v>17</v>
      </c>
      <c r="U19" s="775">
        <f>H19</f>
        <v>100</v>
      </c>
      <c r="V19" s="774" t="s">
        <v>17</v>
      </c>
      <c r="W19" s="775">
        <f>J19</f>
        <v>100</v>
      </c>
      <c r="X19" s="1813"/>
      <c r="Y19" s="3220"/>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20"/>
      <c r="Q20" s="1810"/>
      <c r="R20" s="774"/>
      <c r="S20" s="775"/>
      <c r="T20" s="774"/>
      <c r="U20" s="775"/>
      <c r="V20" s="774"/>
      <c r="W20" s="775"/>
      <c r="X20" s="1813"/>
      <c r="Y20" s="3220"/>
      <c r="Z20" s="1814"/>
      <c r="AA20" s="1811"/>
      <c r="AB20" s="1811"/>
      <c r="AC20" s="1811"/>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0"/>
      <c r="Q21" s="1810" t="str">
        <f t="shared" si="8"/>
        <v>环境状况</v>
      </c>
      <c r="R21" s="774" t="s">
        <v>17</v>
      </c>
      <c r="S21" s="775">
        <f>F21</f>
        <v>100</v>
      </c>
      <c r="T21" s="774" t="s">
        <v>17</v>
      </c>
      <c r="U21" s="775">
        <f>H21</f>
        <v>100</v>
      </c>
      <c r="V21" s="774" t="s">
        <v>17</v>
      </c>
      <c r="W21" s="775">
        <f>J21</f>
        <v>100</v>
      </c>
      <c r="X21" s="1813"/>
      <c r="Y21" s="3220"/>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20"/>
      <c r="Q22" s="1810"/>
      <c r="R22" s="774"/>
      <c r="S22" s="775"/>
      <c r="T22" s="774"/>
      <c r="U22" s="775"/>
      <c r="V22" s="774"/>
      <c r="W22" s="775"/>
      <c r="X22" s="1813"/>
      <c r="Y22" s="3220"/>
      <c r="Z22" s="1814"/>
      <c r="AA22" s="1811">
        <v>1</v>
      </c>
      <c r="AB22" s="1811">
        <v>1</v>
      </c>
      <c r="AC22" s="1811">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0"/>
      <c r="Q23" s="1795" t="str">
        <f t="shared" si="8"/>
        <v>公共配套设施</v>
      </c>
      <c r="R23" s="770" t="s">
        <v>17</v>
      </c>
      <c r="S23" s="771">
        <f>F23</f>
        <v>100</v>
      </c>
      <c r="T23" s="770" t="s">
        <v>17</v>
      </c>
      <c r="U23" s="771">
        <f>H23</f>
        <v>100</v>
      </c>
      <c r="V23" s="770" t="s">
        <v>17</v>
      </c>
      <c r="W23" s="771">
        <f>J23</f>
        <v>100</v>
      </c>
      <c r="X23" s="772"/>
      <c r="Y23" s="3220"/>
      <c r="Z23" s="55" t="str">
        <f>Q23</f>
        <v>公共配套设施</v>
      </c>
      <c r="AA23" s="1811">
        <f>D23/F23</f>
        <v>1</v>
      </c>
      <c r="AB23" s="1811">
        <f>D23/H23</f>
        <v>1</v>
      </c>
      <c r="AC23" s="1811">
        <f>D23/J23</f>
        <v>1</v>
      </c>
    </row>
    <row r="24" spans="1:29" s="117" customFormat="1" ht="15">
      <c r="A24" s="649"/>
      <c r="B24" s="632"/>
      <c r="C24" s="2698"/>
      <c r="D24" s="448"/>
      <c r="E24" s="2611"/>
      <c r="F24" s="448"/>
      <c r="G24" s="2611"/>
      <c r="H24" s="448"/>
      <c r="I24" s="447"/>
      <c r="J24" s="448"/>
      <c r="K24" s="672"/>
      <c r="L24" s="1132"/>
      <c r="M24" s="1133"/>
      <c r="N24" s="1133"/>
      <c r="O24" s="1134"/>
      <c r="P24" s="3220"/>
      <c r="Q24" s="1795"/>
      <c r="R24" s="770"/>
      <c r="S24" s="771"/>
      <c r="T24" s="770"/>
      <c r="U24" s="771"/>
      <c r="V24" s="770"/>
      <c r="W24" s="771"/>
      <c r="X24" s="772"/>
      <c r="Y24" s="3220"/>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0"/>
      <c r="Q25" s="1795" t="str">
        <f t="shared" ref="Q25" si="9">B25</f>
        <v>基础设施水平</v>
      </c>
      <c r="R25" s="770" t="s">
        <v>17</v>
      </c>
      <c r="S25" s="771">
        <f>F25</f>
        <v>100</v>
      </c>
      <c r="T25" s="770" t="s">
        <v>17</v>
      </c>
      <c r="U25" s="771">
        <f>H25</f>
        <v>100</v>
      </c>
      <c r="V25" s="770" t="s">
        <v>17</v>
      </c>
      <c r="W25" s="771">
        <f>J25</f>
        <v>100</v>
      </c>
      <c r="X25" s="772"/>
      <c r="Y25" s="3220"/>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20"/>
      <c r="Q26" s="1795"/>
      <c r="R26" s="770"/>
      <c r="S26" s="771"/>
      <c r="T26" s="770"/>
      <c r="U26" s="771"/>
      <c r="V26" s="770"/>
      <c r="W26" s="771"/>
      <c r="X26" s="772"/>
      <c r="Y26" s="3220"/>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20"/>
      <c r="Z27" s="1814" t="str">
        <f t="shared" ref="Z27:Z40" si="13">Q27</f>
        <v>临街状况</v>
      </c>
      <c r="AA27" s="1811">
        <f t="shared" si="3"/>
        <v>1</v>
      </c>
      <c r="AB27" s="1811">
        <f t="shared" si="4"/>
        <v>1</v>
      </c>
      <c r="AC27" s="1811">
        <f t="shared" si="5"/>
        <v>1</v>
      </c>
    </row>
    <row r="28" spans="1:29" ht="27">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0"/>
      <c r="Q28" s="1810" t="str">
        <f t="shared" si="8"/>
        <v>毗邻道路的类型与等级</v>
      </c>
      <c r="R28" s="774" t="s">
        <v>17</v>
      </c>
      <c r="S28" s="775">
        <f t="shared" si="10"/>
        <v>100</v>
      </c>
      <c r="T28" s="774" t="s">
        <v>17</v>
      </c>
      <c r="U28" s="775">
        <f t="shared" si="11"/>
        <v>100</v>
      </c>
      <c r="V28" s="774" t="s">
        <v>17</v>
      </c>
      <c r="W28" s="775">
        <f t="shared" si="12"/>
        <v>100</v>
      </c>
      <c r="X28" s="1813"/>
      <c r="Y28" s="3220"/>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20"/>
      <c r="Q29" s="1810"/>
      <c r="R29" s="774"/>
      <c r="S29" s="775"/>
      <c r="T29" s="774"/>
      <c r="U29" s="775"/>
      <c r="V29" s="774"/>
      <c r="W29" s="775"/>
      <c r="X29" s="1813"/>
      <c r="Y29" s="3220"/>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0"/>
      <c r="Q30" s="1810" t="str">
        <f t="shared" si="8"/>
        <v>土地级别</v>
      </c>
      <c r="R30" s="774" t="s">
        <v>17</v>
      </c>
      <c r="S30" s="775">
        <f t="shared" si="10"/>
        <v>100</v>
      </c>
      <c r="T30" s="774" t="s">
        <v>17</v>
      </c>
      <c r="U30" s="775">
        <f t="shared" si="11"/>
        <v>100</v>
      </c>
      <c r="V30" s="774" t="s">
        <v>17</v>
      </c>
      <c r="W30" s="775">
        <f t="shared" si="12"/>
        <v>100</v>
      </c>
      <c r="X30" s="1813"/>
      <c r="Y30" s="3220"/>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0"/>
      <c r="Q31" s="1810">
        <f t="shared" si="8"/>
        <v>111</v>
      </c>
      <c r="R31" s="774" t="s">
        <v>17</v>
      </c>
      <c r="S31" s="775">
        <f t="shared" si="10"/>
        <v>100</v>
      </c>
      <c r="T31" s="774" t="s">
        <v>17</v>
      </c>
      <c r="U31" s="775">
        <f t="shared" si="11"/>
        <v>100</v>
      </c>
      <c r="V31" s="774" t="s">
        <v>17</v>
      </c>
      <c r="W31" s="775">
        <f t="shared" si="12"/>
        <v>100</v>
      </c>
      <c r="X31" s="1813"/>
      <c r="Y31" s="3220"/>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5" t="s">
        <v>2563</v>
      </c>
      <c r="Q32" s="1810">
        <f t="shared" si="8"/>
        <v>111</v>
      </c>
      <c r="R32" s="774" t="s">
        <v>17</v>
      </c>
      <c r="S32" s="775">
        <f t="shared" si="10"/>
        <v>100</v>
      </c>
      <c r="T32" s="774" t="s">
        <v>17</v>
      </c>
      <c r="U32" s="775">
        <f t="shared" si="11"/>
        <v>100</v>
      </c>
      <c r="V32" s="774" t="s">
        <v>17</v>
      </c>
      <c r="W32" s="775">
        <f t="shared" si="12"/>
        <v>100</v>
      </c>
      <c r="X32" s="1813"/>
      <c r="Y32" s="3224" t="s">
        <v>2563</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4"/>
      <c r="Q33" s="1810">
        <f t="shared" si="8"/>
        <v>111</v>
      </c>
      <c r="R33" s="777" t="s">
        <v>17</v>
      </c>
      <c r="S33" s="778">
        <f t="shared" si="10"/>
        <v>100</v>
      </c>
      <c r="T33" s="777" t="s">
        <v>17</v>
      </c>
      <c r="U33" s="778">
        <f t="shared" si="11"/>
        <v>100</v>
      </c>
      <c r="V33" s="777" t="s">
        <v>17</v>
      </c>
      <c r="W33" s="778">
        <f t="shared" si="12"/>
        <v>100</v>
      </c>
      <c r="X33" s="779"/>
      <c r="Y33" s="3224"/>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4"/>
      <c r="Q34" s="1810" t="str">
        <f>B34</f>
        <v>宗地面积</v>
      </c>
      <c r="R34" s="774" t="s">
        <v>17</v>
      </c>
      <c r="S34" s="775" t="e">
        <f t="shared" si="10"/>
        <v>#N/A</v>
      </c>
      <c r="T34" s="774" t="s">
        <v>17</v>
      </c>
      <c r="U34" s="775" t="e">
        <f t="shared" si="11"/>
        <v>#N/A</v>
      </c>
      <c r="V34" s="774" t="s">
        <v>17</v>
      </c>
      <c r="W34" s="775" t="e">
        <f t="shared" si="12"/>
        <v>#N/A</v>
      </c>
      <c r="X34" s="1813"/>
      <c r="Y34" s="3224"/>
      <c r="Z34" s="1814" t="str">
        <f t="shared" si="13"/>
        <v>宗地面积</v>
      </c>
      <c r="AA34" s="1811" t="e">
        <f t="shared" si="3"/>
        <v>#N/A</v>
      </c>
      <c r="AB34" s="1811" t="e">
        <f t="shared" si="4"/>
        <v>#N/A</v>
      </c>
      <c r="AC34" s="1811"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24"/>
      <c r="Q35" s="1810" t="str">
        <f t="shared" ref="Q35:Q40" si="14">B35</f>
        <v>宗地形状</v>
      </c>
      <c r="R35" s="774" t="s">
        <v>17</v>
      </c>
      <c r="S35" s="775">
        <f t="shared" si="10"/>
        <v>100</v>
      </c>
      <c r="T35" s="774" t="s">
        <v>17</v>
      </c>
      <c r="U35" s="775">
        <f t="shared" si="11"/>
        <v>100</v>
      </c>
      <c r="V35" s="774" t="s">
        <v>17</v>
      </c>
      <c r="W35" s="775">
        <f t="shared" si="12"/>
        <v>100</v>
      </c>
      <c r="X35" s="1813"/>
      <c r="Y35" s="3224"/>
      <c r="Z35" s="1814" t="str">
        <f t="shared" si="13"/>
        <v>宗地形状</v>
      </c>
      <c r="AA35" s="1811">
        <f t="shared" si="3"/>
        <v>1</v>
      </c>
      <c r="AB35" s="1811">
        <f t="shared" si="4"/>
        <v>1</v>
      </c>
      <c r="AC35" s="1811">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24"/>
      <c r="Q36" s="1810" t="str">
        <f t="shared" si="14"/>
        <v>宗地开发程度</v>
      </c>
      <c r="R36" s="770" t="s">
        <v>17</v>
      </c>
      <c r="S36" s="771">
        <f t="shared" si="10"/>
        <v>100</v>
      </c>
      <c r="T36" s="770" t="s">
        <v>17</v>
      </c>
      <c r="U36" s="771">
        <f t="shared" si="11"/>
        <v>100</v>
      </c>
      <c r="V36" s="770" t="s">
        <v>17</v>
      </c>
      <c r="W36" s="771">
        <f t="shared" si="12"/>
        <v>100</v>
      </c>
      <c r="X36" s="772"/>
      <c r="Y36" s="3224"/>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24" t="s">
        <v>2563</v>
      </c>
      <c r="Q37" s="1810" t="str">
        <f t="shared" si="14"/>
        <v>工程地质条件</v>
      </c>
      <c r="R37" s="774" t="s">
        <v>17</v>
      </c>
      <c r="S37" s="775">
        <f t="shared" si="10"/>
        <v>100</v>
      </c>
      <c r="T37" s="774" t="s">
        <v>17</v>
      </c>
      <c r="U37" s="775">
        <f t="shared" si="11"/>
        <v>100</v>
      </c>
      <c r="V37" s="774" t="s">
        <v>17</v>
      </c>
      <c r="W37" s="775">
        <f t="shared" si="12"/>
        <v>100</v>
      </c>
      <c r="X37" s="1813"/>
      <c r="Y37" s="3224"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4"/>
      <c r="Q38" s="1810">
        <f t="shared" si="14"/>
        <v>111</v>
      </c>
      <c r="R38" s="774" t="s">
        <v>17</v>
      </c>
      <c r="S38" s="775">
        <f t="shared" si="10"/>
        <v>100</v>
      </c>
      <c r="T38" s="774" t="s">
        <v>17</v>
      </c>
      <c r="U38" s="775">
        <f t="shared" si="11"/>
        <v>100</v>
      </c>
      <c r="V38" s="774" t="s">
        <v>17</v>
      </c>
      <c r="W38" s="775">
        <f t="shared" si="12"/>
        <v>100</v>
      </c>
      <c r="X38" s="1813"/>
      <c r="Y38" s="322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4"/>
      <c r="Q39" s="1810">
        <f t="shared" si="14"/>
        <v>111</v>
      </c>
      <c r="R39" s="774" t="s">
        <v>17</v>
      </c>
      <c r="S39" s="775">
        <f t="shared" si="10"/>
        <v>100</v>
      </c>
      <c r="T39" s="774" t="s">
        <v>17</v>
      </c>
      <c r="U39" s="775">
        <f t="shared" si="11"/>
        <v>100</v>
      </c>
      <c r="V39" s="774" t="s">
        <v>17</v>
      </c>
      <c r="W39" s="775">
        <f t="shared" si="12"/>
        <v>100</v>
      </c>
      <c r="X39" s="1813"/>
      <c r="Y39" s="3224"/>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4"/>
      <c r="Q40" s="1810">
        <f t="shared" si="14"/>
        <v>111</v>
      </c>
      <c r="R40" s="777" t="s">
        <v>17</v>
      </c>
      <c r="S40" s="778">
        <f t="shared" si="10"/>
        <v>100</v>
      </c>
      <c r="T40" s="777" t="s">
        <v>17</v>
      </c>
      <c r="U40" s="778">
        <f t="shared" si="11"/>
        <v>100</v>
      </c>
      <c r="V40" s="777" t="s">
        <v>17</v>
      </c>
      <c r="W40" s="778">
        <f t="shared" si="12"/>
        <v>100</v>
      </c>
      <c r="X40" s="779"/>
      <c r="Y40" s="3224"/>
      <c r="Z40" s="780">
        <f t="shared" si="13"/>
        <v>111</v>
      </c>
      <c r="AA40" s="1811">
        <f t="shared" si="3"/>
        <v>1</v>
      </c>
      <c r="AB40" s="1811">
        <f t="shared" si="4"/>
        <v>1</v>
      </c>
      <c r="AC40" s="1811">
        <f t="shared" si="5"/>
        <v>1</v>
      </c>
    </row>
    <row r="41" spans="1:29" ht="15">
      <c r="A41" s="479" t="s">
        <v>2718</v>
      </c>
      <c r="B41" s="2702" t="s">
        <v>2798</v>
      </c>
      <c r="C41" s="682" t="s">
        <v>1</v>
      </c>
      <c r="D41" s="481"/>
      <c r="E41" s="482"/>
      <c r="F41" s="483"/>
      <c r="G41" s="484"/>
      <c r="H41" s="485"/>
      <c r="I41" s="482"/>
      <c r="J41" s="485"/>
      <c r="K41" s="783"/>
      <c r="L41" s="1143"/>
      <c r="M41" s="1131"/>
      <c r="N41" s="1131"/>
      <c r="O41" s="1144"/>
      <c r="P41" s="3217" t="str">
        <f>A41</f>
        <v>成交单价</v>
      </c>
      <c r="Q41" s="3217"/>
      <c r="R41" s="3212">
        <f>E41</f>
        <v>0</v>
      </c>
      <c r="S41" s="3212"/>
      <c r="T41" s="3212">
        <f>G41</f>
        <v>0</v>
      </c>
      <c r="U41" s="3212"/>
      <c r="V41" s="3212">
        <f>I41</f>
        <v>0</v>
      </c>
      <c r="W41" s="3212"/>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17" t="str">
        <f>A42</f>
        <v>比较价值（元/平方米）</v>
      </c>
      <c r="Q42" s="3217"/>
      <c r="R42" s="3246" t="e">
        <f>ROUND(PRODUCT(R41,AA7:AA40),0)</f>
        <v>#DIV/0!</v>
      </c>
      <c r="S42" s="3246"/>
      <c r="T42" s="3246" t="e">
        <f>ROUND(PRODUCT(T41,AB7:AB40),0)</f>
        <v>#DIV/0!</v>
      </c>
      <c r="U42" s="3246"/>
      <c r="V42" s="3246" t="e">
        <f>ROUND(PRODUCT(V41,AC7:AC40),0)</f>
        <v>#DIV/0!</v>
      </c>
      <c r="W42" s="3246"/>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214" t="str">
        <f>A43</f>
        <v>估价对象XX用房的比较价值（楼面单价，元/平方米）</v>
      </c>
      <c r="Q43" s="3215"/>
      <c r="R43" s="3247" t="e">
        <f>ROUND(AVERAGE(R42:V42),0)</f>
        <v>#DIV/0!</v>
      </c>
      <c r="S43" s="3247"/>
      <c r="T43" s="3247"/>
      <c r="U43" s="3247"/>
      <c r="V43" s="3247"/>
      <c r="W43" s="324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3" t="s">
        <v>2758</v>
      </c>
      <c r="D50" s="2704" t="s">
        <v>2759</v>
      </c>
      <c r="E50" s="686" t="s">
        <v>2760</v>
      </c>
      <c r="F50" s="687" t="s">
        <v>2761</v>
      </c>
      <c r="G50" s="3200" t="s">
        <v>2762</v>
      </c>
      <c r="H50" s="3248"/>
      <c r="I50" s="1814" t="s">
        <v>2799</v>
      </c>
      <c r="J50" s="1814" t="str">
        <f>项目基本情况!F35</f>
        <v>陕西省</v>
      </c>
      <c r="K50" s="2706" t="s">
        <v>2764</v>
      </c>
      <c r="L50" s="1106"/>
      <c r="M50" s="1144"/>
      <c r="N50" s="1144"/>
      <c r="O50" s="1144"/>
    </row>
    <row r="51" spans="1:17" s="692" customFormat="1">
      <c r="A51" s="688" t="s">
        <v>2765</v>
      </c>
      <c r="B51" s="689" t="e">
        <f>C43</f>
        <v>#DIV/0!</v>
      </c>
      <c r="C51" s="690">
        <v>1</v>
      </c>
      <c r="D51" s="1163">
        <v>1</v>
      </c>
      <c r="E51" s="690">
        <f>'数据-汇总表'!E8+'数据-汇总表'!E9</f>
        <v>4106</v>
      </c>
      <c r="F51" s="691" t="e">
        <f t="shared" ref="F51:F60" si="15">ROUND(B51*E51/10000,0)</f>
        <v>#DIV/0!</v>
      </c>
      <c r="G51" s="3199"/>
      <c r="H51" s="3217"/>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49"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49"/>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49"/>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49"/>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7"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7"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08"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09" t="s">
        <v>2780</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4" t="s">
        <v>2800</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2802</v>
      </c>
      <c r="B1" s="241"/>
      <c r="C1" s="245" t="s">
        <v>2803</v>
      </c>
      <c r="D1" s="388">
        <f>SUM(D29:D30,D33:D39)</f>
        <v>0</v>
      </c>
      <c r="E1" s="2715"/>
      <c r="F1" s="2715"/>
      <c r="G1" s="2715"/>
      <c r="H1" s="2715"/>
      <c r="I1" s="2715"/>
      <c r="J1" s="2715"/>
      <c r="K1" s="1370"/>
      <c r="L1" s="2716" t="s">
        <v>2804</v>
      </c>
      <c r="M1" s="1080">
        <f>SUMPRODUCT((区片价!B5:B9=I2)*(区片价!C3:F3=E2)*(区片价!C5:F9))</f>
        <v>0</v>
      </c>
      <c r="N1" s="1083">
        <f>SUMPRODUCT((因素修正幅度!B5:B9=I2)*(因素修正幅度!C3:F3=E2)*(因素修正幅度!C5:F9))</f>
        <v>0</v>
      </c>
      <c r="O1" s="2717"/>
      <c r="P1" s="2717"/>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19" t="s">
        <v>2811</v>
      </c>
      <c r="D2" s="2720" t="s">
        <v>2812</v>
      </c>
      <c r="E2" s="2721"/>
      <c r="F2" s="2720" t="s">
        <v>2813</v>
      </c>
      <c r="G2" s="2722">
        <f>IF(E2="商业",项目基本情况!B37,IF(E2="办公",项目基本情况!C37,IF(E2="住宅",项目基本情况!D37,项目基本情况!E37)))</f>
        <v>0</v>
      </c>
      <c r="H2" s="2720" t="s">
        <v>2814</v>
      </c>
      <c r="I2" s="2722">
        <f>IF(E2="商业",项目基本情况!B38,IF(E2="办公",项目基本情况!C38,IF(E2="住宅",项目基本情况!D38,项目基本情况!E38)))</f>
        <v>0</v>
      </c>
      <c r="J2" s="2723"/>
      <c r="K2" s="1370"/>
      <c r="L2" s="2724" t="s">
        <v>2815</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19" t="s">
        <v>2817</v>
      </c>
      <c r="D3" s="2720" t="s">
        <v>2818</v>
      </c>
      <c r="E3" s="2725"/>
      <c r="F3" s="2726" t="s">
        <v>2819</v>
      </c>
      <c r="G3" s="916" t="e">
        <f>IF(F3="宗地容积率",'数据-汇总表'!I4,IF(F3="估价对象容积率",'数据-汇总表'!I6,'数据-汇总表'!I7))</f>
        <v>#DIV/0!</v>
      </c>
      <c r="H3" s="198" t="s">
        <v>2820</v>
      </c>
      <c r="I3" s="944"/>
      <c r="J3" s="2723" t="s">
        <v>2821</v>
      </c>
      <c r="K3" s="1370"/>
      <c r="L3" s="2724" t="s">
        <v>2822</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0"/>
      <c r="B4" s="3271"/>
      <c r="C4" s="3271"/>
      <c r="D4" s="3272"/>
      <c r="E4" s="3272"/>
      <c r="F4" s="3272"/>
      <c r="G4" s="3272"/>
      <c r="H4" s="3272"/>
      <c r="I4" s="3272"/>
      <c r="J4" s="3273"/>
      <c r="K4" s="1370"/>
      <c r="L4" s="2724" t="s">
        <v>2823</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2824</v>
      </c>
      <c r="C5" s="917" t="e">
        <f>ROUND(IF(E2="商业",C6*C7+C16,(IF(E2="住宅",C6*C12+C16,C6+C16))),0)</f>
        <v>#DIV/0!</v>
      </c>
      <c r="D5" s="1787" t="e">
        <f>ROUND(IF(F17="增加",C6+C16,C6-C16),0)</f>
        <v>#DIV/0!</v>
      </c>
      <c r="E5" s="1787"/>
      <c r="F5" s="2729"/>
      <c r="G5" s="2730"/>
      <c r="H5" s="2730"/>
      <c r="I5" s="2730"/>
      <c r="J5" s="2731"/>
      <c r="K5" s="2732"/>
      <c r="L5" s="2724" t="s">
        <v>2825</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5.75" thickBot="1">
      <c r="A6" s="2737" t="s">
        <v>2826</v>
      </c>
      <c r="B6" s="2738" t="s">
        <v>2827</v>
      </c>
      <c r="C6" s="918">
        <f>SUMIF(L1:L12,G2,M1:M12)</f>
        <v>0</v>
      </c>
      <c r="D6" s="2739" t="s">
        <v>2828</v>
      </c>
      <c r="E6" s="2740"/>
      <c r="F6" s="2740"/>
      <c r="G6" s="2741"/>
      <c r="H6" s="2741"/>
      <c r="I6" s="2741"/>
      <c r="J6" s="2742"/>
      <c r="K6" s="1842"/>
      <c r="L6" s="2724" t="s">
        <v>2829</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24">
      <c r="A7" s="3254" t="str">
        <f>IF(E2="商业",IF(C8="不临58条商业街","",2),"")</f>
        <v/>
      </c>
      <c r="B7" s="2743" t="s">
        <v>2830</v>
      </c>
      <c r="C7" s="919" t="e">
        <f>IF(C8="不临58条商业街",1,ROUND(1+(1.6*E8+1.2*E9+0.8*E10+0.4*E11)*C9,4))</f>
        <v>#DIV/0!</v>
      </c>
      <c r="D7" s="2744" t="s">
        <v>2831</v>
      </c>
      <c r="E7" s="945"/>
      <c r="F7" s="2745"/>
      <c r="G7" s="2746"/>
      <c r="H7" s="2746"/>
      <c r="I7" s="2746"/>
      <c r="J7" s="2747"/>
      <c r="K7" s="1842"/>
      <c r="L7" s="2724" t="s">
        <v>2832</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2833</v>
      </c>
      <c r="X7" s="1604">
        <f>G2</f>
        <v>0</v>
      </c>
      <c r="Y7" s="1604" t="s">
        <v>2834</v>
      </c>
      <c r="Z7" s="1605" t="e">
        <f>G3</f>
        <v>#DIV/0!</v>
      </c>
      <c r="AA7" s="1606"/>
      <c r="AB7" s="1606"/>
      <c r="AC7" s="1607"/>
      <c r="AD7" s="1608"/>
      <c r="AE7" s="1608"/>
      <c r="AF7" s="1608"/>
      <c r="AG7" s="1608"/>
      <c r="AH7" s="1608"/>
      <c r="AI7" s="1608"/>
      <c r="AJ7" s="1609"/>
    </row>
    <row r="8" spans="1:36" ht="15">
      <c r="A8" s="3274"/>
      <c r="B8" s="198" t="s">
        <v>2835</v>
      </c>
      <c r="C8" s="2748"/>
      <c r="D8" s="920" t="s">
        <v>139</v>
      </c>
      <c r="E8" s="921" t="e">
        <f>ROUND(C11/E7,4)</f>
        <v>#DIV/0!</v>
      </c>
      <c r="F8" s="2749" t="s">
        <v>2836</v>
      </c>
      <c r="G8" s="2750"/>
      <c r="H8" s="2750"/>
      <c r="I8" s="2750"/>
      <c r="J8" s="2751"/>
      <c r="K8" s="1370"/>
      <c r="L8" s="2724"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7" t="s">
        <v>2838</v>
      </c>
      <c r="X8" s="3268"/>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74"/>
      <c r="B9" s="198" t="s">
        <v>2851</v>
      </c>
      <c r="C9" s="922">
        <f>SUMIF(修正!C59:C119,C8,修正!E59:E119)</f>
        <v>0</v>
      </c>
      <c r="D9" s="200" t="s">
        <v>140</v>
      </c>
      <c r="E9" s="200" t="e">
        <f>ROUND(C11/E7,4)</f>
        <v>#DIV/0!</v>
      </c>
      <c r="F9" s="2749" t="s">
        <v>2852</v>
      </c>
      <c r="G9" s="2750"/>
      <c r="H9" s="2750"/>
      <c r="I9" s="2750"/>
      <c r="J9" s="2751"/>
      <c r="K9" s="1370"/>
      <c r="L9" s="2724"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69"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4"/>
      <c r="B10" s="198" t="s">
        <v>2856</v>
      </c>
      <c r="C10" s="200">
        <f>SUMIF(修正!C59:C119,C8,修正!F59:F119)</f>
        <v>0</v>
      </c>
      <c r="D10" s="200" t="s">
        <v>141</v>
      </c>
      <c r="E10" s="200" t="e">
        <f>ROUND(C11/E7,4)</f>
        <v>#DIV/0!</v>
      </c>
      <c r="F10" s="2749" t="s">
        <v>2857</v>
      </c>
      <c r="G10" s="2750"/>
      <c r="H10" s="2750"/>
      <c r="I10" s="2750"/>
      <c r="J10" s="2751"/>
      <c r="K10" s="1370"/>
      <c r="L10" s="2724"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6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4"/>
      <c r="B11" s="2752" t="s">
        <v>2859</v>
      </c>
      <c r="C11" s="923">
        <f>C10/4</f>
        <v>0</v>
      </c>
      <c r="D11" s="923" t="s">
        <v>142</v>
      </c>
      <c r="E11" s="923" t="e">
        <f>ROUND(C11/E7,4)</f>
        <v>#DIV/0!</v>
      </c>
      <c r="F11" s="2753" t="s">
        <v>2860</v>
      </c>
      <c r="G11" s="2754"/>
      <c r="H11" s="2754"/>
      <c r="I11" s="2754"/>
      <c r="J11" s="2755"/>
      <c r="K11" s="1370"/>
      <c r="L11" s="2724"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69" t="s">
        <v>2862</v>
      </c>
      <c r="X11" s="1614" t="s">
        <v>2863</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54" t="s">
        <v>2864</v>
      </c>
      <c r="B12" s="2756" t="s">
        <v>2865</v>
      </c>
      <c r="C12" s="919">
        <f>ROUND(C15*D15*E15*F15*G15*H15*I15*J15,4)</f>
        <v>1</v>
      </c>
      <c r="D12" s="2757" t="s">
        <v>2866</v>
      </c>
      <c r="E12" s="2758"/>
      <c r="F12" s="2758"/>
      <c r="G12" s="2759"/>
      <c r="H12" s="2759"/>
      <c r="I12" s="2759"/>
      <c r="J12" s="2760"/>
      <c r="K12" s="1370"/>
      <c r="L12" s="2761"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69"/>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5"/>
      <c r="B13" s="2762" t="s">
        <v>2869</v>
      </c>
      <c r="C13" s="2763" t="s">
        <v>2870</v>
      </c>
      <c r="D13" s="1808" t="s">
        <v>2871</v>
      </c>
      <c r="E13" s="1808" t="s">
        <v>2872</v>
      </c>
      <c r="F13" s="30" t="s">
        <v>2873</v>
      </c>
      <c r="G13" s="2764" t="s">
        <v>2874</v>
      </c>
      <c r="H13" s="2764" t="s">
        <v>2874</v>
      </c>
      <c r="I13" s="2764" t="s">
        <v>2874</v>
      </c>
      <c r="J13" s="2765" t="s">
        <v>2874</v>
      </c>
      <c r="K13" s="1370"/>
      <c r="L13" s="1370"/>
      <c r="M13" s="1370"/>
      <c r="N13" s="1370"/>
      <c r="O13" s="1370"/>
      <c r="P13" s="1370"/>
      <c r="Q13" s="1370"/>
      <c r="R13" s="1602">
        <v>12</v>
      </c>
      <c r="S13" s="1603"/>
      <c r="T13" s="1602" t="e">
        <f t="shared" si="0"/>
        <v>#DIV/0!</v>
      </c>
      <c r="U13" s="1603"/>
      <c r="V13" s="1602" t="e">
        <f t="shared" si="1"/>
        <v>#DIV/0!</v>
      </c>
      <c r="W13" s="3269"/>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75"/>
      <c r="B14" s="2766"/>
      <c r="C14" s="2767"/>
      <c r="D14" s="2768"/>
      <c r="E14" s="2768"/>
      <c r="F14" s="2769"/>
      <c r="G14" s="2770" t="s">
        <v>2875</v>
      </c>
      <c r="H14" s="2771"/>
      <c r="I14" s="2772"/>
      <c r="J14" s="2773"/>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6"/>
      <c r="B15" s="2774"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4" t="s">
        <v>2881</v>
      </c>
      <c r="B16" s="2743" t="s">
        <v>2882</v>
      </c>
      <c r="C16" s="2933" t="e">
        <f>ROUND(IF(F17="与级别开发程度一致",0,(G17-E17)/C17),0)</f>
        <v>#DIV/0!</v>
      </c>
      <c r="D16" s="3265" t="s">
        <v>2886</v>
      </c>
      <c r="E16" s="3266"/>
      <c r="F16" s="3265" t="s">
        <v>2883</v>
      </c>
      <c r="G16" s="3266"/>
      <c r="H16" s="2777"/>
      <c r="I16" s="2777"/>
      <c r="J16" s="2937"/>
      <c r="K16" s="2777"/>
      <c r="L16" s="2777"/>
      <c r="M16" s="2777"/>
      <c r="N16" s="2777"/>
      <c r="O16" s="2778"/>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5"/>
      <c r="B17" s="2944" t="s">
        <v>2885</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8" t="s">
        <v>808</v>
      </c>
      <c r="B18" s="2939" t="s">
        <v>2888</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2889</v>
      </c>
      <c r="C19" s="924" t="e">
        <f>ROUND(IF(H19="按公示增长率计算",SUMPRODUCT((地价!A3:A26=YEAR(G19)&amp;"-"&amp;ROUNDUP(MONTH(G19)/3,0))*(地价!X2:AB2=E2)*(地价!X3:AB26)),IF(H19="地价指数",M20/M19,(1+I19)^O19)),4)</f>
        <v>#DIV/0!</v>
      </c>
      <c r="D19" s="2787" t="s">
        <v>2890</v>
      </c>
      <c r="E19" s="925">
        <v>41640</v>
      </c>
      <c r="F19" s="2787" t="s">
        <v>2891</v>
      </c>
      <c r="G19" s="926">
        <f>'数据-取费表'!B2</f>
        <v>43601</v>
      </c>
      <c r="H19" s="2788" t="s">
        <v>2892</v>
      </c>
      <c r="I19" s="927" t="str">
        <f>IF(H19="季度增幅（自定义）",SUMIF(N21:N24,E2,O21:O24),"")</f>
        <v/>
      </c>
      <c r="J19" s="2785"/>
      <c r="K19" s="1377"/>
      <c r="L19" s="2789" t="s">
        <v>2893</v>
      </c>
      <c r="M19" s="1734">
        <f>ROUND(SUMIF(地价!B2:F2,E2,地价!B26:F26),0)</f>
        <v>0</v>
      </c>
      <c r="N19" s="2790" t="s">
        <v>2894</v>
      </c>
      <c r="O19" s="928">
        <f>ROUNDDOWN(DATEDIF(E19,G19,"M")/3,0)</f>
        <v>21</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2895</v>
      </c>
      <c r="C20" s="929" t="e">
        <f>ROUND(POWER(1+G20,J20-I20)*(POWER(1+G20,I20)-1)/(POWER(1+G20,J20)-1),4)</f>
        <v>#DIV/0!</v>
      </c>
      <c r="D20" s="2796" t="s">
        <v>2896</v>
      </c>
      <c r="E20" s="1768">
        <f ca="1">存贷款利率!D4/100</f>
        <v>4.3499999999999997E-2</v>
      </c>
      <c r="F20" s="2796" t="s">
        <v>2887</v>
      </c>
      <c r="G20" s="934">
        <f>SUMIF(M26:P26,E2,M28:P28)</f>
        <v>0</v>
      </c>
      <c r="H20" s="2796" t="s">
        <v>2897</v>
      </c>
      <c r="I20" s="935" t="e">
        <f>SUMIF('数据-取费表'!C6:C15,E2,'数据-取费表'!F6:F15)/COUNTIF('数据-取费表'!C6:C15,E2)</f>
        <v>#DIV/0!</v>
      </c>
      <c r="J20" s="936">
        <f>IF(E2="住宅",70,IF(E2="商业",40,50))</f>
        <v>50</v>
      </c>
      <c r="K20" s="1377"/>
      <c r="L20" s="2797" t="s">
        <v>2898</v>
      </c>
      <c r="M20" s="1735">
        <f>ROUND(SUMPRODUCT((地价!A4:A26=YEAR(G19)&amp;"-"&amp;ROUNDUP(MONTH(G19)/3,0))*(地价!B2:F2=E2)*(地价!B4:F26)),0)</f>
        <v>0</v>
      </c>
      <c r="N20" s="2798" t="s">
        <v>2899</v>
      </c>
      <c r="O20" s="2799" t="s">
        <v>2900</v>
      </c>
      <c r="P20" s="2800" t="s">
        <v>2901</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2902</v>
      </c>
      <c r="C21" s="937" t="e">
        <f>IF(B21="容积率修正",IF(G3&lt;=10,D22,J22),C23)</f>
        <v>#DIV/0!</v>
      </c>
      <c r="D21" s="2803"/>
      <c r="E21" s="2803"/>
      <c r="F21" s="2803"/>
      <c r="G21" s="2803"/>
      <c r="H21" s="2803"/>
      <c r="I21" s="2803"/>
      <c r="J21" s="2804"/>
      <c r="K21" s="1377"/>
      <c r="N21" s="2805" t="s">
        <v>2903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6" customFormat="1" ht="14.25">
      <c r="A22" s="2662" t="s">
        <v>2904</v>
      </c>
      <c r="B22" s="2806" t="s">
        <v>2905</v>
      </c>
      <c r="C22" s="1810" t="s">
        <v>2906</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5" t="s">
        <v>2907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2" t="s">
        <v>2908</v>
      </c>
      <c r="B23" s="2807" t="s">
        <v>2909</v>
      </c>
      <c r="C23" s="1013" t="e">
        <f>ROUND(IF(G3&gt;1,IF(I3&lt;7,SUMPRODUCT((B93:B98=I3)*(C92:N92=G2)*(C93:N98)),SUMIF(C92:N92,G2,C100:N100)),IF(I3&lt;7,SUMPRODUCT((B102:B107=I3)*(C92:N92=G2)*(C102:N107)),SUMIF(C92:N92,G2,C109:N109))),4)</f>
        <v>#DIV/0!</v>
      </c>
      <c r="D23" s="2771"/>
      <c r="E23" s="2771"/>
      <c r="F23" s="2808"/>
      <c r="G23" s="2809"/>
      <c r="H23" s="2810"/>
      <c r="I23" s="2811"/>
      <c r="J23" s="2812"/>
      <c r="K23" s="1370"/>
      <c r="N23" s="2805" t="s">
        <v>2910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2911</v>
      </c>
      <c r="C24" s="924">
        <f>SUMIF(A45:A88,E2,B45:B88)</f>
        <v>0</v>
      </c>
      <c r="D24" s="2784"/>
      <c r="E24" s="2813"/>
      <c r="F24" s="2813"/>
      <c r="G24" s="2813"/>
      <c r="H24" s="2813"/>
      <c r="I24" s="2813"/>
      <c r="J24" s="2814"/>
      <c r="K24" s="1377"/>
      <c r="N24" s="2815" t="s">
        <v>2912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2913</v>
      </c>
      <c r="C25" s="930"/>
      <c r="D25" s="2746"/>
      <c r="E25" s="2746"/>
      <c r="F25" s="2817"/>
      <c r="G25" s="2746"/>
      <c r="H25" s="2746"/>
      <c r="I25" s="2746"/>
      <c r="J25" s="2747"/>
      <c r="K25" s="1370"/>
      <c r="N25" s="2818" t="s">
        <v>2914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9"/>
      <c r="B26" s="2806" t="s">
        <v>2915</v>
      </c>
      <c r="C26" s="206" t="e">
        <f>E29+SUM(E33:E39)</f>
        <v>#DIV/0!</v>
      </c>
      <c r="D26" s="2820"/>
      <c r="E26" s="2771"/>
      <c r="F26" s="2821"/>
      <c r="G26" s="2771"/>
      <c r="H26" s="2771"/>
      <c r="I26" s="2771"/>
      <c r="J26" s="2822"/>
      <c r="K26" s="1370"/>
      <c r="L26" s="2775" t="s">
        <v>2812</v>
      </c>
      <c r="M26" s="920" t="s">
        <v>2877</v>
      </c>
      <c r="N26" s="920" t="s">
        <v>2878</v>
      </c>
      <c r="O26" s="920" t="s">
        <v>2879</v>
      </c>
      <c r="P26" s="2776" t="s">
        <v>2880</v>
      </c>
      <c r="R26" s="1376"/>
      <c r="S26" s="1376"/>
      <c r="T26" s="1371"/>
      <c r="U26" s="1371"/>
      <c r="V26" s="1371"/>
      <c r="W26" s="1370"/>
      <c r="X26" s="1370"/>
      <c r="Y26" s="1370"/>
      <c r="Z26" s="1377"/>
      <c r="AA26" s="1378"/>
      <c r="AB26" s="1378"/>
      <c r="AC26" s="1378"/>
      <c r="AD26" s="1378"/>
    </row>
    <row r="27" spans="1:37" ht="15.75" thickBot="1">
      <c r="A27" s="2819"/>
      <c r="B27" s="2823" t="s">
        <v>2916</v>
      </c>
      <c r="C27" s="931" t="e">
        <f>E30+SUM(I33:I39)</f>
        <v>#DIV/0!</v>
      </c>
      <c r="D27" s="2824"/>
      <c r="E27" s="2825"/>
      <c r="F27" s="2826"/>
      <c r="G27" s="2825"/>
      <c r="H27" s="2825"/>
      <c r="I27" s="2825"/>
      <c r="J27" s="2827"/>
      <c r="K27" s="1370"/>
      <c r="L27" s="2779"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2917</v>
      </c>
      <c r="C28" s="2830" t="s">
        <v>2918</v>
      </c>
      <c r="D28" s="2830" t="s">
        <v>2919</v>
      </c>
      <c r="E28" s="2831" t="s">
        <v>2920</v>
      </c>
      <c r="F28" s="2832"/>
      <c r="G28" s="2759"/>
      <c r="H28" s="2759"/>
      <c r="I28" s="2759"/>
      <c r="J28" s="2760"/>
      <c r="K28" s="1370"/>
      <c r="L28" s="2780"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2921</v>
      </c>
      <c r="C29" s="206" t="e">
        <f>ROUND(C5*C18*C19*C20*C21*C24,0)</f>
        <v>#DIV/0!</v>
      </c>
      <c r="D29" s="2835"/>
      <c r="E29" s="942" t="e">
        <f>ROUND(C29*D29/10000,0)</f>
        <v>#DIV/0!</v>
      </c>
      <c r="F29" s="2836" t="s">
        <v>2922</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2923</v>
      </c>
      <c r="C30" s="229" t="e">
        <f>ROUND(IF(E2="工业",C29*M39,C29*M38),0)</f>
        <v>#DIV/0!</v>
      </c>
      <c r="D30" s="2841"/>
      <c r="E30" s="942" t="e">
        <f>ROUND(C30*D30/10000,0)</f>
        <v>#DIV/0!</v>
      </c>
      <c r="F30" s="2842" t="s">
        <v>2924</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2925</v>
      </c>
      <c r="C31" s="2847" t="s">
        <v>2926</v>
      </c>
      <c r="D31" s="2759"/>
      <c r="E31" s="2847"/>
      <c r="F31" s="2847"/>
      <c r="G31" s="2757" t="s">
        <v>2927</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2918</v>
      </c>
      <c r="D32" s="498" t="s">
        <v>2919</v>
      </c>
      <c r="E32" s="498" t="s">
        <v>2920</v>
      </c>
      <c r="F32" s="388" t="s">
        <v>2928</v>
      </c>
      <c r="G32" s="2850" t="s">
        <v>2918</v>
      </c>
      <c r="H32" s="2850" t="s">
        <v>2919</v>
      </c>
      <c r="I32" s="2850"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62" t="s">
        <v>2929</v>
      </c>
      <c r="B33" s="2851" t="s">
        <v>2930</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3"/>
      <c r="B34" s="2763" t="s">
        <v>2931</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3"/>
      <c r="B35" s="2763" t="s">
        <v>2932</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5" thickBot="1">
      <c r="A36" s="3264"/>
      <c r="B36" s="2763" t="s">
        <v>2933</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2934</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2935</v>
      </c>
      <c r="M37" s="2855"/>
      <c r="N37" s="1370"/>
      <c r="O37" s="1370"/>
      <c r="P37" s="1370"/>
      <c r="Q37" s="1370"/>
      <c r="R37" s="1370"/>
      <c r="S37" s="1370"/>
      <c r="T37" s="1370"/>
      <c r="U37" s="1370"/>
      <c r="V37" s="1370"/>
      <c r="W37" s="1370"/>
      <c r="X37" s="1370"/>
      <c r="Y37" s="1370"/>
      <c r="Z37" s="1371"/>
    </row>
    <row r="38" spans="1:37">
      <c r="A38" s="2853"/>
      <c r="B38" s="2763" t="s">
        <v>2936</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7" t="s">
        <v>2937</v>
      </c>
      <c r="M38" s="2856">
        <v>0.25</v>
      </c>
      <c r="N38" s="1370"/>
      <c r="O38" s="1370"/>
      <c r="P38" s="1370"/>
      <c r="Q38" s="1370"/>
      <c r="R38" s="1370"/>
      <c r="S38" s="1370"/>
      <c r="T38" s="1370"/>
      <c r="U38" s="1370"/>
      <c r="V38" s="1370"/>
      <c r="W38" s="1370"/>
      <c r="X38" s="1370"/>
      <c r="Y38" s="1370"/>
      <c r="Z38" s="1371"/>
    </row>
    <row r="39" spans="1:37" ht="13.5" thickBot="1">
      <c r="A39" s="2839"/>
      <c r="B39" s="2857" t="s">
        <v>2938</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2880</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3049</v>
      </c>
      <c r="C41" s="388" t="e">
        <f>ROUND(POWER(1+E41,H41-G41)*(POWER(1+E41,G41)-1)/(POWER(1+E41,H41)-1),4)</f>
        <v>#DIV/0!</v>
      </c>
      <c r="D41" s="200" t="s">
        <v>2887</v>
      </c>
      <c r="E41" s="2927">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2939</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2940</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2941</v>
      </c>
      <c r="B47" s="1809" t="s">
        <v>2942</v>
      </c>
      <c r="C47" s="1809" t="s">
        <v>2943</v>
      </c>
      <c r="D47" s="1809" t="s">
        <v>2944</v>
      </c>
      <c r="E47" s="819" t="s">
        <v>2945</v>
      </c>
      <c r="F47" s="2869" t="s">
        <v>2946</v>
      </c>
      <c r="G47" s="1809" t="s">
        <v>754</v>
      </c>
      <c r="H47" s="2870" t="s">
        <v>2947</v>
      </c>
      <c r="I47" s="1809" t="s">
        <v>2948</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68" t="s">
        <v>2949</v>
      </c>
      <c r="B48" s="2871" t="str">
        <f>估价对象房地状况!C4</f>
        <v>估价对象位于XX商圈，周边商业氛围成熟，人流量大，商业繁华度好</v>
      </c>
      <c r="C48" s="2768"/>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68" t="s">
        <v>2950</v>
      </c>
      <c r="B49" s="2872" t="str">
        <f>估价对象房地状况!C18</f>
        <v>估价对象周边道路状况一般、公共交通通达情况较好（公交车通达度较好）、停车便捷程度一般，综合评价交通便捷度较好</v>
      </c>
      <c r="C49" s="2768"/>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2951</v>
      </c>
      <c r="B50" s="2872">
        <f>估价对象房地状况!C19</f>
        <v>0</v>
      </c>
      <c r="C50" s="2768"/>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2952</v>
      </c>
      <c r="B51" s="2873" t="s">
        <v>2953</v>
      </c>
      <c r="C51" s="2768"/>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2954</v>
      </c>
      <c r="B52" s="2872" t="str">
        <f>估价对象房地状况!C24</f>
        <v>次干道-育红路</v>
      </c>
      <c r="C52" s="2768"/>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2955</v>
      </c>
      <c r="B53" s="2874" t="s">
        <v>2956</v>
      </c>
      <c r="C53" s="2768"/>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5" t="s">
        <v>2957</v>
      </c>
      <c r="B54" s="1725" t="str">
        <f>估价对象房地状况!C21</f>
        <v>估价对象所在区域公共配套设施较齐备</v>
      </c>
      <c r="C54" s="2768"/>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5" t="s">
        <v>2958</v>
      </c>
      <c r="B55" s="2872" t="str">
        <f>估价对象房地状况!C22</f>
        <v>估价对象所在区域基础设施水平为六通</v>
      </c>
      <c r="C55" s="2768"/>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6" t="s">
        <v>2959</v>
      </c>
      <c r="B56" s="2877" t="str">
        <f>估价对象房地状况!C20</f>
        <v>区域自然环境：周边有渭清公园；人文环境一般；综合评价环境状况一般</v>
      </c>
      <c r="C56" s="2768"/>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2960</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2941</v>
      </c>
      <c r="B58" s="1809"/>
      <c r="C58" s="1809" t="s">
        <v>2943</v>
      </c>
      <c r="D58" s="1809" t="s">
        <v>2944</v>
      </c>
      <c r="E58" s="819" t="s">
        <v>2945</v>
      </c>
      <c r="F58" s="2869" t="s">
        <v>2961</v>
      </c>
      <c r="G58" s="1809" t="s">
        <v>754</v>
      </c>
      <c r="H58" s="2870" t="s">
        <v>2947</v>
      </c>
      <c r="I58" s="1809" t="s">
        <v>2948</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68" t="s">
        <v>2962</v>
      </c>
      <c r="B59" s="2871" t="str">
        <f>估价对象房地状况!C17</f>
        <v>估价对象位于XX商圈，周边办公楼项目较多，入驻率高，办公集聚程度较好</v>
      </c>
      <c r="C59" s="2768"/>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68" t="s">
        <v>2950</v>
      </c>
      <c r="B60" s="2872" t="str">
        <f>估价对象房地状况!C18</f>
        <v>估价对象周边道路状况一般、公共交通通达情况较好（公交车通达度较好）、停车便捷程度一般，综合评价交通便捷度较好</v>
      </c>
      <c r="C60" s="2768"/>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2951</v>
      </c>
      <c r="B61" s="2872">
        <f>估价对象房地状况!C19</f>
        <v>0</v>
      </c>
      <c r="C61" s="2768"/>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2952</v>
      </c>
      <c r="B62" s="2873" t="s">
        <v>2953</v>
      </c>
      <c r="C62" s="2768"/>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2954</v>
      </c>
      <c r="B63" s="2872" t="str">
        <f>估价对象房地状况!C24</f>
        <v>次干道-育红路</v>
      </c>
      <c r="C63" s="2768"/>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2955</v>
      </c>
      <c r="B64" s="2874" t="s">
        <v>2956</v>
      </c>
      <c r="C64" s="2768"/>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8" t="s">
        <v>2957</v>
      </c>
      <c r="B65" s="1725" t="str">
        <f>估价对象房地状况!C21</f>
        <v>估价对象所在区域公共配套设施较齐备</v>
      </c>
      <c r="C65" s="2768"/>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8" t="s">
        <v>2958</v>
      </c>
      <c r="B66" s="1725" t="str">
        <f>估价对象房地状况!C22</f>
        <v>估价对象所在区域基础设施水平为六通</v>
      </c>
      <c r="C66" s="2768"/>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6" t="s">
        <v>2959</v>
      </c>
      <c r="B67" s="2878" t="str">
        <f>估价对象房地状况!C20</f>
        <v>区域自然环境：周边有渭清公园；人文环境一般；综合评价环境状况一般</v>
      </c>
      <c r="C67" s="2768"/>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2963</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2941</v>
      </c>
      <c r="B69" s="1809"/>
      <c r="C69" s="1809" t="s">
        <v>2943</v>
      </c>
      <c r="D69" s="1809" t="s">
        <v>2944</v>
      </c>
      <c r="E69" s="819" t="s">
        <v>2945</v>
      </c>
      <c r="F69" s="2869" t="s">
        <v>2961</v>
      </c>
      <c r="G69" s="1809" t="s">
        <v>754</v>
      </c>
      <c r="H69" s="2870" t="s">
        <v>2947</v>
      </c>
      <c r="I69" s="1809" t="s">
        <v>2948</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63.75">
      <c r="A70" s="2868" t="s">
        <v>2964</v>
      </c>
      <c r="B70" s="2871" t="str">
        <f>估价对象房地状况!C15</f>
        <v>估价对象周边居住用地比例较大、居住小区规模和社区发展完善程度较好，综合评价居住社区成熟度较好</v>
      </c>
      <c r="C70" s="2768"/>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68" t="s">
        <v>2950</v>
      </c>
      <c r="B71" s="2872" t="str">
        <f>估价对象房地状况!C18</f>
        <v>估价对象周边道路状况一般、公共交通通达情况较好（公交车通达度较好）、停车便捷程度一般，综合评价交通便捷度较好</v>
      </c>
      <c r="C71" s="2768"/>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2951</v>
      </c>
      <c r="B72" s="2872">
        <f>估价对象房地状况!C19</f>
        <v>0</v>
      </c>
      <c r="C72" s="2768"/>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2965</v>
      </c>
      <c r="B73" s="2872" t="str">
        <f>估价对象房地状况!C24</f>
        <v>次干道-育红路</v>
      </c>
      <c r="C73" s="2768"/>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8" t="s">
        <v>2957</v>
      </c>
      <c r="B74" s="1725" t="str">
        <f>估价对象房地状况!C21</f>
        <v>估价对象所在区域公共配套设施较齐备</v>
      </c>
      <c r="C74" s="2768"/>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8" t="s">
        <v>2958</v>
      </c>
      <c r="B75" s="1725" t="str">
        <f>估价对象房地状况!C22</f>
        <v>估价对象所在区域基础设施水平为六通</v>
      </c>
      <c r="C75" s="2768"/>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2955</v>
      </c>
      <c r="B76" s="2874" t="s">
        <v>2956</v>
      </c>
      <c r="C76" s="2768"/>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c r="A77" s="2868" t="s">
        <v>2959</v>
      </c>
      <c r="B77" s="2871" t="str">
        <f>估价对象房地状况!C20</f>
        <v>区域自然环境：周边有渭清公园；人文环境一般；综合评价环境状况一般</v>
      </c>
      <c r="C77" s="2768"/>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2966</v>
      </c>
      <c r="B78" s="2880"/>
      <c r="C78" s="2768"/>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2967</v>
      </c>
      <c r="B79" s="2865">
        <f>1+E81</f>
        <v>1</v>
      </c>
      <c r="C79" s="814"/>
      <c r="D79" s="814"/>
      <c r="E79" s="815"/>
      <c r="F79" s="2867"/>
      <c r="G79" s="6"/>
      <c r="H79" s="6"/>
      <c r="I79" s="6"/>
      <c r="J79" s="7"/>
      <c r="K79" s="7"/>
      <c r="L79" s="7"/>
      <c r="M79" s="7"/>
      <c r="N79" s="7"/>
      <c r="Z79" s="2718"/>
      <c r="AA79" s="2786"/>
      <c r="AG79" s="1372"/>
      <c r="AK79" s="2786"/>
    </row>
    <row r="80" spans="1:37" ht="24.75">
      <c r="A80" s="2868" t="s">
        <v>2941</v>
      </c>
      <c r="B80" s="1809"/>
      <c r="C80" s="1809" t="s">
        <v>2943</v>
      </c>
      <c r="D80" s="1809" t="s">
        <v>2944</v>
      </c>
      <c r="E80" s="819" t="s">
        <v>2945</v>
      </c>
      <c r="F80" s="2869" t="s">
        <v>2961</v>
      </c>
      <c r="G80" s="1809" t="s">
        <v>754</v>
      </c>
      <c r="H80" s="2870" t="s">
        <v>2947</v>
      </c>
      <c r="I80" s="1809" t="s">
        <v>2948</v>
      </c>
      <c r="J80" s="603" t="s">
        <v>2595</v>
      </c>
      <c r="K80" s="603" t="s">
        <v>2596</v>
      </c>
      <c r="L80" s="603" t="s">
        <v>2597</v>
      </c>
      <c r="M80" s="603" t="s">
        <v>2598</v>
      </c>
      <c r="N80" s="603" t="s">
        <v>2599</v>
      </c>
      <c r="Z80" s="2718"/>
      <c r="AA80" s="2786"/>
      <c r="AG80" s="1372"/>
      <c r="AK80" s="2786"/>
    </row>
    <row r="81" spans="1:37" ht="38.25">
      <c r="A81" s="2868" t="s">
        <v>2968</v>
      </c>
      <c r="B81" s="2872" t="str">
        <f>估价对象房地状况!G15</f>
        <v>估价对象位于XX开发区，园区建设成熟度XX，产业集聚程度XX</v>
      </c>
      <c r="C81" s="2768"/>
      <c r="D81" s="1286">
        <f t="shared" ref="D81:D88" si="25">SUMIF($J$80:$N$80,C81,J81:N81)</f>
        <v>0</v>
      </c>
      <c r="E81" s="821">
        <f>ROUND(SUM(D81:D88),4)</f>
        <v>0</v>
      </c>
      <c r="F81" s="2502"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51">
      <c r="A82" s="2868" t="s">
        <v>2950</v>
      </c>
      <c r="B82" s="2872" t="str">
        <f>估价对象房地状况!G16</f>
        <v>估价对象周边道路状况、公共交通通达情况、停车便捷程度，综合评价交通便捷度较好</v>
      </c>
      <c r="C82" s="2768"/>
      <c r="D82" s="1286">
        <f t="shared" si="25"/>
        <v>0</v>
      </c>
      <c r="E82" s="826"/>
      <c r="F82" s="2502"/>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2951</v>
      </c>
      <c r="B83" s="2872">
        <f>估价对象房地状况!G17</f>
        <v>0</v>
      </c>
      <c r="C83" s="2768"/>
      <c r="D83" s="1286">
        <f t="shared" si="25"/>
        <v>0</v>
      </c>
      <c r="E83" s="826"/>
      <c r="F83" s="2502"/>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2965</v>
      </c>
      <c r="B84" s="2872">
        <f>估价对象房地状况!G22</f>
        <v>0</v>
      </c>
      <c r="C84" s="2768"/>
      <c r="D84" s="1286">
        <f t="shared" si="25"/>
        <v>0</v>
      </c>
      <c r="E84" s="826"/>
      <c r="F84" s="2502"/>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5.5">
      <c r="A85" s="2868" t="s">
        <v>2957</v>
      </c>
      <c r="B85" s="1725" t="str">
        <f>估价对象房地状况!G19</f>
        <v>估价对象所在区域公共配套设施齐备情况</v>
      </c>
      <c r="C85" s="2768"/>
      <c r="D85" s="1286">
        <f t="shared" si="25"/>
        <v>0</v>
      </c>
      <c r="E85" s="826"/>
      <c r="F85" s="2502"/>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5.5">
      <c r="A86" s="2868" t="s">
        <v>2958</v>
      </c>
      <c r="B86" s="1725" t="str">
        <f>估价对象房地状况!G20</f>
        <v>估价对象所在区域基础设施水平</v>
      </c>
      <c r="C86" s="2768"/>
      <c r="D86" s="1286">
        <f t="shared" si="25"/>
        <v>0</v>
      </c>
      <c r="E86" s="826"/>
      <c r="F86" s="2502"/>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2955</v>
      </c>
      <c r="B87" s="2874" t="s">
        <v>2969</v>
      </c>
      <c r="C87" s="2768"/>
      <c r="D87" s="1286">
        <f t="shared" si="25"/>
        <v>0</v>
      </c>
      <c r="E87" s="826"/>
      <c r="F87" s="2502"/>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39" thickBot="1">
      <c r="A88" s="2876" t="s">
        <v>2970</v>
      </c>
      <c r="B88" s="2881" t="str">
        <f>估价对象房地状况!G18</f>
        <v>该园区内是否有污染型企业，绿化情况，卫生条件，整体环境状况判断</v>
      </c>
      <c r="C88" s="2768"/>
      <c r="D88" s="1286">
        <f t="shared" si="25"/>
        <v>0</v>
      </c>
      <c r="E88" s="827"/>
      <c r="F88" s="2502"/>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256" t="s">
        <v>2971</v>
      </c>
      <c r="B90" s="3256"/>
      <c r="C90" s="3256"/>
      <c r="D90" s="3256"/>
      <c r="E90" s="3256"/>
      <c r="F90" s="3256"/>
      <c r="G90" s="3256"/>
      <c r="H90" s="3256"/>
      <c r="I90" s="3256"/>
      <c r="J90" s="3256"/>
      <c r="K90" s="2882"/>
      <c r="L90" s="2882"/>
      <c r="M90" s="2882"/>
      <c r="N90" s="2882"/>
    </row>
    <row r="91" spans="1:37">
      <c r="A91" s="3258" t="s">
        <v>2972</v>
      </c>
      <c r="B91" s="3258" t="s">
        <v>2973</v>
      </c>
      <c r="C91" s="2836" t="s">
        <v>2974</v>
      </c>
      <c r="D91" s="2837"/>
      <c r="E91" s="2837"/>
      <c r="F91" s="2837"/>
      <c r="G91" s="2837"/>
      <c r="H91" s="2837"/>
      <c r="I91" s="2837"/>
      <c r="J91" s="2883"/>
      <c r="K91" s="2884"/>
      <c r="L91" s="2884"/>
      <c r="M91" s="2884"/>
      <c r="N91" s="2884"/>
    </row>
    <row r="92" spans="1:37">
      <c r="A92" s="3258"/>
      <c r="B92" s="3258"/>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59" t="s">
        <v>2975</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60"/>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60"/>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60"/>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60"/>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60"/>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60"/>
      <c r="B99" s="2885" t="s">
        <v>2855</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61"/>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59" t="s">
        <v>2976</v>
      </c>
      <c r="B101" s="2889" t="s">
        <v>2977</v>
      </c>
      <c r="C101" s="2890" t="e">
        <f>$G$3</f>
        <v>#DIV/0!</v>
      </c>
      <c r="D101" s="2890" t="e">
        <f t="shared" ref="D101:N101" si="31">$G$3</f>
        <v>#DIV/0!</v>
      </c>
      <c r="E101" s="2890" t="e">
        <f t="shared" si="31"/>
        <v>#DIV/0!</v>
      </c>
      <c r="F101" s="2890" t="e">
        <f t="shared" si="31"/>
        <v>#DIV/0!</v>
      </c>
      <c r="G101" s="2890" t="e">
        <f t="shared" si="31"/>
        <v>#DIV/0!</v>
      </c>
      <c r="H101" s="2890" t="e">
        <f t="shared" si="31"/>
        <v>#DIV/0!</v>
      </c>
      <c r="I101" s="2890" t="e">
        <f t="shared" si="31"/>
        <v>#DIV/0!</v>
      </c>
      <c r="J101" s="2890" t="e">
        <f t="shared" si="31"/>
        <v>#DIV/0!</v>
      </c>
      <c r="K101" s="2890" t="e">
        <f t="shared" si="31"/>
        <v>#DIV/0!</v>
      </c>
      <c r="L101" s="2890" t="e">
        <f t="shared" si="31"/>
        <v>#DIV/0!</v>
      </c>
      <c r="M101" s="2890" t="e">
        <f t="shared" si="31"/>
        <v>#DIV/0!</v>
      </c>
      <c r="N101" s="2890" t="e">
        <f t="shared" si="31"/>
        <v>#DIV/0!</v>
      </c>
    </row>
    <row r="102" spans="1:14">
      <c r="A102" s="3260"/>
      <c r="B102" s="2885">
        <v>1</v>
      </c>
      <c r="C102" s="2886" t="e">
        <f>1.9362/C101</f>
        <v>#DIV/0!</v>
      </c>
      <c r="D102" s="2886" t="e">
        <f>1.9362/D101</f>
        <v>#DIV/0!</v>
      </c>
      <c r="E102" s="2886" t="e">
        <f>1.8629/E101</f>
        <v>#DIV/0!</v>
      </c>
      <c r="F102" s="2886" t="e">
        <f>1.8629/F101</f>
        <v>#DIV/0!</v>
      </c>
      <c r="G102" s="2886" t="e">
        <f>1.8629/G101</f>
        <v>#DIV/0!</v>
      </c>
      <c r="H102" s="2886" t="e">
        <f>1.8629/H101</f>
        <v>#DIV/0!</v>
      </c>
      <c r="I102" s="2886" t="e">
        <f>1.8629/I101</f>
        <v>#DIV/0!</v>
      </c>
      <c r="J102" s="2886" t="e">
        <f>1.942/J101</f>
        <v>#DIV/0!</v>
      </c>
      <c r="K102" s="2886" t="e">
        <f>1.942/K101</f>
        <v>#DIV/0!</v>
      </c>
      <c r="L102" s="2886" t="e">
        <f>1.942/L101</f>
        <v>#DIV/0!</v>
      </c>
      <c r="M102" s="2886" t="e">
        <f>1.942/M101</f>
        <v>#DIV/0!</v>
      </c>
      <c r="N102" s="2886" t="e">
        <f>1.942/N101</f>
        <v>#DIV/0!</v>
      </c>
    </row>
    <row r="103" spans="1:14">
      <c r="A103" s="3260"/>
      <c r="B103" s="2885">
        <v>2</v>
      </c>
      <c r="C103" s="2886" t="e">
        <f>1.4198/C101</f>
        <v>#DIV/0!</v>
      </c>
      <c r="D103" s="2886" t="e">
        <f>1.4198/D101</f>
        <v>#DIV/0!</v>
      </c>
      <c r="E103" s="2886" t="e">
        <f>1.3372/E101</f>
        <v>#DIV/0!</v>
      </c>
      <c r="F103" s="2886" t="e">
        <f>1.3372/F101</f>
        <v>#DIV/0!</v>
      </c>
      <c r="G103" s="2886" t="e">
        <f>1.3372/G101</f>
        <v>#DIV/0!</v>
      </c>
      <c r="H103" s="2886" t="e">
        <f>1.3372/H101</f>
        <v>#DIV/0!</v>
      </c>
      <c r="I103" s="2886" t="e">
        <f>1.3372/I101</f>
        <v>#DIV/0!</v>
      </c>
      <c r="J103" s="2886" t="e">
        <f>1.2799/J101</f>
        <v>#DIV/0!</v>
      </c>
      <c r="K103" s="2886" t="e">
        <f>1.2799/K101</f>
        <v>#DIV/0!</v>
      </c>
      <c r="L103" s="2886" t="e">
        <f>1.2799/L101</f>
        <v>#DIV/0!</v>
      </c>
      <c r="M103" s="2886" t="e">
        <f>1.2799/M101</f>
        <v>#DIV/0!</v>
      </c>
      <c r="N103" s="2886" t="e">
        <f>1.2799/N101</f>
        <v>#DIV/0!</v>
      </c>
    </row>
    <row r="104" spans="1:14">
      <c r="A104" s="3260"/>
      <c r="B104" s="2885">
        <v>3</v>
      </c>
      <c r="C104" s="2886" t="e">
        <f>1.1594/C101</f>
        <v>#DIV/0!</v>
      </c>
      <c r="D104" s="2886" t="e">
        <f>1.1594/D101</f>
        <v>#DIV/0!</v>
      </c>
      <c r="E104" s="2886" t="e">
        <f>1.0788/E101</f>
        <v>#DIV/0!</v>
      </c>
      <c r="F104" s="2886" t="e">
        <f>1.0788/F101</f>
        <v>#DIV/0!</v>
      </c>
      <c r="G104" s="2886" t="e">
        <f>1.0788/G101</f>
        <v>#DIV/0!</v>
      </c>
      <c r="H104" s="2886" t="e">
        <f>1.0788/H101</f>
        <v>#DIV/0!</v>
      </c>
      <c r="I104" s="2886" t="e">
        <f>1.0788/I101</f>
        <v>#DIV/0!</v>
      </c>
      <c r="J104" s="2886" t="e">
        <f>1.0072/J101</f>
        <v>#DIV/0!</v>
      </c>
      <c r="K104" s="2886" t="e">
        <f>1.0072/K101</f>
        <v>#DIV/0!</v>
      </c>
      <c r="L104" s="2886" t="e">
        <f>1.0072/L101</f>
        <v>#DIV/0!</v>
      </c>
      <c r="M104" s="2886" t="e">
        <f>1.0072/M101</f>
        <v>#DIV/0!</v>
      </c>
      <c r="N104" s="2886" t="e">
        <f>1.0072/N101</f>
        <v>#DIV/0!</v>
      </c>
    </row>
    <row r="105" spans="1:14">
      <c r="A105" s="3260"/>
      <c r="B105" s="2885">
        <v>4</v>
      </c>
      <c r="C105" s="2886" t="e">
        <f>0.9622/C101</f>
        <v>#DIV/0!</v>
      </c>
      <c r="D105" s="2886" t="e">
        <f>0.9622/D101</f>
        <v>#DIV/0!</v>
      </c>
      <c r="E105" s="2886" t="e">
        <f>0.8656/E101</f>
        <v>#DIV/0!</v>
      </c>
      <c r="F105" s="2886" t="e">
        <f>0.8656/F101</f>
        <v>#DIV/0!</v>
      </c>
      <c r="G105" s="2886" t="e">
        <f>0.8656/G101</f>
        <v>#DIV/0!</v>
      </c>
      <c r="H105" s="2886" t="e">
        <f>0.8656/H101</f>
        <v>#DIV/0!</v>
      </c>
      <c r="I105" s="2886" t="e">
        <f>0.8656/I101</f>
        <v>#DIV/0!</v>
      </c>
      <c r="J105" s="2886" t="e">
        <f>0.7525/J101</f>
        <v>#DIV/0!</v>
      </c>
      <c r="K105" s="2886" t="e">
        <f>0.7525/K101</f>
        <v>#DIV/0!</v>
      </c>
      <c r="L105" s="2886" t="e">
        <f>0.7525/L101</f>
        <v>#DIV/0!</v>
      </c>
      <c r="M105" s="2886" t="e">
        <f>0.7525/M101</f>
        <v>#DIV/0!</v>
      </c>
      <c r="N105" s="2886" t="e">
        <f>0.7525/N101</f>
        <v>#DIV/0!</v>
      </c>
    </row>
    <row r="106" spans="1:14">
      <c r="A106" s="3260"/>
      <c r="B106" s="2885">
        <v>5</v>
      </c>
      <c r="C106" s="2886" t="e">
        <f>0.8417/C101</f>
        <v>#DIV/0!</v>
      </c>
      <c r="D106" s="2886" t="e">
        <f>0.8417/D101</f>
        <v>#DIV/0!</v>
      </c>
      <c r="E106" s="2886" t="e">
        <f>0.7371/E101</f>
        <v>#DIV/0!</v>
      </c>
      <c r="F106" s="2886" t="e">
        <f>0.7371/F101</f>
        <v>#DIV/0!</v>
      </c>
      <c r="G106" s="2886" t="e">
        <f>0.7371/G101</f>
        <v>#DIV/0!</v>
      </c>
      <c r="H106" s="2886" t="e">
        <f>0.7371/H101</f>
        <v>#DIV/0!</v>
      </c>
      <c r="I106" s="2886" t="e">
        <f>0.7371/I101</f>
        <v>#DIV/0!</v>
      </c>
      <c r="J106" s="2886" t="e">
        <f>0.5659/J101</f>
        <v>#DIV/0!</v>
      </c>
      <c r="K106" s="2886" t="e">
        <f>0.5659/K101</f>
        <v>#DIV/0!</v>
      </c>
      <c r="L106" s="2886" t="e">
        <f>0.5659/L101</f>
        <v>#DIV/0!</v>
      </c>
      <c r="M106" s="2886" t="e">
        <f>0.5659/M101</f>
        <v>#DIV/0!</v>
      </c>
      <c r="N106" s="2886" t="e">
        <f>0.5659/N101</f>
        <v>#DIV/0!</v>
      </c>
    </row>
    <row r="107" spans="1:14">
      <c r="A107" s="3260"/>
      <c r="B107" s="2885">
        <v>6</v>
      </c>
      <c r="C107" s="2886" t="e">
        <f>0.7608/C101</f>
        <v>#DIV/0!</v>
      </c>
      <c r="D107" s="2886" t="e">
        <f>0.7608/D101</f>
        <v>#DIV/0!</v>
      </c>
      <c r="E107" s="2886" t="e">
        <f>0.6482/E101</f>
        <v>#DIV/0!</v>
      </c>
      <c r="F107" s="2886" t="e">
        <f>0.6482/F101</f>
        <v>#DIV/0!</v>
      </c>
      <c r="G107" s="2886" t="e">
        <f>0.6482/G101</f>
        <v>#DIV/0!</v>
      </c>
      <c r="H107" s="2886" t="e">
        <f>0.6482/H101</f>
        <v>#DIV/0!</v>
      </c>
      <c r="I107" s="2886" t="e">
        <f>0.6482/I101</f>
        <v>#DIV/0!</v>
      </c>
      <c r="J107" s="2886" t="e">
        <f>0.4525/J101</f>
        <v>#DIV/0!</v>
      </c>
      <c r="K107" s="2886" t="e">
        <f>0.4525/K101</f>
        <v>#DIV/0!</v>
      </c>
      <c r="L107" s="2886" t="e">
        <f>0.4525/L101</f>
        <v>#DIV/0!</v>
      </c>
      <c r="M107" s="2886" t="e">
        <f>0.4525/M101</f>
        <v>#DIV/0!</v>
      </c>
      <c r="N107" s="2886" t="e">
        <f>0.4525/N101</f>
        <v>#DIV/0!</v>
      </c>
    </row>
    <row r="108" spans="1:14">
      <c r="A108" s="3260"/>
      <c r="B108" s="3086" t="s">
        <v>2978</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61"/>
      <c r="B109" s="3087"/>
      <c r="C109" s="2888" t="e">
        <f>(-0.163*(C108^2)-0.59*C108+7617)*(10^(-4))/C101</f>
        <v>#DIV/0!</v>
      </c>
      <c r="D109" s="2888" t="e">
        <f>(-0.163*(D108^2)-0.59*D108+7617)*(10^(-4))/D101</f>
        <v>#DIV/0!</v>
      </c>
      <c r="E109" s="2888" t="e">
        <f>(-0.161*(E108^2)-7.509*E108+6533)*(10^(-4))/E101</f>
        <v>#DIV/0!</v>
      </c>
      <c r="F109" s="2888" t="e">
        <f>(-0.161*(F108^2)-7.509*F108+6533)*(10^(-4))/F101</f>
        <v>#DIV/0!</v>
      </c>
      <c r="G109" s="2888" t="e">
        <f>(-0.161*(G108^2)-7.509*G108+6533)*(10^(-4))/G101</f>
        <v>#DIV/0!</v>
      </c>
      <c r="H109" s="2888" t="e">
        <f>(-0.161*(H108^2)-7.509*H108+6533)*(10^(-4))/H101</f>
        <v>#DIV/0!</v>
      </c>
      <c r="I109" s="2888" t="e">
        <f>(-0.161*(I108^2)-7.509*I108+6533)*(10^(-4))/I101</f>
        <v>#DIV/0!</v>
      </c>
      <c r="J109" s="2888" t="e">
        <f>(-0.214*(J108^2)-21.991*J108+4665)*(10^(-4))/J101</f>
        <v>#DIV/0!</v>
      </c>
      <c r="K109" s="2888" t="e">
        <f>(-0.214*(K108^2)-21.991*K108+4665)*(10^(-4))/K101</f>
        <v>#DIV/0!</v>
      </c>
      <c r="L109" s="2888" t="e">
        <f>(-0.214*(L108^2)-21.991*L108+4665)*(10^(-4))/L101</f>
        <v>#DIV/0!</v>
      </c>
      <c r="M109" s="2888" t="e">
        <f>(-0.214*(M108^2)-21.991*M108+4665)*(10^(-4))/M101</f>
        <v>#DIV/0!</v>
      </c>
      <c r="N109" s="2888" t="e">
        <f>(-0.214*(N108^2)-21.991*N108+4665)*(10^(-4))/N101</f>
        <v>#DIV/0!</v>
      </c>
    </row>
    <row r="110" spans="1:14">
      <c r="A110" s="3257" t="s">
        <v>2979</v>
      </c>
      <c r="B110" s="3257"/>
      <c r="C110" s="3257"/>
      <c r="D110" s="3257"/>
      <c r="E110" s="3257"/>
      <c r="F110" s="3257"/>
      <c r="G110" s="3257"/>
      <c r="H110" s="3257"/>
      <c r="I110" s="3257"/>
      <c r="J110" s="3257"/>
      <c r="K110" s="2891"/>
      <c r="L110" s="2891"/>
      <c r="M110" s="2891"/>
      <c r="N110" s="2891"/>
    </row>
    <row r="112" spans="1:14" ht="13.5" thickBot="1"/>
    <row r="113" spans="1:13" ht="25.5" thickBot="1">
      <c r="A113" s="903" t="s">
        <v>2980</v>
      </c>
      <c r="B113" s="1287" t="e">
        <f>G3</f>
        <v>#DIV/0!</v>
      </c>
      <c r="C113" s="904" t="s">
        <v>2981</v>
      </c>
      <c r="D113" s="905" t="e">
        <f>SUMPRODUCT((A115:A118=F113)*(B114:M114=H113)*B115:M118)</f>
        <v>#DIV/0!</v>
      </c>
      <c r="E113" s="2722" t="s">
        <v>2812</v>
      </c>
      <c r="F113" s="2893">
        <f>E2</f>
        <v>0</v>
      </c>
      <c r="G113" s="2722" t="s">
        <v>2813</v>
      </c>
      <c r="H113" s="2893">
        <f>G2</f>
        <v>0</v>
      </c>
      <c r="I113" s="2722"/>
      <c r="J113" s="2894"/>
      <c r="K113" s="2894"/>
      <c r="L113" s="2894"/>
      <c r="M113" s="2894"/>
    </row>
    <row r="114" spans="1:13">
      <c r="A114" s="908"/>
      <c r="B114" s="2895" t="s">
        <v>2982</v>
      </c>
      <c r="C114" s="2895" t="s">
        <v>2983</v>
      </c>
      <c r="D114" s="2895" t="s">
        <v>2984</v>
      </c>
      <c r="E114" s="2896" t="s">
        <v>2985</v>
      </c>
      <c r="F114" s="2896" t="s">
        <v>2986</v>
      </c>
      <c r="G114" s="2896" t="s">
        <v>2987</v>
      </c>
      <c r="H114" s="2897" t="s">
        <v>2988</v>
      </c>
      <c r="I114" s="2897" t="s">
        <v>2989</v>
      </c>
      <c r="J114" s="2898" t="s">
        <v>2990</v>
      </c>
      <c r="K114" s="2898" t="s">
        <v>2991</v>
      </c>
      <c r="L114" s="2898" t="s">
        <v>2992</v>
      </c>
      <c r="M114" s="2899" t="s">
        <v>2993</v>
      </c>
    </row>
    <row r="115" spans="1:13">
      <c r="A115" s="909" t="s">
        <v>2877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7" t="s">
        <v>614</v>
      </c>
      <c r="C61" s="818" t="s">
        <v>615</v>
      </c>
      <c r="D61" s="818" t="s">
        <v>616</v>
      </c>
      <c r="E61" s="895">
        <v>0.5</v>
      </c>
      <c r="F61" s="882">
        <v>80</v>
      </c>
    </row>
    <row r="62" spans="1:8" s="878" customFormat="1" ht="24">
      <c r="A62" s="882">
        <v>2</v>
      </c>
      <c r="B62" s="3277"/>
      <c r="C62" s="818" t="s">
        <v>617</v>
      </c>
      <c r="D62" s="818" t="s">
        <v>618</v>
      </c>
      <c r="E62" s="895">
        <v>0.5</v>
      </c>
      <c r="F62" s="882">
        <v>80</v>
      </c>
    </row>
    <row r="63" spans="1:8" s="878" customFormat="1" ht="36">
      <c r="A63" s="882">
        <v>3</v>
      </c>
      <c r="B63" s="3277"/>
      <c r="C63" s="818" t="s">
        <v>619</v>
      </c>
      <c r="D63" s="818" t="s">
        <v>620</v>
      </c>
      <c r="E63" s="895">
        <v>0.5</v>
      </c>
      <c r="F63" s="882">
        <v>80</v>
      </c>
    </row>
    <row r="64" spans="1:8" s="878" customFormat="1" ht="36">
      <c r="A64" s="882">
        <v>4</v>
      </c>
      <c r="B64" s="3277"/>
      <c r="C64" s="818" t="s">
        <v>621</v>
      </c>
      <c r="D64" s="818" t="s">
        <v>622</v>
      </c>
      <c r="E64" s="895">
        <v>0.4</v>
      </c>
      <c r="F64" s="882">
        <v>60</v>
      </c>
    </row>
    <row r="65" spans="1:6" s="878" customFormat="1" ht="36">
      <c r="A65" s="882">
        <v>5</v>
      </c>
      <c r="B65" s="3277"/>
      <c r="C65" s="818" t="s">
        <v>623</v>
      </c>
      <c r="D65" s="818" t="s">
        <v>624</v>
      </c>
      <c r="E65" s="895">
        <v>0.2</v>
      </c>
      <c r="F65" s="882">
        <v>30</v>
      </c>
    </row>
    <row r="66" spans="1:6" s="878" customFormat="1" ht="36">
      <c r="A66" s="882">
        <v>6</v>
      </c>
      <c r="B66" s="3277"/>
      <c r="C66" s="818" t="s">
        <v>625</v>
      </c>
      <c r="D66" s="818" t="s">
        <v>626</v>
      </c>
      <c r="E66" s="895">
        <v>0.3</v>
      </c>
      <c r="F66" s="882">
        <v>50</v>
      </c>
    </row>
    <row r="67" spans="1:6" s="878" customFormat="1" ht="36">
      <c r="A67" s="882">
        <v>7</v>
      </c>
      <c r="B67" s="3277"/>
      <c r="C67" s="818" t="s">
        <v>627</v>
      </c>
      <c r="D67" s="818" t="s">
        <v>628</v>
      </c>
      <c r="E67" s="895">
        <v>0.2</v>
      </c>
      <c r="F67" s="882">
        <v>30</v>
      </c>
    </row>
    <row r="68" spans="1:6" s="878" customFormat="1" ht="36">
      <c r="A68" s="882">
        <v>8</v>
      </c>
      <c r="B68" s="3277"/>
      <c r="C68" s="818" t="s">
        <v>629</v>
      </c>
      <c r="D68" s="818" t="s">
        <v>630</v>
      </c>
      <c r="E68" s="895">
        <v>0.2</v>
      </c>
      <c r="F68" s="882">
        <v>30</v>
      </c>
    </row>
    <row r="69" spans="1:6" s="878" customFormat="1" ht="36">
      <c r="A69" s="882">
        <v>9</v>
      </c>
      <c r="B69" s="3277"/>
      <c r="C69" s="818" t="s">
        <v>631</v>
      </c>
      <c r="D69" s="818" t="s">
        <v>632</v>
      </c>
      <c r="E69" s="895">
        <v>0.2</v>
      </c>
      <c r="F69" s="882">
        <v>30</v>
      </c>
    </row>
    <row r="70" spans="1:6" s="878" customFormat="1" ht="48">
      <c r="A70" s="882">
        <v>10</v>
      </c>
      <c r="B70" s="3277"/>
      <c r="C70" s="818" t="s">
        <v>633</v>
      </c>
      <c r="D70" s="818" t="s">
        <v>634</v>
      </c>
      <c r="E70" s="895">
        <v>0.2</v>
      </c>
      <c r="F70" s="882">
        <v>30</v>
      </c>
    </row>
    <row r="71" spans="1:6" s="878" customFormat="1" ht="48">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24">
      <c r="A73" s="882">
        <v>13</v>
      </c>
      <c r="B73" s="3277"/>
      <c r="C73" s="818" t="s">
        <v>639</v>
      </c>
      <c r="D73" s="818" t="s">
        <v>640</v>
      </c>
      <c r="E73" s="895">
        <v>0.4</v>
      </c>
      <c r="F73" s="882">
        <v>60</v>
      </c>
    </row>
    <row r="74" spans="1:6" s="878" customFormat="1" ht="24">
      <c r="A74" s="882">
        <v>14</v>
      </c>
      <c r="B74" s="3277"/>
      <c r="C74" s="818" t="s">
        <v>641</v>
      </c>
      <c r="D74" s="818" t="s">
        <v>642</v>
      </c>
      <c r="E74" s="895">
        <v>0.2</v>
      </c>
      <c r="F74" s="882">
        <v>30</v>
      </c>
    </row>
    <row r="75" spans="1:6" s="878" customFormat="1" ht="24">
      <c r="A75" s="882">
        <v>15</v>
      </c>
      <c r="B75" s="3277"/>
      <c r="C75" s="818" t="s">
        <v>643</v>
      </c>
      <c r="D75" s="818" t="s">
        <v>644</v>
      </c>
      <c r="E75" s="895">
        <v>0.2</v>
      </c>
      <c r="F75" s="882">
        <v>30</v>
      </c>
    </row>
    <row r="76" spans="1:6" s="878" customFormat="1" ht="24">
      <c r="A76" s="882">
        <v>16</v>
      </c>
      <c r="B76" s="3277" t="s">
        <v>645</v>
      </c>
      <c r="C76" s="818" t="s">
        <v>646</v>
      </c>
      <c r="D76" s="818" t="s">
        <v>647</v>
      </c>
      <c r="E76" s="895">
        <v>0.5</v>
      </c>
      <c r="F76" s="882">
        <v>80</v>
      </c>
    </row>
    <row r="77" spans="1:6" s="878" customFormat="1" ht="24">
      <c r="A77" s="882">
        <v>17</v>
      </c>
      <c r="B77" s="3277"/>
      <c r="C77" s="818" t="s">
        <v>648</v>
      </c>
      <c r="D77" s="818" t="s">
        <v>649</v>
      </c>
      <c r="E77" s="895">
        <v>0.5</v>
      </c>
      <c r="F77" s="882">
        <v>80</v>
      </c>
    </row>
    <row r="78" spans="1:6" s="878" customFormat="1" ht="24">
      <c r="A78" s="882">
        <v>18</v>
      </c>
      <c r="B78" s="3277"/>
      <c r="C78" s="818" t="s">
        <v>650</v>
      </c>
      <c r="D78" s="818" t="s">
        <v>651</v>
      </c>
      <c r="E78" s="895">
        <v>0.2</v>
      </c>
      <c r="F78" s="882">
        <v>30</v>
      </c>
    </row>
    <row r="79" spans="1:6" s="878" customFormat="1" ht="24">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48">
      <c r="A82" s="882">
        <v>22</v>
      </c>
      <c r="B82" s="3277"/>
      <c r="C82" s="818" t="s">
        <v>658</v>
      </c>
      <c r="D82" s="818" t="s">
        <v>659</v>
      </c>
      <c r="E82" s="895">
        <v>0.2</v>
      </c>
      <c r="F82" s="882">
        <v>30</v>
      </c>
    </row>
    <row r="83" spans="1:6" s="878" customFormat="1" ht="48">
      <c r="A83" s="882">
        <v>23</v>
      </c>
      <c r="B83" s="3277"/>
      <c r="C83" s="818" t="s">
        <v>660</v>
      </c>
      <c r="D83" s="818" t="s">
        <v>661</v>
      </c>
      <c r="E83" s="895">
        <v>0.2</v>
      </c>
      <c r="F83" s="882">
        <v>30</v>
      </c>
    </row>
    <row r="84" spans="1:6" s="878" customFormat="1" ht="36">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24">
      <c r="A89" s="882">
        <v>29</v>
      </c>
      <c r="B89" s="3277"/>
      <c r="C89" s="818" t="s">
        <v>672</v>
      </c>
      <c r="D89" s="818" t="s">
        <v>673</v>
      </c>
      <c r="E89" s="895">
        <v>0.2</v>
      </c>
      <c r="F89" s="882">
        <v>30</v>
      </c>
    </row>
    <row r="90" spans="1:6" s="878" customFormat="1" ht="24">
      <c r="A90" s="882">
        <v>30</v>
      </c>
      <c r="B90" s="3277"/>
      <c r="C90" s="818" t="s">
        <v>674</v>
      </c>
      <c r="D90" s="818" t="s">
        <v>675</v>
      </c>
      <c r="E90" s="895">
        <v>0.2</v>
      </c>
      <c r="F90" s="882">
        <v>30</v>
      </c>
    </row>
    <row r="91" spans="1:6" s="878" customFormat="1" ht="36">
      <c r="A91" s="882">
        <v>31</v>
      </c>
      <c r="B91" s="3277"/>
      <c r="C91" s="818" t="s">
        <v>676</v>
      </c>
      <c r="D91" s="818" t="s">
        <v>677</v>
      </c>
      <c r="E91" s="895">
        <v>0.2</v>
      </c>
      <c r="F91" s="882">
        <v>30</v>
      </c>
    </row>
    <row r="92" spans="1:6" s="878" customFormat="1" ht="24">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48">
      <c r="A94" s="882">
        <v>34</v>
      </c>
      <c r="B94" s="3277"/>
      <c r="C94" s="882" t="s">
        <v>683</v>
      </c>
      <c r="D94" s="818" t="s">
        <v>684</v>
      </c>
      <c r="E94" s="895">
        <v>0.2</v>
      </c>
      <c r="F94" s="882">
        <v>30</v>
      </c>
    </row>
    <row r="95" spans="1:6" s="878" customFormat="1" ht="36">
      <c r="A95" s="882">
        <v>35</v>
      </c>
      <c r="B95" s="3277"/>
      <c r="C95" s="882" t="s">
        <v>685</v>
      </c>
      <c r="D95" s="818" t="s">
        <v>686</v>
      </c>
      <c r="E95" s="895">
        <v>0.2</v>
      </c>
      <c r="F95" s="882">
        <v>30</v>
      </c>
    </row>
    <row r="96" spans="1:6" s="878" customFormat="1" ht="48">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24">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7" t="s">
        <v>708</v>
      </c>
      <c r="C105" s="882" t="s">
        <v>709</v>
      </c>
      <c r="D105" s="818" t="s">
        <v>710</v>
      </c>
      <c r="E105" s="895">
        <v>0.2</v>
      </c>
      <c r="F105" s="882">
        <v>30</v>
      </c>
    </row>
    <row r="106" spans="1:6" s="878" customFormat="1" ht="36">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36">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7" t="s">
        <v>724</v>
      </c>
      <c r="C111" s="882" t="s">
        <v>725</v>
      </c>
      <c r="D111" s="818" t="s">
        <v>726</v>
      </c>
      <c r="E111" s="895">
        <v>0.2</v>
      </c>
      <c r="F111" s="882">
        <v>30</v>
      </c>
    </row>
    <row r="112" spans="1:6" s="878" customFormat="1" ht="24">
      <c r="A112" s="882">
        <v>52</v>
      </c>
      <c r="B112" s="3277"/>
      <c r="C112" s="882" t="s">
        <v>727</v>
      </c>
      <c r="D112" s="818" t="s">
        <v>728</v>
      </c>
      <c r="E112" s="895">
        <v>0.2</v>
      </c>
      <c r="F112" s="882">
        <v>30</v>
      </c>
    </row>
    <row r="113" spans="1:6" s="878" customFormat="1" ht="24">
      <c r="A113" s="882">
        <v>53</v>
      </c>
      <c r="B113" s="32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2" t="s">
        <v>3002</v>
      </c>
    </row>
    <row r="2" spans="1:5" ht="15.75">
      <c r="A2" s="2900" t="s">
        <v>2994</v>
      </c>
      <c r="B2" s="2901" t="e">
        <f ca="1">SUMIF(B6:B13,"&lt;&gt;#ref!",B6:B13)</f>
        <v>#DIV/0!</v>
      </c>
      <c r="C2" s="2900" t="s">
        <v>2995</v>
      </c>
      <c r="D2" s="2900" t="s">
        <v>2996</v>
      </c>
      <c r="E2" s="2901">
        <f ca="1">SUMIF(E6:E13,"&lt;&gt;#ref!",E6:E13)</f>
        <v>0</v>
      </c>
    </row>
    <row r="3" spans="1:5" ht="15.75">
      <c r="A3" s="2900" t="s">
        <v>2997</v>
      </c>
      <c r="B3" s="2901" t="e">
        <f ca="1">ROUND(B2*10000/E2,0)</f>
        <v>#DIV/0!</v>
      </c>
      <c r="C3" s="2900" t="s">
        <v>3003</v>
      </c>
      <c r="D3" s="2902"/>
      <c r="E3" s="2902"/>
    </row>
    <row r="4" spans="1:5" ht="15.75">
      <c r="A4" s="2903"/>
      <c r="B4" s="2902"/>
      <c r="C4" s="2902"/>
      <c r="D4" s="2902"/>
      <c r="E4" s="2902"/>
    </row>
    <row r="5" spans="1:5" ht="28.5">
      <c r="A5" s="2904" t="s">
        <v>2998</v>
      </c>
      <c r="B5" s="2900" t="s">
        <v>2999</v>
      </c>
      <c r="C5" s="2901"/>
      <c r="D5" s="2902"/>
      <c r="E5" s="2900" t="s">
        <v>3000</v>
      </c>
    </row>
    <row r="6" spans="1:5" ht="15.75">
      <c r="A6" s="2905" t="s">
        <v>3001</v>
      </c>
      <c r="B6" s="2901" t="e">
        <f ca="1">SUMIF(INDIRECT("'"&amp;A6&amp;"'"&amp;"!A:A"),"总价",INDIRECT("'"&amp;A6&amp;"'"&amp;"!B:B"))</f>
        <v>#DIV/0!</v>
      </c>
      <c r="C6" s="2900" t="s">
        <v>2995</v>
      </c>
      <c r="D6" s="2902"/>
      <c r="E6" s="2576">
        <f ca="1">SUMIF(INDIRECT("'"&amp;A6&amp;"'"&amp;"!C:C"),"建筑面积",INDIRECT("'"&amp;A6&amp;"'"&amp;"!D:D"))</f>
        <v>0</v>
      </c>
    </row>
    <row r="7" spans="1:5" ht="15.75">
      <c r="A7" s="2905"/>
      <c r="B7" s="2901" t="e">
        <f ca="1">SUMIF(INDIRECT("'"&amp;A7&amp;"'"&amp;"!A:A"),"总价",INDIRECT("'"&amp;A7&amp;"'"&amp;"!B:B"))</f>
        <v>#REF!</v>
      </c>
      <c r="C7" s="2900" t="s">
        <v>2995</v>
      </c>
      <c r="D7" s="2902"/>
      <c r="E7" s="2576" t="e">
        <f t="shared" ref="E7:E13" ca="1" si="0">SUMIF(INDIRECT("'"&amp;A7&amp;"'"&amp;"!C:C"),"建筑面积",INDIRECT("'"&amp;A7&amp;"'"&amp;"!D:D"))</f>
        <v>#REF!</v>
      </c>
    </row>
    <row r="8" spans="1:5" ht="15.75">
      <c r="A8" s="2905"/>
      <c r="B8" s="2901" t="e">
        <f t="shared" ref="B8:B13" ca="1" si="1">SUMIF(INDIRECT("'"&amp;A8&amp;"'"&amp;"!A:A"),"总价",INDIRECT("'"&amp;A8&amp;"'"&amp;"!B:B"))</f>
        <v>#REF!</v>
      </c>
      <c r="C8" s="2900" t="s">
        <v>2995</v>
      </c>
      <c r="D8" s="2902"/>
      <c r="E8" s="2576" t="e">
        <f t="shared" ca="1" si="0"/>
        <v>#REF!</v>
      </c>
    </row>
    <row r="9" spans="1:5" ht="15.75">
      <c r="A9" s="2905"/>
      <c r="B9" s="2901" t="e">
        <f t="shared" ca="1" si="1"/>
        <v>#REF!</v>
      </c>
      <c r="C9" s="2900" t="s">
        <v>2995</v>
      </c>
      <c r="D9" s="2902"/>
      <c r="E9" s="2576" t="e">
        <f t="shared" ca="1" si="0"/>
        <v>#REF!</v>
      </c>
    </row>
    <row r="10" spans="1:5" ht="15.75">
      <c r="A10" s="2905"/>
      <c r="B10" s="2901" t="e">
        <f t="shared" ca="1" si="1"/>
        <v>#REF!</v>
      </c>
      <c r="C10" s="2900" t="s">
        <v>2995</v>
      </c>
      <c r="D10" s="2902"/>
      <c r="E10" s="2576" t="e">
        <f t="shared" ca="1" si="0"/>
        <v>#REF!</v>
      </c>
    </row>
    <row r="11" spans="1:5" ht="15.75">
      <c r="A11" s="2905"/>
      <c r="B11" s="2901" t="e">
        <f t="shared" ca="1" si="1"/>
        <v>#REF!</v>
      </c>
      <c r="C11" s="2900" t="s">
        <v>2995</v>
      </c>
      <c r="D11" s="2902"/>
      <c r="E11" s="2576" t="e">
        <f t="shared" ca="1" si="0"/>
        <v>#REF!</v>
      </c>
    </row>
    <row r="12" spans="1:5" ht="15.75">
      <c r="A12" s="2905"/>
      <c r="B12" s="2901" t="e">
        <f t="shared" ca="1" si="1"/>
        <v>#REF!</v>
      </c>
      <c r="C12" s="2900" t="s">
        <v>2995</v>
      </c>
      <c r="D12" s="2902"/>
      <c r="E12" s="2576" t="e">
        <f t="shared" ca="1" si="0"/>
        <v>#REF!</v>
      </c>
    </row>
    <row r="13" spans="1:5" ht="15.75">
      <c r="A13" s="2905"/>
      <c r="B13" s="2901" t="e">
        <f t="shared" ca="1" si="1"/>
        <v>#REF!</v>
      </c>
      <c r="C13" s="2900" t="s">
        <v>2995</v>
      </c>
      <c r="D13" s="290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3" t="s">
        <v>1146</v>
      </c>
      <c r="C1" s="3283"/>
      <c r="D1" s="3283"/>
      <c r="E1" s="3283"/>
      <c r="F1" s="3283"/>
      <c r="G1" s="3279" t="s">
        <v>1147</v>
      </c>
      <c r="H1" s="3279"/>
      <c r="I1" s="3279"/>
      <c r="J1" s="3279"/>
      <c r="K1" s="3279"/>
      <c r="L1" s="3279"/>
      <c r="N1" s="3279" t="s">
        <v>1148</v>
      </c>
      <c r="O1" s="3279"/>
      <c r="P1" s="3279"/>
      <c r="Q1" s="3279"/>
      <c r="R1" s="1446"/>
      <c r="S1" s="3279" t="s">
        <v>1149</v>
      </c>
      <c r="T1" s="3279"/>
      <c r="U1" s="3279"/>
      <c r="V1" s="3279"/>
      <c r="X1" s="3278" t="s">
        <v>1150</v>
      </c>
      <c r="Y1" s="3279"/>
      <c r="Z1" s="3279"/>
      <c r="AA1" s="3279"/>
      <c r="AB1" s="3279"/>
      <c r="AD1" s="3278" t="s">
        <v>1151</v>
      </c>
      <c r="AE1" s="3279"/>
      <c r="AF1" s="3279"/>
      <c r="AG1" s="3279"/>
      <c r="AH1" s="3279"/>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3037</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3051</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0">
        <v>2019</v>
      </c>
      <c r="H5" s="1730">
        <v>2</v>
      </c>
      <c r="I5" s="2912">
        <v>0</v>
      </c>
      <c r="J5" s="2912">
        <v>0</v>
      </c>
      <c r="K5" s="2912">
        <v>0</v>
      </c>
      <c r="L5" s="2912">
        <v>0</v>
      </c>
      <c r="N5" s="1467">
        <f>I5/100</f>
        <v>0</v>
      </c>
      <c r="O5" s="1467">
        <f t="shared" ref="O5" si="7">J5/100</f>
        <v>0</v>
      </c>
      <c r="P5" s="1467">
        <f t="shared" ref="P5" si="8">K5/100</f>
        <v>0</v>
      </c>
      <c r="Q5" s="1467">
        <f t="shared" ref="Q5" si="9">L5/100</f>
        <v>0</v>
      </c>
      <c r="R5" s="1732"/>
      <c r="S5" s="1733"/>
      <c r="T5" s="1732"/>
      <c r="U5" s="1732"/>
      <c r="V5" s="1732"/>
      <c r="W5" s="2915" t="s">
        <v>3038</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3052</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9">
        <v>2019</v>
      </c>
      <c r="H6" s="1464">
        <v>1</v>
      </c>
      <c r="I6" s="2931">
        <v>0.6</v>
      </c>
      <c r="J6" s="2931">
        <v>0.37</v>
      </c>
      <c r="K6" s="2931">
        <v>0.63</v>
      </c>
      <c r="L6" s="2932">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3050</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81">
        <v>2018</v>
      </c>
      <c r="H7" s="1464">
        <v>4</v>
      </c>
      <c r="I7" s="2931">
        <v>0.96</v>
      </c>
      <c r="J7" s="2931">
        <v>1.03</v>
      </c>
      <c r="K7" s="2931">
        <v>0.92</v>
      </c>
      <c r="L7" s="2932">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3044</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81"/>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3043</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81"/>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3036</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8"/>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3033</v>
      </c>
      <c r="B11" s="1469">
        <v>439</v>
      </c>
      <c r="C11" s="1469">
        <v>327</v>
      </c>
      <c r="D11" s="1469">
        <f>C11</f>
        <v>327</v>
      </c>
      <c r="E11" s="1469">
        <v>627</v>
      </c>
      <c r="F11" s="1470">
        <v>283</v>
      </c>
      <c r="G11" s="3284">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3034</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81"/>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81"/>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88"/>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84">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81"/>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81"/>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82"/>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80">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81"/>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81"/>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82"/>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80">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81"/>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81"/>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82"/>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85">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86"/>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86"/>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87"/>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80">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81"/>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81"/>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82"/>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80">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81">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81">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82">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80">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81">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81">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82">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80">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81">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81">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82">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80">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81">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81">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82">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80">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81">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81">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82">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80">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81">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81">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82">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80">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81">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81">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82">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80">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81">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81">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82">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80">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81">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81">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82">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80">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81">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81">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82">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90" t="s">
        <v>3005</v>
      </c>
      <c r="D1" s="3291"/>
      <c r="E1" s="3291"/>
      <c r="F1" s="3291"/>
      <c r="G1" s="3291"/>
      <c r="H1" s="3291"/>
      <c r="I1" s="3291"/>
      <c r="J1" s="3291"/>
      <c r="K1" s="3291"/>
      <c r="L1" s="3291"/>
      <c r="M1" s="3291"/>
      <c r="N1" s="3291"/>
      <c r="O1" s="3291"/>
      <c r="P1" s="3291"/>
      <c r="Q1" s="3291"/>
      <c r="R1" s="3291"/>
      <c r="S1" s="3292"/>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3014</v>
      </c>
      <c r="B17" s="2907"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3016</v>
      </c>
      <c r="E19" s="1792"/>
      <c r="F19" s="1792"/>
      <c r="G19" s="1792"/>
      <c r="H19" s="1280"/>
      <c r="I19" s="168"/>
      <c r="J19" s="168"/>
      <c r="K19" s="168"/>
      <c r="L19" s="168"/>
      <c r="M19" s="168"/>
      <c r="N19" s="168"/>
      <c r="O19" s="168"/>
      <c r="P19" s="168"/>
      <c r="Q19" s="168"/>
      <c r="R19" s="788"/>
      <c r="S19" s="138"/>
    </row>
    <row r="20" spans="1:45" ht="16.5" thickBot="1">
      <c r="A20" s="715" t="s">
        <v>3017</v>
      </c>
      <c r="B20" s="338" t="e">
        <f ca="1">IF(D20="——",S22,S22-F20)</f>
        <v>#REF!</v>
      </c>
      <c r="C20" s="168"/>
      <c r="D20" s="2909" t="s">
        <v>3018</v>
      </c>
      <c r="E20" s="1793"/>
      <c r="F20" s="1204" t="e">
        <f ca="1">SUMIF(INDIRECT("'"&amp;H20&amp;"'"&amp;"!A:A"),"承租人权益价值",INDIRECT("'"&amp;H20&amp;"'"&amp;"!c:c"))</f>
        <v>#REF!</v>
      </c>
      <c r="G20" s="1204" t="s">
        <v>3019</v>
      </c>
      <c r="H20" s="2910"/>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67" t="s">
        <v>33</v>
      </c>
      <c r="D22" s="3068"/>
      <c r="E22" s="3068"/>
      <c r="F22" s="3068"/>
      <c r="G22" s="3068"/>
      <c r="H22" s="3068"/>
      <c r="I22" s="3068"/>
      <c r="J22" s="3068"/>
      <c r="K22" s="3068"/>
      <c r="L22" s="3068"/>
      <c r="M22" s="3068"/>
      <c r="N22" s="3068"/>
      <c r="O22" s="3068"/>
      <c r="P22" s="3068"/>
      <c r="Q22" s="3289"/>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1"/>
      <c r="B4" s="2970" t="s">
        <v>1626</v>
      </c>
      <c r="C4" s="2970"/>
      <c r="D4" s="2970"/>
      <c r="E4" s="1961"/>
    </row>
    <row r="5" spans="1:5" ht="16.5" thickTop="1">
      <c r="A5" s="1959"/>
      <c r="B5" s="2968" t="s">
        <v>1618</v>
      </c>
      <c r="C5" s="1962" t="s">
        <v>1619</v>
      </c>
      <c r="D5" s="1040">
        <f ca="1">结果表!H101</f>
        <v>1164</v>
      </c>
      <c r="E5" s="1959"/>
    </row>
    <row r="6" spans="1:5" ht="15.75">
      <c r="A6" s="1959"/>
      <c r="B6" s="2968"/>
      <c r="C6" s="1962" t="s">
        <v>1620</v>
      </c>
      <c r="D6" s="1040" t="str">
        <f ca="1">NUMBERSTRING(INT(D5*10000),2)&amp;"元整"</f>
        <v>壹仟壹佰陆拾肆万元整</v>
      </c>
      <c r="E6" s="1959"/>
    </row>
    <row r="7" spans="1:5" ht="15.75">
      <c r="A7" s="1959"/>
      <c r="B7" s="2973"/>
      <c r="C7" s="1963" t="s">
        <v>1621</v>
      </c>
      <c r="D7" s="1041">
        <f ca="1">结果表!H102</f>
        <v>2835</v>
      </c>
      <c r="E7" s="1959"/>
    </row>
    <row r="8" spans="1:5" ht="15.75">
      <c r="A8" s="1959"/>
      <c r="B8" s="2974" t="str">
        <f>结果表!E103</f>
        <v>2.估价师知悉的法定优先受偿款</v>
      </c>
      <c r="C8" s="1964" t="s">
        <v>1622</v>
      </c>
      <c r="D8" s="1041">
        <f>结果表!H103</f>
        <v>0</v>
      </c>
      <c r="E8" s="1959"/>
    </row>
    <row r="9" spans="1:5" ht="15.75">
      <c r="A9" s="1959"/>
      <c r="B9" s="2976"/>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67" t="str">
        <f>结果表!E107</f>
        <v>3.房地产抵押价值</v>
      </c>
      <c r="C13" s="1967" t="s">
        <v>1619</v>
      </c>
      <c r="D13" s="1043">
        <f ca="1">结果表!H107</f>
        <v>1164</v>
      </c>
      <c r="E13" s="1959"/>
    </row>
    <row r="14" spans="1:5" ht="15.75">
      <c r="A14" s="1959"/>
      <c r="B14" s="2968"/>
      <c r="C14" s="1962" t="s">
        <v>1620</v>
      </c>
      <c r="D14" s="1040" t="str">
        <f ca="1">NUMBERSTRING(INT(D13*10000),2)&amp;"元整"</f>
        <v>壹仟壹佰陆拾肆万元整</v>
      </c>
      <c r="E14" s="1959"/>
    </row>
    <row r="15" spans="1:5" ht="15">
      <c r="A15" s="1959"/>
      <c r="B15" s="2973"/>
      <c r="C15" s="1963" t="s">
        <v>1630</v>
      </c>
      <c r="D15" s="1052">
        <f ca="1">结果表!H108</f>
        <v>2835</v>
      </c>
      <c r="E15" s="1959"/>
    </row>
    <row r="16" spans="1:5" ht="15">
      <c r="A16" s="1959"/>
      <c r="B16" s="2974" t="str">
        <f>结果表!E109</f>
        <v>——</v>
      </c>
      <c r="C16" s="1967" t="s">
        <v>1631</v>
      </c>
      <c r="D16" s="1968" t="str">
        <f>结果表!H109</f>
        <v>——</v>
      </c>
      <c r="E16" s="1959"/>
    </row>
    <row r="17" spans="1:5" ht="15.75">
      <c r="A17" s="1959"/>
      <c r="B17" s="2975"/>
      <c r="C17" s="1962" t="s">
        <v>1632</v>
      </c>
      <c r="D17" s="1040" t="e">
        <f>NUMBERSTRING(INT(D16*10000),2)&amp;"元整"</f>
        <v>#VALUE!</v>
      </c>
      <c r="E17" s="1959"/>
    </row>
    <row r="18" spans="1:5" ht="15">
      <c r="A18" s="1959"/>
      <c r="B18" s="2976"/>
      <c r="C18" s="1963" t="s">
        <v>1621</v>
      </c>
      <c r="D18" s="1052" t="str">
        <f>结果表!H110</f>
        <v>——</v>
      </c>
      <c r="E18" s="1959"/>
    </row>
    <row r="19" spans="1:5" ht="15.75">
      <c r="A19" s="1959"/>
      <c r="B19" s="2967" t="str">
        <f>结果表!E111</f>
        <v>——</v>
      </c>
      <c r="C19" s="1967" t="s">
        <v>1619</v>
      </c>
      <c r="D19" s="1041" t="str">
        <f>结果表!H111</f>
        <v>——</v>
      </c>
      <c r="E19" s="1959"/>
    </row>
    <row r="20" spans="1:5" ht="15.75">
      <c r="A20" s="1959"/>
      <c r="B20" s="2968"/>
      <c r="C20" s="1962" t="s">
        <v>1632</v>
      </c>
      <c r="D20" s="1040" t="e">
        <f>NUMBERSTRING(INT(D19*10000),2)&amp;"元整"</f>
        <v>#VALUE!</v>
      </c>
      <c r="E20" s="1959"/>
    </row>
    <row r="21" spans="1:5" ht="15.75" thickBot="1">
      <c r="A21" s="1959"/>
      <c r="B21" s="2969"/>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28916</v>
      </c>
      <c r="C2" s="2" t="s">
        <v>133</v>
      </c>
      <c r="D2" s="243"/>
      <c r="E2" s="243"/>
      <c r="F2" s="243"/>
      <c r="G2" s="243"/>
    </row>
    <row r="3" spans="1:7" s="244" customFormat="1" ht="18" customHeight="1" thickBot="1">
      <c r="A3" s="247" t="s">
        <v>85</v>
      </c>
      <c r="B3" s="248">
        <f ca="1">ROUND(B2*10000/'数据-汇总表'!E3,0)</f>
        <v>70424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21200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1200</v>
      </c>
      <c r="D7" s="264"/>
      <c r="E7" s="262"/>
      <c r="F7" s="265">
        <f>'数据-取费表'!B48+'数据-取费表'!B49</f>
        <v>0.06</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21</v>
      </c>
      <c r="D9" s="1032">
        <f>'数据-汇总表'!E5</f>
        <v>4106</v>
      </c>
      <c r="E9" s="269">
        <f>'数据-取费表'!B27</f>
        <v>50</v>
      </c>
      <c r="F9" s="265"/>
      <c r="G9" s="270"/>
    </row>
    <row r="10" spans="1:7" s="258" customFormat="1" ht="13.5" customHeight="1">
      <c r="A10" s="950" t="s">
        <v>801</v>
      </c>
      <c r="B10" s="268" t="s">
        <v>94</v>
      </c>
      <c r="C10" s="269">
        <f>ROUND(D10*E10/10000,0)</f>
        <v>0</v>
      </c>
      <c r="D10" s="1032">
        <f>'数据-汇总表'!E6</f>
        <v>0</v>
      </c>
      <c r="E10" s="269">
        <f>'数据-取费表'!B28</f>
        <v>50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82</v>
      </c>
      <c r="D19" s="1036">
        <f>'数据-汇总表'!E3</f>
        <v>4106</v>
      </c>
      <c r="E19" s="255">
        <f>'数据-取费表'!B31</f>
        <v>200</v>
      </c>
      <c r="F19" s="275"/>
      <c r="G19" s="1" t="s">
        <v>1071</v>
      </c>
    </row>
    <row r="20" spans="1:7" s="258" customFormat="1" ht="13.5" customHeight="1">
      <c r="A20" s="948" t="s">
        <v>1054</v>
      </c>
      <c r="B20" s="254" t="s">
        <v>104</v>
      </c>
      <c r="C20" s="276">
        <f>ROUND((C5+C19)*F20,0)</f>
        <v>426</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2090</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2062</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8</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2171</v>
      </c>
      <c r="D27" s="279">
        <f>C29</f>
        <v>2E-3</v>
      </c>
      <c r="E27" s="280" t="s">
        <v>126</v>
      </c>
      <c r="F27" s="290">
        <f>'数据-取费表'!Q16</f>
        <v>0.1</v>
      </c>
      <c r="G27" s="291" t="s">
        <v>1066</v>
      </c>
    </row>
    <row r="28" spans="1:7" s="258" customFormat="1" ht="13.5" customHeight="1">
      <c r="A28" s="951" t="s">
        <v>794</v>
      </c>
      <c r="B28" s="292" t="s">
        <v>1059</v>
      </c>
      <c r="C28" s="293">
        <f>ROUND((C5+C19+C20)*F27*'数据-取费表'!B21/'数据-取费表'!B20,0)</f>
        <v>2171</v>
      </c>
      <c r="D28" s="279"/>
      <c r="E28" s="280"/>
      <c r="F28" s="290"/>
      <c r="G28" s="291"/>
    </row>
    <row r="29" spans="1:7" s="258" customFormat="1" ht="13.5" customHeight="1">
      <c r="A29" s="951" t="s">
        <v>792</v>
      </c>
      <c r="B29" s="292" t="s">
        <v>1060</v>
      </c>
      <c r="C29" s="282">
        <f>ROUND(C21*F27*'数据-取费表'!B21/'数据-取费表'!B20,4)</f>
        <v>2E-3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28115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973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821</v>
      </c>
      <c r="D34" s="261"/>
      <c r="E34" s="264"/>
      <c r="F34" s="301">
        <f>IF('数据-取费表'!B24=0,1,'数据-取费表'!N16)</f>
        <v>1</v>
      </c>
      <c r="G34" s="263" t="s">
        <v>116</v>
      </c>
    </row>
    <row r="35" spans="1:7" ht="13.5" customHeight="1">
      <c r="A35" s="951" t="s">
        <v>796</v>
      </c>
      <c r="B35" s="259" t="s">
        <v>60</v>
      </c>
      <c r="C35" s="264">
        <f>ROUND(C34*F35,0)</f>
        <v>25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33</v>
      </c>
      <c r="D36" s="264"/>
      <c r="E36" s="264"/>
      <c r="F36" s="303">
        <f>'数据-取费表'!B34</f>
        <v>0.04</v>
      </c>
      <c r="G36" s="304" t="s">
        <v>62</v>
      </c>
    </row>
    <row r="37" spans="1:7" s="302" customFormat="1" ht="13.5" customHeight="1">
      <c r="A37" s="951" t="s">
        <v>798</v>
      </c>
      <c r="B37" s="259" t="s">
        <v>118</v>
      </c>
      <c r="C37" s="293">
        <f>ROUND(E37*D37*F34/10000,0)</f>
        <v>82</v>
      </c>
      <c r="D37" s="261">
        <f>'数据-汇总表'!E3</f>
        <v>4106</v>
      </c>
      <c r="E37" s="293">
        <f>'数据-取费表'!B35</f>
        <v>200</v>
      </c>
      <c r="F37" s="303"/>
      <c r="G37" s="305" t="s">
        <v>119</v>
      </c>
    </row>
    <row r="38" spans="1:7" ht="13.5" customHeight="1">
      <c r="A38" s="951" t="s">
        <v>799</v>
      </c>
      <c r="B38" s="259" t="s">
        <v>63</v>
      </c>
      <c r="C38" s="264">
        <f>ROUND(C34*F38,0)</f>
        <v>12</v>
      </c>
      <c r="D38" s="264"/>
      <c r="E38" s="264"/>
      <c r="F38" s="303">
        <f>'数据-取费表'!B36</f>
        <v>1.4999999999999999E-2</v>
      </c>
      <c r="G38" s="263" t="s">
        <v>117</v>
      </c>
    </row>
    <row r="39" spans="1:7" s="258" customFormat="1" ht="13.5" customHeight="1">
      <c r="A39" s="948" t="s">
        <v>783</v>
      </c>
      <c r="B39" s="254" t="s">
        <v>104</v>
      </c>
      <c r="C39" s="276">
        <f>ROUND(C33*F20,0)</f>
        <v>19</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47</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46</v>
      </c>
      <c r="D42" s="282"/>
      <c r="E42" s="282"/>
      <c r="F42" s="283"/>
      <c r="G42" s="3152" t="s">
        <v>121</v>
      </c>
    </row>
    <row r="43" spans="1:7" ht="13.5" customHeight="1">
      <c r="A43" s="951" t="s">
        <v>792</v>
      </c>
      <c r="B43" s="259" t="s">
        <v>1061</v>
      </c>
      <c r="C43" s="282">
        <f ca="1">ROUND(IF('数据-取费表'!B22&lt;=1,C39*F22*'数据-取费表'!B21/2,C39*(POWER((1+F22),'数据-取费表'!B21/2)-1)),0)</f>
        <v>1</v>
      </c>
      <c r="D43" s="282"/>
      <c r="E43" s="282"/>
      <c r="F43" s="283"/>
      <c r="G43" s="3153"/>
    </row>
    <row r="44" spans="1:7" ht="13.5" customHeight="1">
      <c r="A44" s="951" t="s">
        <v>793</v>
      </c>
      <c r="B44" s="259" t="s">
        <v>1063</v>
      </c>
      <c r="C44" s="282">
        <f ca="1">ROUND(IF('数据-取费表'!B22&lt;=1,C40*F22*'数据-取费表'!B21/2,C40*(POWER((1+F22),'数据-取费表'!B21/2)-1)),4)</f>
        <v>1E-3</v>
      </c>
      <c r="D44" s="282"/>
      <c r="E44" s="282"/>
      <c r="F44" s="283"/>
      <c r="G44" s="3154"/>
    </row>
    <row r="45" spans="1:7" s="258" customFormat="1" ht="13.5" customHeight="1">
      <c r="A45" s="948" t="s">
        <v>786</v>
      </c>
      <c r="B45" s="288" t="s">
        <v>112</v>
      </c>
      <c r="C45" s="289">
        <f>C46</f>
        <v>99</v>
      </c>
      <c r="D45" s="279">
        <f>C47</f>
        <v>2E-3</v>
      </c>
      <c r="E45" s="280" t="s">
        <v>129</v>
      </c>
      <c r="F45" s="290"/>
      <c r="G45" s="291" t="s">
        <v>1069</v>
      </c>
    </row>
    <row r="46" spans="1:7" s="258" customFormat="1" ht="13.5" customHeight="1">
      <c r="A46" s="951" t="s">
        <v>794</v>
      </c>
      <c r="B46" s="292" t="s">
        <v>1062</v>
      </c>
      <c r="C46" s="293">
        <f>ROUND((C33+C39)*F27,0)</f>
        <v>99</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1232</v>
      </c>
      <c r="D49" s="276"/>
      <c r="E49" s="276"/>
      <c r="F49" s="308"/>
      <c r="G49" s="278" t="s">
        <v>1070</v>
      </c>
    </row>
    <row r="50" spans="1:7" s="302" customFormat="1" ht="24">
      <c r="A50" s="948" t="s">
        <v>789</v>
      </c>
      <c r="B50" s="254" t="s">
        <v>124</v>
      </c>
      <c r="C50" s="276"/>
      <c r="D50" s="276"/>
      <c r="E50" s="276"/>
      <c r="F50" s="308">
        <f>IF('数据-取费表'!B24=0,'数据-取费表'!N16,1)</f>
        <v>0.65</v>
      </c>
      <c r="G50" s="291" t="s">
        <v>125</v>
      </c>
    </row>
    <row r="51" spans="1:7" ht="16.5" customHeight="1">
      <c r="A51" s="948" t="s">
        <v>790</v>
      </c>
      <c r="B51" s="254" t="s">
        <v>132</v>
      </c>
      <c r="C51" s="276">
        <f ca="1">ROUND(C49*F50,0)</f>
        <v>801</v>
      </c>
      <c r="D51" s="276"/>
      <c r="E51" s="276"/>
      <c r="F51" s="308"/>
      <c r="G51" s="278" t="s">
        <v>64</v>
      </c>
    </row>
    <row r="52" spans="1:7" s="252" customFormat="1" ht="16.5" thickBot="1">
      <c r="A52" s="309" t="s">
        <v>65</v>
      </c>
      <c r="B52" s="310"/>
      <c r="C52" s="311">
        <f ca="1">C31+C51</f>
        <v>28916</v>
      </c>
      <c r="D52" s="310"/>
      <c r="E52" s="310"/>
      <c r="F52" s="310"/>
      <c r="G52" s="312"/>
    </row>
    <row r="55" spans="1:7" ht="15">
      <c r="B55" s="314" t="s">
        <v>66</v>
      </c>
      <c r="C55" s="315"/>
    </row>
    <row r="56" spans="1:7">
      <c r="B56" s="317" t="s">
        <v>67</v>
      </c>
      <c r="C56" s="318">
        <f ca="1">ROUND(C51/C52,3)</f>
        <v>2.8000000000000001E-2</v>
      </c>
    </row>
    <row r="57" spans="1:7">
      <c r="B57" s="317" t="s">
        <v>68</v>
      </c>
      <c r="C57" s="319">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3" t="s">
        <v>868</v>
      </c>
      <c r="B1" s="329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43601</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topLeftCell="A67" workbookViewId="0">
      <selection activeCell="L59" sqref="L59"/>
    </sheetView>
  </sheetViews>
  <sheetFormatPr defaultRowHeight="13.5"/>
  <cols>
    <col min="1" max="1" width="27" style="1635" customWidth="1"/>
    <col min="2" max="2" width="6.25" style="1635" hidden="1" customWidth="1"/>
    <col min="3" max="3" width="7.875" style="1635" customWidth="1"/>
    <col min="4" max="4" width="11" style="1635" customWidth="1"/>
    <col min="5" max="5" width="9.875" style="1635" customWidth="1"/>
    <col min="6" max="6" width="25.375" style="1635" customWidth="1"/>
    <col min="7" max="7" width="7.875" style="1635" hidden="1" customWidth="1"/>
    <col min="8" max="8" width="10.375" style="1635" customWidth="1"/>
    <col min="9" max="9" width="10.625" style="1635" hidden="1" customWidth="1"/>
    <col min="10" max="10" width="10.625" style="1635" customWidth="1"/>
    <col min="11" max="11" width="14.375" style="1635" customWidth="1"/>
    <col min="12" max="12" width="6.25" style="1635" customWidth="1"/>
    <col min="13" max="13" width="31" style="1635" customWidth="1"/>
    <col min="14" max="14" width="7.875" style="1635" customWidth="1"/>
    <col min="15" max="256" width="9" style="1635"/>
    <col min="257" max="257" width="32.75" style="1635" customWidth="1"/>
    <col min="258" max="258" width="6.25" style="1635" customWidth="1"/>
    <col min="259" max="259" width="7.875" style="1635" customWidth="1"/>
    <col min="260" max="261" width="13.875" style="1635" customWidth="1"/>
    <col min="262" max="262" width="25.375" style="1635" customWidth="1"/>
    <col min="263" max="263" width="7.875" style="1635" customWidth="1"/>
    <col min="264" max="264" width="9" style="1635" customWidth="1"/>
    <col min="265" max="266" width="10.625" style="1635" customWidth="1"/>
    <col min="267" max="267" width="14.375" style="1635" customWidth="1"/>
    <col min="268" max="268" width="6.25" style="1635" customWidth="1"/>
    <col min="269" max="269" width="31" style="1635" customWidth="1"/>
    <col min="270" max="270" width="7.875" style="1635" customWidth="1"/>
    <col min="271" max="512" width="9" style="1635"/>
    <col min="513" max="513" width="32.75" style="1635" customWidth="1"/>
    <col min="514" max="514" width="6.25" style="1635" customWidth="1"/>
    <col min="515" max="515" width="7.875" style="1635" customWidth="1"/>
    <col min="516" max="517" width="13.875" style="1635" customWidth="1"/>
    <col min="518" max="518" width="25.375" style="1635" customWidth="1"/>
    <col min="519" max="519" width="7.875" style="1635" customWidth="1"/>
    <col min="520" max="520" width="9" style="1635" customWidth="1"/>
    <col min="521" max="522" width="10.625" style="1635" customWidth="1"/>
    <col min="523" max="523" width="14.375" style="1635" customWidth="1"/>
    <col min="524" max="524" width="6.25" style="1635" customWidth="1"/>
    <col min="525" max="525" width="31" style="1635" customWidth="1"/>
    <col min="526" max="526" width="7.875" style="1635" customWidth="1"/>
    <col min="527" max="768" width="9" style="1635"/>
    <col min="769" max="769" width="32.75" style="1635" customWidth="1"/>
    <col min="770" max="770" width="6.25" style="1635" customWidth="1"/>
    <col min="771" max="771" width="7.875" style="1635" customWidth="1"/>
    <col min="772" max="773" width="13.875" style="1635" customWidth="1"/>
    <col min="774" max="774" width="25.375" style="1635" customWidth="1"/>
    <col min="775" max="775" width="7.875" style="1635" customWidth="1"/>
    <col min="776" max="776" width="9" style="1635" customWidth="1"/>
    <col min="777" max="778" width="10.625" style="1635" customWidth="1"/>
    <col min="779" max="779" width="14.375" style="1635" customWidth="1"/>
    <col min="780" max="780" width="6.25" style="1635" customWidth="1"/>
    <col min="781" max="781" width="31" style="1635" customWidth="1"/>
    <col min="782" max="782" width="7.875" style="1635" customWidth="1"/>
    <col min="783" max="1024" width="9" style="1635"/>
    <col min="1025" max="1025" width="32.75" style="1635" customWidth="1"/>
    <col min="1026" max="1026" width="6.25" style="1635" customWidth="1"/>
    <col min="1027" max="1027" width="7.875" style="1635" customWidth="1"/>
    <col min="1028" max="1029" width="13.875" style="1635" customWidth="1"/>
    <col min="1030" max="1030" width="25.375" style="1635" customWidth="1"/>
    <col min="1031" max="1031" width="7.875" style="1635" customWidth="1"/>
    <col min="1032" max="1032" width="9" style="1635" customWidth="1"/>
    <col min="1033" max="1034" width="10.625" style="1635" customWidth="1"/>
    <col min="1035" max="1035" width="14.375" style="1635" customWidth="1"/>
    <col min="1036" max="1036" width="6.25" style="1635" customWidth="1"/>
    <col min="1037" max="1037" width="31" style="1635" customWidth="1"/>
    <col min="1038" max="1038" width="7.875" style="1635" customWidth="1"/>
    <col min="1039" max="1280" width="9" style="1635"/>
    <col min="1281" max="1281" width="32.75" style="1635" customWidth="1"/>
    <col min="1282" max="1282" width="6.25" style="1635" customWidth="1"/>
    <col min="1283" max="1283" width="7.875" style="1635" customWidth="1"/>
    <col min="1284" max="1285" width="13.875" style="1635" customWidth="1"/>
    <col min="1286" max="1286" width="25.375" style="1635" customWidth="1"/>
    <col min="1287" max="1287" width="7.875" style="1635" customWidth="1"/>
    <col min="1288" max="1288" width="9" style="1635" customWidth="1"/>
    <col min="1289" max="1290" width="10.625" style="1635" customWidth="1"/>
    <col min="1291" max="1291" width="14.375" style="1635" customWidth="1"/>
    <col min="1292" max="1292" width="6.25" style="1635" customWidth="1"/>
    <col min="1293" max="1293" width="31" style="1635" customWidth="1"/>
    <col min="1294" max="1294" width="7.875" style="1635" customWidth="1"/>
    <col min="1295" max="1536" width="9" style="1635"/>
    <col min="1537" max="1537" width="32.75" style="1635" customWidth="1"/>
    <col min="1538" max="1538" width="6.25" style="1635" customWidth="1"/>
    <col min="1539" max="1539" width="7.875" style="1635" customWidth="1"/>
    <col min="1540" max="1541" width="13.875" style="1635" customWidth="1"/>
    <col min="1542" max="1542" width="25.375" style="1635" customWidth="1"/>
    <col min="1543" max="1543" width="7.875" style="1635" customWidth="1"/>
    <col min="1544" max="1544" width="9" style="1635" customWidth="1"/>
    <col min="1545" max="1546" width="10.625" style="1635" customWidth="1"/>
    <col min="1547" max="1547" width="14.375" style="1635" customWidth="1"/>
    <col min="1548" max="1548" width="6.25" style="1635" customWidth="1"/>
    <col min="1549" max="1549" width="31" style="1635" customWidth="1"/>
    <col min="1550" max="1550" width="7.875" style="1635" customWidth="1"/>
    <col min="1551" max="1792" width="9" style="1635"/>
    <col min="1793" max="1793" width="32.75" style="1635" customWidth="1"/>
    <col min="1794" max="1794" width="6.25" style="1635" customWidth="1"/>
    <col min="1795" max="1795" width="7.875" style="1635" customWidth="1"/>
    <col min="1796" max="1797" width="13.875" style="1635" customWidth="1"/>
    <col min="1798" max="1798" width="25.375" style="1635" customWidth="1"/>
    <col min="1799" max="1799" width="7.875" style="1635" customWidth="1"/>
    <col min="1800" max="1800" width="9" style="1635" customWidth="1"/>
    <col min="1801" max="1802" width="10.625" style="1635" customWidth="1"/>
    <col min="1803" max="1803" width="14.375" style="1635" customWidth="1"/>
    <col min="1804" max="1804" width="6.25" style="1635" customWidth="1"/>
    <col min="1805" max="1805" width="31" style="1635" customWidth="1"/>
    <col min="1806" max="1806" width="7.875" style="1635" customWidth="1"/>
    <col min="1807" max="2048" width="9" style="1635"/>
    <col min="2049" max="2049" width="32.75" style="1635" customWidth="1"/>
    <col min="2050" max="2050" width="6.25" style="1635" customWidth="1"/>
    <col min="2051" max="2051" width="7.875" style="1635" customWidth="1"/>
    <col min="2052" max="2053" width="13.875" style="1635" customWidth="1"/>
    <col min="2054" max="2054" width="25.375" style="1635" customWidth="1"/>
    <col min="2055" max="2055" width="7.875" style="1635" customWidth="1"/>
    <col min="2056" max="2056" width="9" style="1635" customWidth="1"/>
    <col min="2057" max="2058" width="10.625" style="1635" customWidth="1"/>
    <col min="2059" max="2059" width="14.375" style="1635" customWidth="1"/>
    <col min="2060" max="2060" width="6.25" style="1635" customWidth="1"/>
    <col min="2061" max="2061" width="31" style="1635" customWidth="1"/>
    <col min="2062" max="2062" width="7.875" style="1635" customWidth="1"/>
    <col min="2063" max="2304" width="9" style="1635"/>
    <col min="2305" max="2305" width="32.75" style="1635" customWidth="1"/>
    <col min="2306" max="2306" width="6.25" style="1635" customWidth="1"/>
    <col min="2307" max="2307" width="7.875" style="1635" customWidth="1"/>
    <col min="2308" max="2309" width="13.875" style="1635" customWidth="1"/>
    <col min="2310" max="2310" width="25.375" style="1635" customWidth="1"/>
    <col min="2311" max="2311" width="7.875" style="1635" customWidth="1"/>
    <col min="2312" max="2312" width="9" style="1635" customWidth="1"/>
    <col min="2313" max="2314" width="10.625" style="1635" customWidth="1"/>
    <col min="2315" max="2315" width="14.375" style="1635" customWidth="1"/>
    <col min="2316" max="2316" width="6.25" style="1635" customWidth="1"/>
    <col min="2317" max="2317" width="31" style="1635" customWidth="1"/>
    <col min="2318" max="2318" width="7.875" style="1635" customWidth="1"/>
    <col min="2319" max="2560" width="9" style="1635"/>
    <col min="2561" max="2561" width="32.75" style="1635" customWidth="1"/>
    <col min="2562" max="2562" width="6.25" style="1635" customWidth="1"/>
    <col min="2563" max="2563" width="7.875" style="1635" customWidth="1"/>
    <col min="2564" max="2565" width="13.875" style="1635" customWidth="1"/>
    <col min="2566" max="2566" width="25.375" style="1635" customWidth="1"/>
    <col min="2567" max="2567" width="7.875" style="1635" customWidth="1"/>
    <col min="2568" max="2568" width="9" style="1635" customWidth="1"/>
    <col min="2569" max="2570" width="10.625" style="1635" customWidth="1"/>
    <col min="2571" max="2571" width="14.375" style="1635" customWidth="1"/>
    <col min="2572" max="2572" width="6.25" style="1635" customWidth="1"/>
    <col min="2573" max="2573" width="31" style="1635" customWidth="1"/>
    <col min="2574" max="2574" width="7.875" style="1635" customWidth="1"/>
    <col min="2575" max="2816" width="9" style="1635"/>
    <col min="2817" max="2817" width="32.75" style="1635" customWidth="1"/>
    <col min="2818" max="2818" width="6.25" style="1635" customWidth="1"/>
    <col min="2819" max="2819" width="7.875" style="1635" customWidth="1"/>
    <col min="2820" max="2821" width="13.875" style="1635" customWidth="1"/>
    <col min="2822" max="2822" width="25.375" style="1635" customWidth="1"/>
    <col min="2823" max="2823" width="7.875" style="1635" customWidth="1"/>
    <col min="2824" max="2824" width="9" style="1635" customWidth="1"/>
    <col min="2825" max="2826" width="10.625" style="1635" customWidth="1"/>
    <col min="2827" max="2827" width="14.375" style="1635" customWidth="1"/>
    <col min="2828" max="2828" width="6.25" style="1635" customWidth="1"/>
    <col min="2829" max="2829" width="31" style="1635" customWidth="1"/>
    <col min="2830" max="2830" width="7.875" style="1635" customWidth="1"/>
    <col min="2831" max="3072" width="9" style="1635"/>
    <col min="3073" max="3073" width="32.75" style="1635" customWidth="1"/>
    <col min="3074" max="3074" width="6.25" style="1635" customWidth="1"/>
    <col min="3075" max="3075" width="7.875" style="1635" customWidth="1"/>
    <col min="3076" max="3077" width="13.875" style="1635" customWidth="1"/>
    <col min="3078" max="3078" width="25.375" style="1635" customWidth="1"/>
    <col min="3079" max="3079" width="7.875" style="1635" customWidth="1"/>
    <col min="3080" max="3080" width="9" style="1635" customWidth="1"/>
    <col min="3081" max="3082" width="10.625" style="1635" customWidth="1"/>
    <col min="3083" max="3083" width="14.375" style="1635" customWidth="1"/>
    <col min="3084" max="3084" width="6.25" style="1635" customWidth="1"/>
    <col min="3085" max="3085" width="31" style="1635" customWidth="1"/>
    <col min="3086" max="3086" width="7.875" style="1635" customWidth="1"/>
    <col min="3087" max="3328" width="9" style="1635"/>
    <col min="3329" max="3329" width="32.75" style="1635" customWidth="1"/>
    <col min="3330" max="3330" width="6.25" style="1635" customWidth="1"/>
    <col min="3331" max="3331" width="7.875" style="1635" customWidth="1"/>
    <col min="3332" max="3333" width="13.875" style="1635" customWidth="1"/>
    <col min="3334" max="3334" width="25.375" style="1635" customWidth="1"/>
    <col min="3335" max="3335" width="7.875" style="1635" customWidth="1"/>
    <col min="3336" max="3336" width="9" style="1635" customWidth="1"/>
    <col min="3337" max="3338" width="10.625" style="1635" customWidth="1"/>
    <col min="3339" max="3339" width="14.375" style="1635" customWidth="1"/>
    <col min="3340" max="3340" width="6.25" style="1635" customWidth="1"/>
    <col min="3341" max="3341" width="31" style="1635" customWidth="1"/>
    <col min="3342" max="3342" width="7.875" style="1635" customWidth="1"/>
    <col min="3343" max="3584" width="9" style="1635"/>
    <col min="3585" max="3585" width="32.75" style="1635" customWidth="1"/>
    <col min="3586" max="3586" width="6.25" style="1635" customWidth="1"/>
    <col min="3587" max="3587" width="7.875" style="1635" customWidth="1"/>
    <col min="3588" max="3589" width="13.875" style="1635" customWidth="1"/>
    <col min="3590" max="3590" width="25.375" style="1635" customWidth="1"/>
    <col min="3591" max="3591" width="7.875" style="1635" customWidth="1"/>
    <col min="3592" max="3592" width="9" style="1635" customWidth="1"/>
    <col min="3593" max="3594" width="10.625" style="1635" customWidth="1"/>
    <col min="3595" max="3595" width="14.375" style="1635" customWidth="1"/>
    <col min="3596" max="3596" width="6.25" style="1635" customWidth="1"/>
    <col min="3597" max="3597" width="31" style="1635" customWidth="1"/>
    <col min="3598" max="3598" width="7.875" style="1635" customWidth="1"/>
    <col min="3599" max="3840" width="9" style="1635"/>
    <col min="3841" max="3841" width="32.75" style="1635" customWidth="1"/>
    <col min="3842" max="3842" width="6.25" style="1635" customWidth="1"/>
    <col min="3843" max="3843" width="7.875" style="1635" customWidth="1"/>
    <col min="3844" max="3845" width="13.875" style="1635" customWidth="1"/>
    <col min="3846" max="3846" width="25.375" style="1635" customWidth="1"/>
    <col min="3847" max="3847" width="7.875" style="1635" customWidth="1"/>
    <col min="3848" max="3848" width="9" style="1635" customWidth="1"/>
    <col min="3849" max="3850" width="10.625" style="1635" customWidth="1"/>
    <col min="3851" max="3851" width="14.375" style="1635" customWidth="1"/>
    <col min="3852" max="3852" width="6.25" style="1635" customWidth="1"/>
    <col min="3853" max="3853" width="31" style="1635" customWidth="1"/>
    <col min="3854" max="3854" width="7.875" style="1635" customWidth="1"/>
    <col min="3855" max="4096" width="9" style="1635"/>
    <col min="4097" max="4097" width="32.75" style="1635" customWidth="1"/>
    <col min="4098" max="4098" width="6.25" style="1635" customWidth="1"/>
    <col min="4099" max="4099" width="7.875" style="1635" customWidth="1"/>
    <col min="4100" max="4101" width="13.875" style="1635" customWidth="1"/>
    <col min="4102" max="4102" width="25.375" style="1635" customWidth="1"/>
    <col min="4103" max="4103" width="7.875" style="1635" customWidth="1"/>
    <col min="4104" max="4104" width="9" style="1635" customWidth="1"/>
    <col min="4105" max="4106" width="10.625" style="1635" customWidth="1"/>
    <col min="4107" max="4107" width="14.375" style="1635" customWidth="1"/>
    <col min="4108" max="4108" width="6.25" style="1635" customWidth="1"/>
    <col min="4109" max="4109" width="31" style="1635" customWidth="1"/>
    <col min="4110" max="4110" width="7.875" style="1635" customWidth="1"/>
    <col min="4111" max="4352" width="9" style="1635"/>
    <col min="4353" max="4353" width="32.75" style="1635" customWidth="1"/>
    <col min="4354" max="4354" width="6.25" style="1635" customWidth="1"/>
    <col min="4355" max="4355" width="7.875" style="1635" customWidth="1"/>
    <col min="4356" max="4357" width="13.875" style="1635" customWidth="1"/>
    <col min="4358" max="4358" width="25.375" style="1635" customWidth="1"/>
    <col min="4359" max="4359" width="7.875" style="1635" customWidth="1"/>
    <col min="4360" max="4360" width="9" style="1635" customWidth="1"/>
    <col min="4361" max="4362" width="10.625" style="1635" customWidth="1"/>
    <col min="4363" max="4363" width="14.375" style="1635" customWidth="1"/>
    <col min="4364" max="4364" width="6.25" style="1635" customWidth="1"/>
    <col min="4365" max="4365" width="31" style="1635" customWidth="1"/>
    <col min="4366" max="4366" width="7.875" style="1635" customWidth="1"/>
    <col min="4367" max="4608" width="9" style="1635"/>
    <col min="4609" max="4609" width="32.75" style="1635" customWidth="1"/>
    <col min="4610" max="4610" width="6.25" style="1635" customWidth="1"/>
    <col min="4611" max="4611" width="7.875" style="1635" customWidth="1"/>
    <col min="4612" max="4613" width="13.875" style="1635" customWidth="1"/>
    <col min="4614" max="4614" width="25.375" style="1635" customWidth="1"/>
    <col min="4615" max="4615" width="7.875" style="1635" customWidth="1"/>
    <col min="4616" max="4616" width="9" style="1635" customWidth="1"/>
    <col min="4617" max="4618" width="10.625" style="1635" customWidth="1"/>
    <col min="4619" max="4619" width="14.375" style="1635" customWidth="1"/>
    <col min="4620" max="4620" width="6.25" style="1635" customWidth="1"/>
    <col min="4621" max="4621" width="31" style="1635" customWidth="1"/>
    <col min="4622" max="4622" width="7.875" style="1635" customWidth="1"/>
    <col min="4623" max="4864" width="9" style="1635"/>
    <col min="4865" max="4865" width="32.75" style="1635" customWidth="1"/>
    <col min="4866" max="4866" width="6.25" style="1635" customWidth="1"/>
    <col min="4867" max="4867" width="7.875" style="1635" customWidth="1"/>
    <col min="4868" max="4869" width="13.875" style="1635" customWidth="1"/>
    <col min="4870" max="4870" width="25.375" style="1635" customWidth="1"/>
    <col min="4871" max="4871" width="7.875" style="1635" customWidth="1"/>
    <col min="4872" max="4872" width="9" style="1635" customWidth="1"/>
    <col min="4873" max="4874" width="10.625" style="1635" customWidth="1"/>
    <col min="4875" max="4875" width="14.375" style="1635" customWidth="1"/>
    <col min="4876" max="4876" width="6.25" style="1635" customWidth="1"/>
    <col min="4877" max="4877" width="31" style="1635" customWidth="1"/>
    <col min="4878" max="4878" width="7.875" style="1635" customWidth="1"/>
    <col min="4879" max="5120" width="9" style="1635"/>
    <col min="5121" max="5121" width="32.75" style="1635" customWidth="1"/>
    <col min="5122" max="5122" width="6.25" style="1635" customWidth="1"/>
    <col min="5123" max="5123" width="7.875" style="1635" customWidth="1"/>
    <col min="5124" max="5125" width="13.875" style="1635" customWidth="1"/>
    <col min="5126" max="5126" width="25.375" style="1635" customWidth="1"/>
    <col min="5127" max="5127" width="7.875" style="1635" customWidth="1"/>
    <col min="5128" max="5128" width="9" style="1635" customWidth="1"/>
    <col min="5129" max="5130" width="10.625" style="1635" customWidth="1"/>
    <col min="5131" max="5131" width="14.375" style="1635" customWidth="1"/>
    <col min="5132" max="5132" width="6.25" style="1635" customWidth="1"/>
    <col min="5133" max="5133" width="31" style="1635" customWidth="1"/>
    <col min="5134" max="5134" width="7.875" style="1635" customWidth="1"/>
    <col min="5135" max="5376" width="9" style="1635"/>
    <col min="5377" max="5377" width="32.75" style="1635" customWidth="1"/>
    <col min="5378" max="5378" width="6.25" style="1635" customWidth="1"/>
    <col min="5379" max="5379" width="7.875" style="1635" customWidth="1"/>
    <col min="5380" max="5381" width="13.875" style="1635" customWidth="1"/>
    <col min="5382" max="5382" width="25.375" style="1635" customWidth="1"/>
    <col min="5383" max="5383" width="7.875" style="1635" customWidth="1"/>
    <col min="5384" max="5384" width="9" style="1635" customWidth="1"/>
    <col min="5385" max="5386" width="10.625" style="1635" customWidth="1"/>
    <col min="5387" max="5387" width="14.375" style="1635" customWidth="1"/>
    <col min="5388" max="5388" width="6.25" style="1635" customWidth="1"/>
    <col min="5389" max="5389" width="31" style="1635" customWidth="1"/>
    <col min="5390" max="5390" width="7.875" style="1635" customWidth="1"/>
    <col min="5391" max="5632" width="9" style="1635"/>
    <col min="5633" max="5633" width="32.75" style="1635" customWidth="1"/>
    <col min="5634" max="5634" width="6.25" style="1635" customWidth="1"/>
    <col min="5635" max="5635" width="7.875" style="1635" customWidth="1"/>
    <col min="5636" max="5637" width="13.875" style="1635" customWidth="1"/>
    <col min="5638" max="5638" width="25.375" style="1635" customWidth="1"/>
    <col min="5639" max="5639" width="7.875" style="1635" customWidth="1"/>
    <col min="5640" max="5640" width="9" style="1635" customWidth="1"/>
    <col min="5641" max="5642" width="10.625" style="1635" customWidth="1"/>
    <col min="5643" max="5643" width="14.375" style="1635" customWidth="1"/>
    <col min="5644" max="5644" width="6.25" style="1635" customWidth="1"/>
    <col min="5645" max="5645" width="31" style="1635" customWidth="1"/>
    <col min="5646" max="5646" width="7.875" style="1635" customWidth="1"/>
    <col min="5647" max="5888" width="9" style="1635"/>
    <col min="5889" max="5889" width="32.75" style="1635" customWidth="1"/>
    <col min="5890" max="5890" width="6.25" style="1635" customWidth="1"/>
    <col min="5891" max="5891" width="7.875" style="1635" customWidth="1"/>
    <col min="5892" max="5893" width="13.875" style="1635" customWidth="1"/>
    <col min="5894" max="5894" width="25.375" style="1635" customWidth="1"/>
    <col min="5895" max="5895" width="7.875" style="1635" customWidth="1"/>
    <col min="5896" max="5896" width="9" style="1635" customWidth="1"/>
    <col min="5897" max="5898" width="10.625" style="1635" customWidth="1"/>
    <col min="5899" max="5899" width="14.375" style="1635" customWidth="1"/>
    <col min="5900" max="5900" width="6.25" style="1635" customWidth="1"/>
    <col min="5901" max="5901" width="31" style="1635" customWidth="1"/>
    <col min="5902" max="5902" width="7.875" style="1635" customWidth="1"/>
    <col min="5903" max="6144" width="9" style="1635"/>
    <col min="6145" max="6145" width="32.75" style="1635" customWidth="1"/>
    <col min="6146" max="6146" width="6.25" style="1635" customWidth="1"/>
    <col min="6147" max="6147" width="7.875" style="1635" customWidth="1"/>
    <col min="6148" max="6149" width="13.875" style="1635" customWidth="1"/>
    <col min="6150" max="6150" width="25.375" style="1635" customWidth="1"/>
    <col min="6151" max="6151" width="7.875" style="1635" customWidth="1"/>
    <col min="6152" max="6152" width="9" style="1635" customWidth="1"/>
    <col min="6153" max="6154" width="10.625" style="1635" customWidth="1"/>
    <col min="6155" max="6155" width="14.375" style="1635" customWidth="1"/>
    <col min="6156" max="6156" width="6.25" style="1635" customWidth="1"/>
    <col min="6157" max="6157" width="31" style="1635" customWidth="1"/>
    <col min="6158" max="6158" width="7.875" style="1635" customWidth="1"/>
    <col min="6159" max="6400" width="9" style="1635"/>
    <col min="6401" max="6401" width="32.75" style="1635" customWidth="1"/>
    <col min="6402" max="6402" width="6.25" style="1635" customWidth="1"/>
    <col min="6403" max="6403" width="7.875" style="1635" customWidth="1"/>
    <col min="6404" max="6405" width="13.875" style="1635" customWidth="1"/>
    <col min="6406" max="6406" width="25.375" style="1635" customWidth="1"/>
    <col min="6407" max="6407" width="7.875" style="1635" customWidth="1"/>
    <col min="6408" max="6408" width="9" style="1635" customWidth="1"/>
    <col min="6409" max="6410" width="10.625" style="1635" customWidth="1"/>
    <col min="6411" max="6411" width="14.375" style="1635" customWidth="1"/>
    <col min="6412" max="6412" width="6.25" style="1635" customWidth="1"/>
    <col min="6413" max="6413" width="31" style="1635" customWidth="1"/>
    <col min="6414" max="6414" width="7.875" style="1635" customWidth="1"/>
    <col min="6415" max="6656" width="9" style="1635"/>
    <col min="6657" max="6657" width="32.75" style="1635" customWidth="1"/>
    <col min="6658" max="6658" width="6.25" style="1635" customWidth="1"/>
    <col min="6659" max="6659" width="7.875" style="1635" customWidth="1"/>
    <col min="6660" max="6661" width="13.875" style="1635" customWidth="1"/>
    <col min="6662" max="6662" width="25.375" style="1635" customWidth="1"/>
    <col min="6663" max="6663" width="7.875" style="1635" customWidth="1"/>
    <col min="6664" max="6664" width="9" style="1635" customWidth="1"/>
    <col min="6665" max="6666" width="10.625" style="1635" customWidth="1"/>
    <col min="6667" max="6667" width="14.375" style="1635" customWidth="1"/>
    <col min="6668" max="6668" width="6.25" style="1635" customWidth="1"/>
    <col min="6669" max="6669" width="31" style="1635" customWidth="1"/>
    <col min="6670" max="6670" width="7.875" style="1635" customWidth="1"/>
    <col min="6671" max="6912" width="9" style="1635"/>
    <col min="6913" max="6913" width="32.75" style="1635" customWidth="1"/>
    <col min="6914" max="6914" width="6.25" style="1635" customWidth="1"/>
    <col min="6915" max="6915" width="7.875" style="1635" customWidth="1"/>
    <col min="6916" max="6917" width="13.875" style="1635" customWidth="1"/>
    <col min="6918" max="6918" width="25.375" style="1635" customWidth="1"/>
    <col min="6919" max="6919" width="7.875" style="1635" customWidth="1"/>
    <col min="6920" max="6920" width="9" style="1635" customWidth="1"/>
    <col min="6921" max="6922" width="10.625" style="1635" customWidth="1"/>
    <col min="6923" max="6923" width="14.375" style="1635" customWidth="1"/>
    <col min="6924" max="6924" width="6.25" style="1635" customWidth="1"/>
    <col min="6925" max="6925" width="31" style="1635" customWidth="1"/>
    <col min="6926" max="6926" width="7.875" style="1635" customWidth="1"/>
    <col min="6927" max="7168" width="9" style="1635"/>
    <col min="7169" max="7169" width="32.75" style="1635" customWidth="1"/>
    <col min="7170" max="7170" width="6.25" style="1635" customWidth="1"/>
    <col min="7171" max="7171" width="7.875" style="1635" customWidth="1"/>
    <col min="7172" max="7173" width="13.875" style="1635" customWidth="1"/>
    <col min="7174" max="7174" width="25.375" style="1635" customWidth="1"/>
    <col min="7175" max="7175" width="7.875" style="1635" customWidth="1"/>
    <col min="7176" max="7176" width="9" style="1635" customWidth="1"/>
    <col min="7177" max="7178" width="10.625" style="1635" customWidth="1"/>
    <col min="7179" max="7179" width="14.375" style="1635" customWidth="1"/>
    <col min="7180" max="7180" width="6.25" style="1635" customWidth="1"/>
    <col min="7181" max="7181" width="31" style="1635" customWidth="1"/>
    <col min="7182" max="7182" width="7.875" style="1635" customWidth="1"/>
    <col min="7183" max="7424" width="9" style="1635"/>
    <col min="7425" max="7425" width="32.75" style="1635" customWidth="1"/>
    <col min="7426" max="7426" width="6.25" style="1635" customWidth="1"/>
    <col min="7427" max="7427" width="7.875" style="1635" customWidth="1"/>
    <col min="7428" max="7429" width="13.875" style="1635" customWidth="1"/>
    <col min="7430" max="7430" width="25.375" style="1635" customWidth="1"/>
    <col min="7431" max="7431" width="7.875" style="1635" customWidth="1"/>
    <col min="7432" max="7432" width="9" style="1635" customWidth="1"/>
    <col min="7433" max="7434" width="10.625" style="1635" customWidth="1"/>
    <col min="7435" max="7435" width="14.375" style="1635" customWidth="1"/>
    <col min="7436" max="7436" width="6.25" style="1635" customWidth="1"/>
    <col min="7437" max="7437" width="31" style="1635" customWidth="1"/>
    <col min="7438" max="7438" width="7.875" style="1635" customWidth="1"/>
    <col min="7439" max="7680" width="9" style="1635"/>
    <col min="7681" max="7681" width="32.75" style="1635" customWidth="1"/>
    <col min="7682" max="7682" width="6.25" style="1635" customWidth="1"/>
    <col min="7683" max="7683" width="7.875" style="1635" customWidth="1"/>
    <col min="7684" max="7685" width="13.875" style="1635" customWidth="1"/>
    <col min="7686" max="7686" width="25.375" style="1635" customWidth="1"/>
    <col min="7687" max="7687" width="7.875" style="1635" customWidth="1"/>
    <col min="7688" max="7688" width="9" style="1635" customWidth="1"/>
    <col min="7689" max="7690" width="10.625" style="1635" customWidth="1"/>
    <col min="7691" max="7691" width="14.375" style="1635" customWidth="1"/>
    <col min="7692" max="7692" width="6.25" style="1635" customWidth="1"/>
    <col min="7693" max="7693" width="31" style="1635" customWidth="1"/>
    <col min="7694" max="7694" width="7.875" style="1635" customWidth="1"/>
    <col min="7695" max="7936" width="9" style="1635"/>
    <col min="7937" max="7937" width="32.75" style="1635" customWidth="1"/>
    <col min="7938" max="7938" width="6.25" style="1635" customWidth="1"/>
    <col min="7939" max="7939" width="7.875" style="1635" customWidth="1"/>
    <col min="7940" max="7941" width="13.875" style="1635" customWidth="1"/>
    <col min="7942" max="7942" width="25.375" style="1635" customWidth="1"/>
    <col min="7943" max="7943" width="7.875" style="1635" customWidth="1"/>
    <col min="7944" max="7944" width="9" style="1635" customWidth="1"/>
    <col min="7945" max="7946" width="10.625" style="1635" customWidth="1"/>
    <col min="7947" max="7947" width="14.375" style="1635" customWidth="1"/>
    <col min="7948" max="7948" width="6.25" style="1635" customWidth="1"/>
    <col min="7949" max="7949" width="31" style="1635" customWidth="1"/>
    <col min="7950" max="7950" width="7.875" style="1635" customWidth="1"/>
    <col min="7951" max="8192" width="9" style="1635"/>
    <col min="8193" max="8193" width="32.75" style="1635" customWidth="1"/>
    <col min="8194" max="8194" width="6.25" style="1635" customWidth="1"/>
    <col min="8195" max="8195" width="7.875" style="1635" customWidth="1"/>
    <col min="8196" max="8197" width="13.875" style="1635" customWidth="1"/>
    <col min="8198" max="8198" width="25.375" style="1635" customWidth="1"/>
    <col min="8199" max="8199" width="7.875" style="1635" customWidth="1"/>
    <col min="8200" max="8200" width="9" style="1635" customWidth="1"/>
    <col min="8201" max="8202" width="10.625" style="1635" customWidth="1"/>
    <col min="8203" max="8203" width="14.375" style="1635" customWidth="1"/>
    <col min="8204" max="8204" width="6.25" style="1635" customWidth="1"/>
    <col min="8205" max="8205" width="31" style="1635" customWidth="1"/>
    <col min="8206" max="8206" width="7.875" style="1635" customWidth="1"/>
    <col min="8207" max="8448" width="9" style="1635"/>
    <col min="8449" max="8449" width="32.75" style="1635" customWidth="1"/>
    <col min="8450" max="8450" width="6.25" style="1635" customWidth="1"/>
    <col min="8451" max="8451" width="7.875" style="1635" customWidth="1"/>
    <col min="8452" max="8453" width="13.875" style="1635" customWidth="1"/>
    <col min="8454" max="8454" width="25.375" style="1635" customWidth="1"/>
    <col min="8455" max="8455" width="7.875" style="1635" customWidth="1"/>
    <col min="8456" max="8456" width="9" style="1635" customWidth="1"/>
    <col min="8457" max="8458" width="10.625" style="1635" customWidth="1"/>
    <col min="8459" max="8459" width="14.375" style="1635" customWidth="1"/>
    <col min="8460" max="8460" width="6.25" style="1635" customWidth="1"/>
    <col min="8461" max="8461" width="31" style="1635" customWidth="1"/>
    <col min="8462" max="8462" width="7.875" style="1635" customWidth="1"/>
    <col min="8463" max="8704" width="9" style="1635"/>
    <col min="8705" max="8705" width="32.75" style="1635" customWidth="1"/>
    <col min="8706" max="8706" width="6.25" style="1635" customWidth="1"/>
    <col min="8707" max="8707" width="7.875" style="1635" customWidth="1"/>
    <col min="8708" max="8709" width="13.875" style="1635" customWidth="1"/>
    <col min="8710" max="8710" width="25.375" style="1635" customWidth="1"/>
    <col min="8711" max="8711" width="7.875" style="1635" customWidth="1"/>
    <col min="8712" max="8712" width="9" style="1635" customWidth="1"/>
    <col min="8713" max="8714" width="10.625" style="1635" customWidth="1"/>
    <col min="8715" max="8715" width="14.375" style="1635" customWidth="1"/>
    <col min="8716" max="8716" width="6.25" style="1635" customWidth="1"/>
    <col min="8717" max="8717" width="31" style="1635" customWidth="1"/>
    <col min="8718" max="8718" width="7.875" style="1635" customWidth="1"/>
    <col min="8719" max="8960" width="9" style="1635"/>
    <col min="8961" max="8961" width="32.75" style="1635" customWidth="1"/>
    <col min="8962" max="8962" width="6.25" style="1635" customWidth="1"/>
    <col min="8963" max="8963" width="7.875" style="1635" customWidth="1"/>
    <col min="8964" max="8965" width="13.875" style="1635" customWidth="1"/>
    <col min="8966" max="8966" width="25.375" style="1635" customWidth="1"/>
    <col min="8967" max="8967" width="7.875" style="1635" customWidth="1"/>
    <col min="8968" max="8968" width="9" style="1635" customWidth="1"/>
    <col min="8969" max="8970" width="10.625" style="1635" customWidth="1"/>
    <col min="8971" max="8971" width="14.375" style="1635" customWidth="1"/>
    <col min="8972" max="8972" width="6.25" style="1635" customWidth="1"/>
    <col min="8973" max="8973" width="31" style="1635" customWidth="1"/>
    <col min="8974" max="8974" width="7.875" style="1635" customWidth="1"/>
    <col min="8975" max="9216" width="9" style="1635"/>
    <col min="9217" max="9217" width="32.75" style="1635" customWidth="1"/>
    <col min="9218" max="9218" width="6.25" style="1635" customWidth="1"/>
    <col min="9219" max="9219" width="7.875" style="1635" customWidth="1"/>
    <col min="9220" max="9221" width="13.875" style="1635" customWidth="1"/>
    <col min="9222" max="9222" width="25.375" style="1635" customWidth="1"/>
    <col min="9223" max="9223" width="7.875" style="1635" customWidth="1"/>
    <col min="9224" max="9224" width="9" style="1635" customWidth="1"/>
    <col min="9225" max="9226" width="10.625" style="1635" customWidth="1"/>
    <col min="9227" max="9227" width="14.375" style="1635" customWidth="1"/>
    <col min="9228" max="9228" width="6.25" style="1635" customWidth="1"/>
    <col min="9229" max="9229" width="31" style="1635" customWidth="1"/>
    <col min="9230" max="9230" width="7.875" style="1635" customWidth="1"/>
    <col min="9231" max="9472" width="9" style="1635"/>
    <col min="9473" max="9473" width="32.75" style="1635" customWidth="1"/>
    <col min="9474" max="9474" width="6.25" style="1635" customWidth="1"/>
    <col min="9475" max="9475" width="7.875" style="1635" customWidth="1"/>
    <col min="9476" max="9477" width="13.875" style="1635" customWidth="1"/>
    <col min="9478" max="9478" width="25.375" style="1635" customWidth="1"/>
    <col min="9479" max="9479" width="7.875" style="1635" customWidth="1"/>
    <col min="9480" max="9480" width="9" style="1635" customWidth="1"/>
    <col min="9481" max="9482" width="10.625" style="1635" customWidth="1"/>
    <col min="9483" max="9483" width="14.375" style="1635" customWidth="1"/>
    <col min="9484" max="9484" width="6.25" style="1635" customWidth="1"/>
    <col min="9485" max="9485" width="31" style="1635" customWidth="1"/>
    <col min="9486" max="9486" width="7.875" style="1635" customWidth="1"/>
    <col min="9487" max="9728" width="9" style="1635"/>
    <col min="9729" max="9729" width="32.75" style="1635" customWidth="1"/>
    <col min="9730" max="9730" width="6.25" style="1635" customWidth="1"/>
    <col min="9731" max="9731" width="7.875" style="1635" customWidth="1"/>
    <col min="9732" max="9733" width="13.875" style="1635" customWidth="1"/>
    <col min="9734" max="9734" width="25.375" style="1635" customWidth="1"/>
    <col min="9735" max="9735" width="7.875" style="1635" customWidth="1"/>
    <col min="9736" max="9736" width="9" style="1635" customWidth="1"/>
    <col min="9737" max="9738" width="10.625" style="1635" customWidth="1"/>
    <col min="9739" max="9739" width="14.375" style="1635" customWidth="1"/>
    <col min="9740" max="9740" width="6.25" style="1635" customWidth="1"/>
    <col min="9741" max="9741" width="31" style="1635" customWidth="1"/>
    <col min="9742" max="9742" width="7.875" style="1635" customWidth="1"/>
    <col min="9743" max="9984" width="9" style="1635"/>
    <col min="9985" max="9985" width="32.75" style="1635" customWidth="1"/>
    <col min="9986" max="9986" width="6.25" style="1635" customWidth="1"/>
    <col min="9987" max="9987" width="7.875" style="1635" customWidth="1"/>
    <col min="9988" max="9989" width="13.875" style="1635" customWidth="1"/>
    <col min="9990" max="9990" width="25.375" style="1635" customWidth="1"/>
    <col min="9991" max="9991" width="7.875" style="1635" customWidth="1"/>
    <col min="9992" max="9992" width="9" style="1635" customWidth="1"/>
    <col min="9993" max="9994" width="10.625" style="1635" customWidth="1"/>
    <col min="9995" max="9995" width="14.375" style="1635" customWidth="1"/>
    <col min="9996" max="9996" width="6.25" style="1635" customWidth="1"/>
    <col min="9997" max="9997" width="31" style="1635" customWidth="1"/>
    <col min="9998" max="9998" width="7.875" style="1635" customWidth="1"/>
    <col min="9999" max="10240" width="9" style="1635"/>
    <col min="10241" max="10241" width="32.75" style="1635" customWidth="1"/>
    <col min="10242" max="10242" width="6.25" style="1635" customWidth="1"/>
    <col min="10243" max="10243" width="7.875" style="1635" customWidth="1"/>
    <col min="10244" max="10245" width="13.875" style="1635" customWidth="1"/>
    <col min="10246" max="10246" width="25.375" style="1635" customWidth="1"/>
    <col min="10247" max="10247" width="7.875" style="1635" customWidth="1"/>
    <col min="10248" max="10248" width="9" style="1635" customWidth="1"/>
    <col min="10249" max="10250" width="10.625" style="1635" customWidth="1"/>
    <col min="10251" max="10251" width="14.375" style="1635" customWidth="1"/>
    <col min="10252" max="10252" width="6.25" style="1635" customWidth="1"/>
    <col min="10253" max="10253" width="31" style="1635" customWidth="1"/>
    <col min="10254" max="10254" width="7.875" style="1635" customWidth="1"/>
    <col min="10255" max="10496" width="9" style="1635"/>
    <col min="10497" max="10497" width="32.75" style="1635" customWidth="1"/>
    <col min="10498" max="10498" width="6.25" style="1635" customWidth="1"/>
    <col min="10499" max="10499" width="7.875" style="1635" customWidth="1"/>
    <col min="10500" max="10501" width="13.875" style="1635" customWidth="1"/>
    <col min="10502" max="10502" width="25.375" style="1635" customWidth="1"/>
    <col min="10503" max="10503" width="7.875" style="1635" customWidth="1"/>
    <col min="10504" max="10504" width="9" style="1635" customWidth="1"/>
    <col min="10505" max="10506" width="10.625" style="1635" customWidth="1"/>
    <col min="10507" max="10507" width="14.375" style="1635" customWidth="1"/>
    <col min="10508" max="10508" width="6.25" style="1635" customWidth="1"/>
    <col min="10509" max="10509" width="31" style="1635" customWidth="1"/>
    <col min="10510" max="10510" width="7.875" style="1635" customWidth="1"/>
    <col min="10511" max="10752" width="9" style="1635"/>
    <col min="10753" max="10753" width="32.75" style="1635" customWidth="1"/>
    <col min="10754" max="10754" width="6.25" style="1635" customWidth="1"/>
    <col min="10755" max="10755" width="7.875" style="1635" customWidth="1"/>
    <col min="10756" max="10757" width="13.875" style="1635" customWidth="1"/>
    <col min="10758" max="10758" width="25.375" style="1635" customWidth="1"/>
    <col min="10759" max="10759" width="7.875" style="1635" customWidth="1"/>
    <col min="10760" max="10760" width="9" style="1635" customWidth="1"/>
    <col min="10761" max="10762" width="10.625" style="1635" customWidth="1"/>
    <col min="10763" max="10763" width="14.375" style="1635" customWidth="1"/>
    <col min="10764" max="10764" width="6.25" style="1635" customWidth="1"/>
    <col min="10765" max="10765" width="31" style="1635" customWidth="1"/>
    <col min="10766" max="10766" width="7.875" style="1635" customWidth="1"/>
    <col min="10767" max="11008" width="9" style="1635"/>
    <col min="11009" max="11009" width="32.75" style="1635" customWidth="1"/>
    <col min="11010" max="11010" width="6.25" style="1635" customWidth="1"/>
    <col min="11011" max="11011" width="7.875" style="1635" customWidth="1"/>
    <col min="11012" max="11013" width="13.875" style="1635" customWidth="1"/>
    <col min="11014" max="11014" width="25.375" style="1635" customWidth="1"/>
    <col min="11015" max="11015" width="7.875" style="1635" customWidth="1"/>
    <col min="11016" max="11016" width="9" style="1635" customWidth="1"/>
    <col min="11017" max="11018" width="10.625" style="1635" customWidth="1"/>
    <col min="11019" max="11019" width="14.375" style="1635" customWidth="1"/>
    <col min="11020" max="11020" width="6.25" style="1635" customWidth="1"/>
    <col min="11021" max="11021" width="31" style="1635" customWidth="1"/>
    <col min="11022" max="11022" width="7.875" style="1635" customWidth="1"/>
    <col min="11023" max="11264" width="9" style="1635"/>
    <col min="11265" max="11265" width="32.75" style="1635" customWidth="1"/>
    <col min="11266" max="11266" width="6.25" style="1635" customWidth="1"/>
    <col min="11267" max="11267" width="7.875" style="1635" customWidth="1"/>
    <col min="11268" max="11269" width="13.875" style="1635" customWidth="1"/>
    <col min="11270" max="11270" width="25.375" style="1635" customWidth="1"/>
    <col min="11271" max="11271" width="7.875" style="1635" customWidth="1"/>
    <col min="11272" max="11272" width="9" style="1635" customWidth="1"/>
    <col min="11273" max="11274" width="10.625" style="1635" customWidth="1"/>
    <col min="11275" max="11275" width="14.375" style="1635" customWidth="1"/>
    <col min="11276" max="11276" width="6.25" style="1635" customWidth="1"/>
    <col min="11277" max="11277" width="31" style="1635" customWidth="1"/>
    <col min="11278" max="11278" width="7.875" style="1635" customWidth="1"/>
    <col min="11279" max="11520" width="9" style="1635"/>
    <col min="11521" max="11521" width="32.75" style="1635" customWidth="1"/>
    <col min="11522" max="11522" width="6.25" style="1635" customWidth="1"/>
    <col min="11523" max="11523" width="7.875" style="1635" customWidth="1"/>
    <col min="11524" max="11525" width="13.875" style="1635" customWidth="1"/>
    <col min="11526" max="11526" width="25.375" style="1635" customWidth="1"/>
    <col min="11527" max="11527" width="7.875" style="1635" customWidth="1"/>
    <col min="11528" max="11528" width="9" style="1635" customWidth="1"/>
    <col min="11529" max="11530" width="10.625" style="1635" customWidth="1"/>
    <col min="11531" max="11531" width="14.375" style="1635" customWidth="1"/>
    <col min="11532" max="11532" width="6.25" style="1635" customWidth="1"/>
    <col min="11533" max="11533" width="31" style="1635" customWidth="1"/>
    <col min="11534" max="11534" width="7.875" style="1635" customWidth="1"/>
    <col min="11535" max="11776" width="9" style="1635"/>
    <col min="11777" max="11777" width="32.75" style="1635" customWidth="1"/>
    <col min="11778" max="11778" width="6.25" style="1635" customWidth="1"/>
    <col min="11779" max="11779" width="7.875" style="1635" customWidth="1"/>
    <col min="11780" max="11781" width="13.875" style="1635" customWidth="1"/>
    <col min="11782" max="11782" width="25.375" style="1635" customWidth="1"/>
    <col min="11783" max="11783" width="7.875" style="1635" customWidth="1"/>
    <col min="11784" max="11784" width="9" style="1635" customWidth="1"/>
    <col min="11785" max="11786" width="10.625" style="1635" customWidth="1"/>
    <col min="11787" max="11787" width="14.375" style="1635" customWidth="1"/>
    <col min="11788" max="11788" width="6.25" style="1635" customWidth="1"/>
    <col min="11789" max="11789" width="31" style="1635" customWidth="1"/>
    <col min="11790" max="11790" width="7.875" style="1635" customWidth="1"/>
    <col min="11791" max="12032" width="9" style="1635"/>
    <col min="12033" max="12033" width="32.75" style="1635" customWidth="1"/>
    <col min="12034" max="12034" width="6.25" style="1635" customWidth="1"/>
    <col min="12035" max="12035" width="7.875" style="1635" customWidth="1"/>
    <col min="12036" max="12037" width="13.875" style="1635" customWidth="1"/>
    <col min="12038" max="12038" width="25.375" style="1635" customWidth="1"/>
    <col min="12039" max="12039" width="7.875" style="1635" customWidth="1"/>
    <col min="12040" max="12040" width="9" style="1635" customWidth="1"/>
    <col min="12041" max="12042" width="10.625" style="1635" customWidth="1"/>
    <col min="12043" max="12043" width="14.375" style="1635" customWidth="1"/>
    <col min="12044" max="12044" width="6.25" style="1635" customWidth="1"/>
    <col min="12045" max="12045" width="31" style="1635" customWidth="1"/>
    <col min="12046" max="12046" width="7.875" style="1635" customWidth="1"/>
    <col min="12047" max="12288" width="9" style="1635"/>
    <col min="12289" max="12289" width="32.75" style="1635" customWidth="1"/>
    <col min="12290" max="12290" width="6.25" style="1635" customWidth="1"/>
    <col min="12291" max="12291" width="7.875" style="1635" customWidth="1"/>
    <col min="12292" max="12293" width="13.875" style="1635" customWidth="1"/>
    <col min="12294" max="12294" width="25.375" style="1635" customWidth="1"/>
    <col min="12295" max="12295" width="7.875" style="1635" customWidth="1"/>
    <col min="12296" max="12296" width="9" style="1635" customWidth="1"/>
    <col min="12297" max="12298" width="10.625" style="1635" customWidth="1"/>
    <col min="12299" max="12299" width="14.375" style="1635" customWidth="1"/>
    <col min="12300" max="12300" width="6.25" style="1635" customWidth="1"/>
    <col min="12301" max="12301" width="31" style="1635" customWidth="1"/>
    <col min="12302" max="12302" width="7.875" style="1635" customWidth="1"/>
    <col min="12303" max="12544" width="9" style="1635"/>
    <col min="12545" max="12545" width="32.75" style="1635" customWidth="1"/>
    <col min="12546" max="12546" width="6.25" style="1635" customWidth="1"/>
    <col min="12547" max="12547" width="7.875" style="1635" customWidth="1"/>
    <col min="12548" max="12549" width="13.875" style="1635" customWidth="1"/>
    <col min="12550" max="12550" width="25.375" style="1635" customWidth="1"/>
    <col min="12551" max="12551" width="7.875" style="1635" customWidth="1"/>
    <col min="12552" max="12552" width="9" style="1635" customWidth="1"/>
    <col min="12553" max="12554" width="10.625" style="1635" customWidth="1"/>
    <col min="12555" max="12555" width="14.375" style="1635" customWidth="1"/>
    <col min="12556" max="12556" width="6.25" style="1635" customWidth="1"/>
    <col min="12557" max="12557" width="31" style="1635" customWidth="1"/>
    <col min="12558" max="12558" width="7.875" style="1635" customWidth="1"/>
    <col min="12559" max="12800" width="9" style="1635"/>
    <col min="12801" max="12801" width="32.75" style="1635" customWidth="1"/>
    <col min="12802" max="12802" width="6.25" style="1635" customWidth="1"/>
    <col min="12803" max="12803" width="7.875" style="1635" customWidth="1"/>
    <col min="12804" max="12805" width="13.875" style="1635" customWidth="1"/>
    <col min="12806" max="12806" width="25.375" style="1635" customWidth="1"/>
    <col min="12807" max="12807" width="7.875" style="1635" customWidth="1"/>
    <col min="12808" max="12808" width="9" style="1635" customWidth="1"/>
    <col min="12809" max="12810" width="10.625" style="1635" customWidth="1"/>
    <col min="12811" max="12811" width="14.375" style="1635" customWidth="1"/>
    <col min="12812" max="12812" width="6.25" style="1635" customWidth="1"/>
    <col min="12813" max="12813" width="31" style="1635" customWidth="1"/>
    <col min="12814" max="12814" width="7.875" style="1635" customWidth="1"/>
    <col min="12815" max="13056" width="9" style="1635"/>
    <col min="13057" max="13057" width="32.75" style="1635" customWidth="1"/>
    <col min="13058" max="13058" width="6.25" style="1635" customWidth="1"/>
    <col min="13059" max="13059" width="7.875" style="1635" customWidth="1"/>
    <col min="13060" max="13061" width="13.875" style="1635" customWidth="1"/>
    <col min="13062" max="13062" width="25.375" style="1635" customWidth="1"/>
    <col min="13063" max="13063" width="7.875" style="1635" customWidth="1"/>
    <col min="13064" max="13064" width="9" style="1635" customWidth="1"/>
    <col min="13065" max="13066" width="10.625" style="1635" customWidth="1"/>
    <col min="13067" max="13067" width="14.375" style="1635" customWidth="1"/>
    <col min="13068" max="13068" width="6.25" style="1635" customWidth="1"/>
    <col min="13069" max="13069" width="31" style="1635" customWidth="1"/>
    <col min="13070" max="13070" width="7.875" style="1635" customWidth="1"/>
    <col min="13071" max="13312" width="9" style="1635"/>
    <col min="13313" max="13313" width="32.75" style="1635" customWidth="1"/>
    <col min="13314" max="13314" width="6.25" style="1635" customWidth="1"/>
    <col min="13315" max="13315" width="7.875" style="1635" customWidth="1"/>
    <col min="13316" max="13317" width="13.875" style="1635" customWidth="1"/>
    <col min="13318" max="13318" width="25.375" style="1635" customWidth="1"/>
    <col min="13319" max="13319" width="7.875" style="1635" customWidth="1"/>
    <col min="13320" max="13320" width="9" style="1635" customWidth="1"/>
    <col min="13321" max="13322" width="10.625" style="1635" customWidth="1"/>
    <col min="13323" max="13323" width="14.375" style="1635" customWidth="1"/>
    <col min="13324" max="13324" width="6.25" style="1635" customWidth="1"/>
    <col min="13325" max="13325" width="31" style="1635" customWidth="1"/>
    <col min="13326" max="13326" width="7.875" style="1635" customWidth="1"/>
    <col min="13327" max="13568" width="9" style="1635"/>
    <col min="13569" max="13569" width="32.75" style="1635" customWidth="1"/>
    <col min="13570" max="13570" width="6.25" style="1635" customWidth="1"/>
    <col min="13571" max="13571" width="7.875" style="1635" customWidth="1"/>
    <col min="13572" max="13573" width="13.875" style="1635" customWidth="1"/>
    <col min="13574" max="13574" width="25.375" style="1635" customWidth="1"/>
    <col min="13575" max="13575" width="7.875" style="1635" customWidth="1"/>
    <col min="13576" max="13576" width="9" style="1635" customWidth="1"/>
    <col min="13577" max="13578" width="10.625" style="1635" customWidth="1"/>
    <col min="13579" max="13579" width="14.375" style="1635" customWidth="1"/>
    <col min="13580" max="13580" width="6.25" style="1635" customWidth="1"/>
    <col min="13581" max="13581" width="31" style="1635" customWidth="1"/>
    <col min="13582" max="13582" width="7.875" style="1635" customWidth="1"/>
    <col min="13583" max="13824" width="9" style="1635"/>
    <col min="13825" max="13825" width="32.75" style="1635" customWidth="1"/>
    <col min="13826" max="13826" width="6.25" style="1635" customWidth="1"/>
    <col min="13827" max="13827" width="7.875" style="1635" customWidth="1"/>
    <col min="13828" max="13829" width="13.875" style="1635" customWidth="1"/>
    <col min="13830" max="13830" width="25.375" style="1635" customWidth="1"/>
    <col min="13831" max="13831" width="7.875" style="1635" customWidth="1"/>
    <col min="13832" max="13832" width="9" style="1635" customWidth="1"/>
    <col min="13833" max="13834" width="10.625" style="1635" customWidth="1"/>
    <col min="13835" max="13835" width="14.375" style="1635" customWidth="1"/>
    <col min="13836" max="13836" width="6.25" style="1635" customWidth="1"/>
    <col min="13837" max="13837" width="31" style="1635" customWidth="1"/>
    <col min="13838" max="13838" width="7.875" style="1635" customWidth="1"/>
    <col min="13839" max="14080" width="9" style="1635"/>
    <col min="14081" max="14081" width="32.75" style="1635" customWidth="1"/>
    <col min="14082" max="14082" width="6.25" style="1635" customWidth="1"/>
    <col min="14083" max="14083" width="7.875" style="1635" customWidth="1"/>
    <col min="14084" max="14085" width="13.875" style="1635" customWidth="1"/>
    <col min="14086" max="14086" width="25.375" style="1635" customWidth="1"/>
    <col min="14087" max="14087" width="7.875" style="1635" customWidth="1"/>
    <col min="14088" max="14088" width="9" style="1635" customWidth="1"/>
    <col min="14089" max="14090" width="10.625" style="1635" customWidth="1"/>
    <col min="14091" max="14091" width="14.375" style="1635" customWidth="1"/>
    <col min="14092" max="14092" width="6.25" style="1635" customWidth="1"/>
    <col min="14093" max="14093" width="31" style="1635" customWidth="1"/>
    <col min="14094" max="14094" width="7.875" style="1635" customWidth="1"/>
    <col min="14095" max="14336" width="9" style="1635"/>
    <col min="14337" max="14337" width="32.75" style="1635" customWidth="1"/>
    <col min="14338" max="14338" width="6.25" style="1635" customWidth="1"/>
    <col min="14339" max="14339" width="7.875" style="1635" customWidth="1"/>
    <col min="14340" max="14341" width="13.875" style="1635" customWidth="1"/>
    <col min="14342" max="14342" width="25.375" style="1635" customWidth="1"/>
    <col min="14343" max="14343" width="7.875" style="1635" customWidth="1"/>
    <col min="14344" max="14344" width="9" style="1635" customWidth="1"/>
    <col min="14345" max="14346" width="10.625" style="1635" customWidth="1"/>
    <col min="14347" max="14347" width="14.375" style="1635" customWidth="1"/>
    <col min="14348" max="14348" width="6.25" style="1635" customWidth="1"/>
    <col min="14349" max="14349" width="31" style="1635" customWidth="1"/>
    <col min="14350" max="14350" width="7.875" style="1635" customWidth="1"/>
    <col min="14351" max="14592" width="9" style="1635"/>
    <col min="14593" max="14593" width="32.75" style="1635" customWidth="1"/>
    <col min="14594" max="14594" width="6.25" style="1635" customWidth="1"/>
    <col min="14595" max="14595" width="7.875" style="1635" customWidth="1"/>
    <col min="14596" max="14597" width="13.875" style="1635" customWidth="1"/>
    <col min="14598" max="14598" width="25.375" style="1635" customWidth="1"/>
    <col min="14599" max="14599" width="7.875" style="1635" customWidth="1"/>
    <col min="14600" max="14600" width="9" style="1635" customWidth="1"/>
    <col min="14601" max="14602" width="10.625" style="1635" customWidth="1"/>
    <col min="14603" max="14603" width="14.375" style="1635" customWidth="1"/>
    <col min="14604" max="14604" width="6.25" style="1635" customWidth="1"/>
    <col min="14605" max="14605" width="31" style="1635" customWidth="1"/>
    <col min="14606" max="14606" width="7.875" style="1635" customWidth="1"/>
    <col min="14607" max="14848" width="9" style="1635"/>
    <col min="14849" max="14849" width="32.75" style="1635" customWidth="1"/>
    <col min="14850" max="14850" width="6.25" style="1635" customWidth="1"/>
    <col min="14851" max="14851" width="7.875" style="1635" customWidth="1"/>
    <col min="14852" max="14853" width="13.875" style="1635" customWidth="1"/>
    <col min="14854" max="14854" width="25.375" style="1635" customWidth="1"/>
    <col min="14855" max="14855" width="7.875" style="1635" customWidth="1"/>
    <col min="14856" max="14856" width="9" style="1635" customWidth="1"/>
    <col min="14857" max="14858" width="10.625" style="1635" customWidth="1"/>
    <col min="14859" max="14859" width="14.375" style="1635" customWidth="1"/>
    <col min="14860" max="14860" width="6.25" style="1635" customWidth="1"/>
    <col min="14861" max="14861" width="31" style="1635" customWidth="1"/>
    <col min="14862" max="14862" width="7.875" style="1635" customWidth="1"/>
    <col min="14863" max="15104" width="9" style="1635"/>
    <col min="15105" max="15105" width="32.75" style="1635" customWidth="1"/>
    <col min="15106" max="15106" width="6.25" style="1635" customWidth="1"/>
    <col min="15107" max="15107" width="7.875" style="1635" customWidth="1"/>
    <col min="15108" max="15109" width="13.875" style="1635" customWidth="1"/>
    <col min="15110" max="15110" width="25.375" style="1635" customWidth="1"/>
    <col min="15111" max="15111" width="7.875" style="1635" customWidth="1"/>
    <col min="15112" max="15112" width="9" style="1635" customWidth="1"/>
    <col min="15113" max="15114" width="10.625" style="1635" customWidth="1"/>
    <col min="15115" max="15115" width="14.375" style="1635" customWidth="1"/>
    <col min="15116" max="15116" width="6.25" style="1635" customWidth="1"/>
    <col min="15117" max="15117" width="31" style="1635" customWidth="1"/>
    <col min="15118" max="15118" width="7.875" style="1635" customWidth="1"/>
    <col min="15119" max="15360" width="9" style="1635"/>
    <col min="15361" max="15361" width="32.75" style="1635" customWidth="1"/>
    <col min="15362" max="15362" width="6.25" style="1635" customWidth="1"/>
    <col min="15363" max="15363" width="7.875" style="1635" customWidth="1"/>
    <col min="15364" max="15365" width="13.875" style="1635" customWidth="1"/>
    <col min="15366" max="15366" width="25.375" style="1635" customWidth="1"/>
    <col min="15367" max="15367" width="7.875" style="1635" customWidth="1"/>
    <col min="15368" max="15368" width="9" style="1635" customWidth="1"/>
    <col min="15369" max="15370" width="10.625" style="1635" customWidth="1"/>
    <col min="15371" max="15371" width="14.375" style="1635" customWidth="1"/>
    <col min="15372" max="15372" width="6.25" style="1635" customWidth="1"/>
    <col min="15373" max="15373" width="31" style="1635" customWidth="1"/>
    <col min="15374" max="15374" width="7.875" style="1635" customWidth="1"/>
    <col min="15375" max="15616" width="9" style="1635"/>
    <col min="15617" max="15617" width="32.75" style="1635" customWidth="1"/>
    <col min="15618" max="15618" width="6.25" style="1635" customWidth="1"/>
    <col min="15619" max="15619" width="7.875" style="1635" customWidth="1"/>
    <col min="15620" max="15621" width="13.875" style="1635" customWidth="1"/>
    <col min="15622" max="15622" width="25.375" style="1635" customWidth="1"/>
    <col min="15623" max="15623" width="7.875" style="1635" customWidth="1"/>
    <col min="15624" max="15624" width="9" style="1635" customWidth="1"/>
    <col min="15625" max="15626" width="10.625" style="1635" customWidth="1"/>
    <col min="15627" max="15627" width="14.375" style="1635" customWidth="1"/>
    <col min="15628" max="15628" width="6.25" style="1635" customWidth="1"/>
    <col min="15629" max="15629" width="31" style="1635" customWidth="1"/>
    <col min="15630" max="15630" width="7.875" style="1635" customWidth="1"/>
    <col min="15631" max="15872" width="9" style="1635"/>
    <col min="15873" max="15873" width="32.75" style="1635" customWidth="1"/>
    <col min="15874" max="15874" width="6.25" style="1635" customWidth="1"/>
    <col min="15875" max="15875" width="7.875" style="1635" customWidth="1"/>
    <col min="15876" max="15877" width="13.875" style="1635" customWidth="1"/>
    <col min="15878" max="15878" width="25.375" style="1635" customWidth="1"/>
    <col min="15879" max="15879" width="7.875" style="1635" customWidth="1"/>
    <col min="15880" max="15880" width="9" style="1635" customWidth="1"/>
    <col min="15881" max="15882" width="10.625" style="1635" customWidth="1"/>
    <col min="15883" max="15883" width="14.375" style="1635" customWidth="1"/>
    <col min="15884" max="15884" width="6.25" style="1635" customWidth="1"/>
    <col min="15885" max="15885" width="31" style="1635" customWidth="1"/>
    <col min="15886" max="15886" width="7.875" style="1635" customWidth="1"/>
    <col min="15887" max="16128" width="9" style="1635"/>
    <col min="16129" max="16129" width="32.75" style="1635" customWidth="1"/>
    <col min="16130" max="16130" width="6.25" style="1635" customWidth="1"/>
    <col min="16131" max="16131" width="7.875" style="1635" customWidth="1"/>
    <col min="16132" max="16133" width="13.875" style="1635" customWidth="1"/>
    <col min="16134" max="16134" width="25.375" style="1635" customWidth="1"/>
    <col min="16135" max="16135" width="7.875" style="1635" customWidth="1"/>
    <col min="16136" max="16136" width="9" style="1635" customWidth="1"/>
    <col min="16137" max="16138" width="10.625" style="1635" customWidth="1"/>
    <col min="16139" max="16139" width="14.375" style="1635" customWidth="1"/>
    <col min="16140" max="16140" width="6.25" style="1635" customWidth="1"/>
    <col min="16141" max="16141" width="31" style="1635" customWidth="1"/>
    <col min="16142" max="16142" width="7.875" style="1635" customWidth="1"/>
    <col min="16143" max="16384" width="9" style="1635"/>
  </cols>
  <sheetData>
    <row r="1" spans="1:14">
      <c r="A1" s="1635" t="s">
        <v>3054</v>
      </c>
      <c r="B1" s="1635" t="s">
        <v>3055</v>
      </c>
      <c r="C1" s="1635" t="s">
        <v>3056</v>
      </c>
      <c r="D1" s="1635" t="s">
        <v>3057</v>
      </c>
      <c r="E1" s="1635" t="s">
        <v>3058</v>
      </c>
      <c r="F1" s="1635" t="s">
        <v>3059</v>
      </c>
      <c r="G1" s="1635" t="s">
        <v>3060</v>
      </c>
      <c r="H1" s="1635" t="s">
        <v>3061</v>
      </c>
      <c r="I1" s="1635" t="s">
        <v>3062</v>
      </c>
      <c r="J1" s="1635" t="s">
        <v>3063</v>
      </c>
      <c r="K1" s="1635" t="s">
        <v>3064</v>
      </c>
      <c r="L1" s="1635" t="s">
        <v>3065</v>
      </c>
      <c r="M1" s="1635" t="s">
        <v>3066</v>
      </c>
      <c r="N1" s="1635" t="s">
        <v>3067</v>
      </c>
    </row>
    <row r="2" spans="1:14">
      <c r="A2" s="1635" t="s">
        <v>3068</v>
      </c>
      <c r="B2" s="1635" t="s">
        <v>3069</v>
      </c>
      <c r="C2" s="1635" t="s">
        <v>3070</v>
      </c>
      <c r="D2" s="1635">
        <v>26019</v>
      </c>
      <c r="E2" s="1635">
        <v>65047.5</v>
      </c>
      <c r="F2" s="1635" t="s">
        <v>3071</v>
      </c>
      <c r="G2" s="1635" t="s">
        <v>3072</v>
      </c>
      <c r="H2" s="1635" t="s">
        <v>3073</v>
      </c>
      <c r="I2" s="1635">
        <v>1560</v>
      </c>
      <c r="J2" s="1635">
        <v>1580</v>
      </c>
      <c r="K2" s="1635">
        <v>242.9</v>
      </c>
      <c r="L2" s="1635">
        <v>1.28</v>
      </c>
      <c r="M2" s="1635" t="s">
        <v>3074</v>
      </c>
      <c r="N2" s="1635" t="s">
        <v>3075</v>
      </c>
    </row>
    <row r="3" spans="1:14">
      <c r="A3" s="1635" t="s">
        <v>3076</v>
      </c>
      <c r="B3" s="1635" t="s">
        <v>3069</v>
      </c>
      <c r="C3" s="1635" t="s">
        <v>3070</v>
      </c>
      <c r="D3" s="1635">
        <v>33333.339999999997</v>
      </c>
      <c r="E3" s="1635">
        <v>96666.69</v>
      </c>
      <c r="F3" s="1635" t="s">
        <v>3077</v>
      </c>
      <c r="G3" s="1635" t="s">
        <v>3072</v>
      </c>
      <c r="H3" s="1635" t="s">
        <v>3078</v>
      </c>
      <c r="I3" s="1635">
        <v>5000</v>
      </c>
      <c r="J3" s="1635">
        <v>5000</v>
      </c>
      <c r="K3" s="1635">
        <v>517.24</v>
      </c>
      <c r="L3" s="1635">
        <v>0</v>
      </c>
      <c r="M3" s="1635" t="s">
        <v>3079</v>
      </c>
      <c r="N3" s="1635" t="s">
        <v>3075</v>
      </c>
    </row>
    <row r="4" spans="1:14">
      <c r="A4" s="1635" t="s">
        <v>3080</v>
      </c>
      <c r="B4" s="1635" t="s">
        <v>3069</v>
      </c>
      <c r="C4" s="1635" t="s">
        <v>3070</v>
      </c>
      <c r="D4" s="1635">
        <v>26667</v>
      </c>
      <c r="E4" s="1635">
        <v>77334.3</v>
      </c>
      <c r="F4" s="1635" t="s">
        <v>3077</v>
      </c>
      <c r="G4" s="1635" t="s">
        <v>3072</v>
      </c>
      <c r="H4" s="1635" t="s">
        <v>3078</v>
      </c>
      <c r="I4" s="1635">
        <v>2885</v>
      </c>
      <c r="J4" s="1635">
        <v>2885</v>
      </c>
      <c r="K4" s="1635">
        <v>373.06</v>
      </c>
      <c r="L4" s="1635">
        <v>0</v>
      </c>
      <c r="M4" s="1635" t="s">
        <v>3081</v>
      </c>
      <c r="N4" s="1635" t="s">
        <v>3075</v>
      </c>
    </row>
    <row r="5" spans="1:14" s="2948" customFormat="1">
      <c r="A5" s="2949" t="s">
        <v>3148</v>
      </c>
      <c r="B5" s="2948" t="s">
        <v>3069</v>
      </c>
      <c r="C5" s="2948" t="s">
        <v>3070</v>
      </c>
      <c r="D5" s="2948">
        <v>25271.8</v>
      </c>
      <c r="E5" s="2948">
        <v>75815.399999999994</v>
      </c>
      <c r="F5" s="2948" t="s">
        <v>3082</v>
      </c>
      <c r="G5" s="2948" t="s">
        <v>3072</v>
      </c>
      <c r="H5" s="2948" t="s">
        <v>3083</v>
      </c>
      <c r="I5" s="2948">
        <v>7590</v>
      </c>
      <c r="J5" s="2948">
        <v>7630</v>
      </c>
      <c r="K5" s="2948">
        <v>1006.38</v>
      </c>
      <c r="L5" s="2948">
        <v>0.53</v>
      </c>
      <c r="M5" s="2948" t="s">
        <v>3084</v>
      </c>
      <c r="N5" s="2948" t="s">
        <v>3075</v>
      </c>
    </row>
    <row r="6" spans="1:14">
      <c r="A6" s="1635" t="s">
        <v>3085</v>
      </c>
      <c r="B6" s="1635" t="s">
        <v>3069</v>
      </c>
      <c r="C6" s="1635" t="s">
        <v>3070</v>
      </c>
      <c r="D6" s="1635">
        <v>1341.4</v>
      </c>
      <c r="E6" s="1635">
        <v>2146.2399999999998</v>
      </c>
      <c r="F6" s="1635" t="s">
        <v>3086</v>
      </c>
      <c r="G6" s="1635" t="s">
        <v>3072</v>
      </c>
      <c r="H6" s="1635" t="s">
        <v>3083</v>
      </c>
      <c r="I6" s="1635" t="s">
        <v>1327</v>
      </c>
      <c r="J6" s="1635">
        <v>161</v>
      </c>
      <c r="K6" s="1635">
        <v>750.14</v>
      </c>
      <c r="L6" s="1635" t="s">
        <v>1327</v>
      </c>
      <c r="M6" s="1635" t="s">
        <v>3087</v>
      </c>
      <c r="N6" s="1635" t="s">
        <v>3075</v>
      </c>
    </row>
    <row r="7" spans="1:14" s="2948" customFormat="1">
      <c r="A7" s="2948" t="s">
        <v>3088</v>
      </c>
      <c r="B7" s="2948" t="s">
        <v>3069</v>
      </c>
      <c r="C7" s="2948" t="s">
        <v>3070</v>
      </c>
      <c r="D7" s="2948">
        <v>138154.20000000001</v>
      </c>
      <c r="E7" s="2948">
        <v>414462.6</v>
      </c>
      <c r="F7" s="2948" t="s">
        <v>3082</v>
      </c>
      <c r="G7" s="2948" t="s">
        <v>3072</v>
      </c>
      <c r="H7" s="2948" t="s">
        <v>3083</v>
      </c>
      <c r="I7" s="2948">
        <v>41500</v>
      </c>
      <c r="J7" s="2948">
        <v>41500</v>
      </c>
      <c r="K7" s="2948">
        <v>1001.29</v>
      </c>
      <c r="L7" s="2948">
        <v>0</v>
      </c>
      <c r="M7" s="2948" t="s">
        <v>3089</v>
      </c>
      <c r="N7" s="2948" t="s">
        <v>3075</v>
      </c>
    </row>
    <row r="8" spans="1:14">
      <c r="A8" s="1635" t="s">
        <v>3090</v>
      </c>
      <c r="B8" s="1635" t="s">
        <v>3069</v>
      </c>
      <c r="C8" s="1635" t="s">
        <v>3070</v>
      </c>
      <c r="D8" s="1635">
        <v>7533</v>
      </c>
      <c r="E8" s="1635">
        <v>26365.5</v>
      </c>
      <c r="F8" s="1635" t="s">
        <v>3091</v>
      </c>
      <c r="G8" s="1635" t="s">
        <v>3072</v>
      </c>
      <c r="H8" s="1635" t="s">
        <v>3092</v>
      </c>
      <c r="I8" s="1635">
        <v>1130</v>
      </c>
      <c r="J8" s="1635">
        <v>1130</v>
      </c>
      <c r="K8" s="1635">
        <v>428.58</v>
      </c>
      <c r="L8" s="1635">
        <v>0</v>
      </c>
      <c r="M8" s="1635" t="s">
        <v>3093</v>
      </c>
      <c r="N8" s="1635" t="s">
        <v>3075</v>
      </c>
    </row>
    <row r="9" spans="1:14">
      <c r="A9" s="1635" t="s">
        <v>3094</v>
      </c>
      <c r="B9" s="1635" t="s">
        <v>3069</v>
      </c>
      <c r="C9" s="1635" t="s">
        <v>3070</v>
      </c>
      <c r="D9" s="1635">
        <v>8667.4</v>
      </c>
      <c r="E9" s="1635">
        <v>15601.32</v>
      </c>
      <c r="F9" s="1635" t="s">
        <v>3095</v>
      </c>
      <c r="G9" s="1635" t="s">
        <v>3072</v>
      </c>
      <c r="H9" s="1635" t="s">
        <v>3096</v>
      </c>
      <c r="I9" s="1635">
        <v>420</v>
      </c>
      <c r="J9" s="1635">
        <v>425</v>
      </c>
      <c r="K9" s="1635">
        <v>272.41000000000003</v>
      </c>
      <c r="L9" s="1635">
        <v>1.19</v>
      </c>
      <c r="M9" s="1635" t="s">
        <v>3074</v>
      </c>
      <c r="N9" s="1635" t="s">
        <v>3075</v>
      </c>
    </row>
    <row r="10" spans="1:14">
      <c r="A10" s="1635" t="s">
        <v>3097</v>
      </c>
      <c r="B10" s="1635" t="s">
        <v>3069</v>
      </c>
      <c r="C10" s="1635" t="s">
        <v>3070</v>
      </c>
      <c r="D10" s="1635">
        <v>13079.43</v>
      </c>
      <c r="E10" s="1635">
        <v>45778.01</v>
      </c>
      <c r="F10" s="1635" t="s">
        <v>3098</v>
      </c>
      <c r="G10" s="1635" t="s">
        <v>3072</v>
      </c>
      <c r="H10" s="1635" t="s">
        <v>3099</v>
      </c>
      <c r="I10" s="1635">
        <v>1337</v>
      </c>
      <c r="J10" s="1635">
        <v>1347</v>
      </c>
      <c r="K10" s="1635">
        <v>294.25</v>
      </c>
      <c r="L10" s="1635">
        <v>0.75</v>
      </c>
      <c r="M10" s="1635" t="s">
        <v>3100</v>
      </c>
      <c r="N10" s="1635" t="s">
        <v>3075</v>
      </c>
    </row>
    <row r="11" spans="1:14">
      <c r="A11" s="1635" t="s">
        <v>3101</v>
      </c>
      <c r="B11" s="1635" t="s">
        <v>3069</v>
      </c>
      <c r="C11" s="1635" t="s">
        <v>3070</v>
      </c>
      <c r="D11" s="1635">
        <v>29403.1</v>
      </c>
      <c r="E11" s="1635">
        <v>61746.51</v>
      </c>
      <c r="F11" s="1635" t="s">
        <v>3102</v>
      </c>
      <c r="G11" s="1635" t="s">
        <v>3072</v>
      </c>
      <c r="H11" s="1635" t="s">
        <v>3103</v>
      </c>
      <c r="I11" s="1635">
        <v>3100</v>
      </c>
      <c r="J11" s="1635">
        <v>3100</v>
      </c>
      <c r="K11" s="1635">
        <v>502.05</v>
      </c>
      <c r="L11" s="1635">
        <v>0</v>
      </c>
      <c r="M11" s="1635" t="s">
        <v>3104</v>
      </c>
      <c r="N11" s="1635" t="s">
        <v>3075</v>
      </c>
    </row>
    <row r="12" spans="1:14">
      <c r="A12" s="1635" t="s">
        <v>3105</v>
      </c>
      <c r="B12" s="1635" t="s">
        <v>3069</v>
      </c>
      <c r="C12" s="1635" t="s">
        <v>3070</v>
      </c>
      <c r="D12" s="1635">
        <v>9890.2099999999991</v>
      </c>
      <c r="E12" s="1635">
        <v>15824.34</v>
      </c>
      <c r="F12" s="1635" t="s">
        <v>3106</v>
      </c>
      <c r="G12" s="1635" t="s">
        <v>3072</v>
      </c>
      <c r="H12" s="1635" t="s">
        <v>3107</v>
      </c>
      <c r="I12" s="1635">
        <v>770</v>
      </c>
      <c r="J12" s="1635">
        <v>800</v>
      </c>
      <c r="K12" s="1635">
        <v>505.55</v>
      </c>
      <c r="L12" s="1635">
        <v>3.9</v>
      </c>
      <c r="M12" s="1635" t="s">
        <v>3108</v>
      </c>
      <c r="N12" s="1635" t="s">
        <v>3075</v>
      </c>
    </row>
    <row r="13" spans="1:14">
      <c r="A13" s="1635" t="s">
        <v>3109</v>
      </c>
      <c r="B13" s="1635" t="s">
        <v>3069</v>
      </c>
      <c r="C13" s="1635" t="s">
        <v>3070</v>
      </c>
      <c r="D13" s="1635">
        <v>42841.9</v>
      </c>
      <c r="E13" s="1635">
        <v>85683.8</v>
      </c>
      <c r="F13" s="1635" t="s">
        <v>3110</v>
      </c>
      <c r="G13" s="1635" t="s">
        <v>3072</v>
      </c>
      <c r="H13" s="1635" t="s">
        <v>3111</v>
      </c>
      <c r="I13" s="1635">
        <v>2100</v>
      </c>
      <c r="J13" s="1635">
        <v>2100</v>
      </c>
      <c r="K13" s="1635">
        <v>245.09</v>
      </c>
      <c r="L13" s="1635">
        <v>0</v>
      </c>
      <c r="M13" s="1635" t="s">
        <v>3112</v>
      </c>
      <c r="N13" s="1635" t="s">
        <v>3075</v>
      </c>
    </row>
    <row r="14" spans="1:14">
      <c r="A14" s="1635" t="s">
        <v>3113</v>
      </c>
      <c r="B14" s="1635" t="s">
        <v>3069</v>
      </c>
      <c r="C14" s="1635" t="s">
        <v>3070</v>
      </c>
      <c r="D14" s="1635">
        <v>56490.2</v>
      </c>
      <c r="E14" s="1635">
        <v>90384.320000000007</v>
      </c>
      <c r="F14" s="1635" t="s">
        <v>3106</v>
      </c>
      <c r="G14" s="1635" t="s">
        <v>3072</v>
      </c>
      <c r="H14" s="1635" t="s">
        <v>3114</v>
      </c>
      <c r="I14" s="1635">
        <v>5932</v>
      </c>
      <c r="J14" s="1635">
        <v>5942</v>
      </c>
      <c r="K14" s="1635">
        <v>657.4</v>
      </c>
      <c r="L14" s="1635">
        <v>0.17</v>
      </c>
      <c r="M14" s="1635" t="s">
        <v>3115</v>
      </c>
      <c r="N14" s="1635" t="s">
        <v>3075</v>
      </c>
    </row>
    <row r="15" spans="1:14">
      <c r="A15" s="1635" t="s">
        <v>3113</v>
      </c>
      <c r="B15" s="1635" t="s">
        <v>3069</v>
      </c>
      <c r="C15" s="1635" t="s">
        <v>3070</v>
      </c>
      <c r="D15" s="1635">
        <v>53918.09</v>
      </c>
      <c r="E15" s="1635">
        <v>86268.94</v>
      </c>
      <c r="F15" s="1635" t="s">
        <v>3106</v>
      </c>
      <c r="G15" s="1635" t="s">
        <v>3072</v>
      </c>
      <c r="H15" s="1635" t="s">
        <v>3114</v>
      </c>
      <c r="I15" s="1635">
        <v>5662</v>
      </c>
      <c r="J15" s="1635">
        <v>5672</v>
      </c>
      <c r="K15" s="1635">
        <v>657.48</v>
      </c>
      <c r="L15" s="1635">
        <v>0.18</v>
      </c>
      <c r="M15" s="1635" t="s">
        <v>3115</v>
      </c>
      <c r="N15" s="1635" t="s">
        <v>3075</v>
      </c>
    </row>
    <row r="16" spans="1:14">
      <c r="A16" s="1635" t="s">
        <v>3116</v>
      </c>
      <c r="B16" s="1635" t="s">
        <v>3069</v>
      </c>
      <c r="C16" s="1635" t="s">
        <v>3070</v>
      </c>
      <c r="D16" s="1635">
        <v>44428</v>
      </c>
      <c r="E16" s="1635">
        <v>133284</v>
      </c>
      <c r="F16" s="1635" t="s">
        <v>3082</v>
      </c>
      <c r="G16" s="1635" t="s">
        <v>3072</v>
      </c>
      <c r="H16" s="1635" t="s">
        <v>3117</v>
      </c>
      <c r="I16" s="1635">
        <v>13334</v>
      </c>
      <c r="J16" s="1635">
        <v>13394</v>
      </c>
      <c r="K16" s="1635">
        <v>1004.91</v>
      </c>
      <c r="L16" s="1635">
        <v>0.45</v>
      </c>
      <c r="M16" s="1635" t="s">
        <v>3118</v>
      </c>
      <c r="N16" s="1635" t="s">
        <v>3075</v>
      </c>
    </row>
    <row r="17" spans="1:14">
      <c r="A17" s="1635" t="s">
        <v>3119</v>
      </c>
      <c r="B17" s="1635" t="s">
        <v>3069</v>
      </c>
      <c r="C17" s="1635" t="s">
        <v>3070</v>
      </c>
      <c r="D17" s="1635">
        <v>52486.57</v>
      </c>
      <c r="E17" s="1635">
        <v>157459.71</v>
      </c>
      <c r="F17" s="1635" t="s">
        <v>3082</v>
      </c>
      <c r="G17" s="1635" t="s">
        <v>3072</v>
      </c>
      <c r="H17" s="1635" t="s">
        <v>3117</v>
      </c>
      <c r="I17" s="1635">
        <v>15777</v>
      </c>
      <c r="J17" s="1635">
        <v>15857</v>
      </c>
      <c r="K17" s="1635">
        <v>1007.04</v>
      </c>
      <c r="L17" s="1635">
        <v>0.51</v>
      </c>
      <c r="M17" s="1635" t="s">
        <v>3120</v>
      </c>
      <c r="N17" s="1635" t="s">
        <v>3075</v>
      </c>
    </row>
    <row r="18" spans="1:14">
      <c r="A18" s="1635" t="s">
        <v>3121</v>
      </c>
      <c r="B18" s="1635" t="s">
        <v>3069</v>
      </c>
      <c r="C18" s="1635" t="s">
        <v>3070</v>
      </c>
      <c r="D18" s="1635">
        <v>12036.2</v>
      </c>
      <c r="E18" s="1635">
        <v>36108.6</v>
      </c>
      <c r="F18" s="1635" t="s">
        <v>3122</v>
      </c>
      <c r="G18" s="1635" t="s">
        <v>3072</v>
      </c>
      <c r="H18" s="1635" t="s">
        <v>3117</v>
      </c>
      <c r="I18" s="1635">
        <v>2292</v>
      </c>
      <c r="J18" s="1635">
        <v>2312</v>
      </c>
      <c r="K18" s="1635">
        <v>640.28</v>
      </c>
      <c r="L18" s="1635">
        <v>0.87</v>
      </c>
      <c r="M18" s="1635" t="s">
        <v>3123</v>
      </c>
      <c r="N18" s="1635" t="s">
        <v>3075</v>
      </c>
    </row>
    <row r="19" spans="1:14">
      <c r="A19" s="1635" t="s">
        <v>3116</v>
      </c>
      <c r="B19" s="1635" t="s">
        <v>3069</v>
      </c>
      <c r="C19" s="1635" t="s">
        <v>3070</v>
      </c>
      <c r="D19" s="1635">
        <v>88587.33</v>
      </c>
      <c r="E19" s="1635">
        <v>265761.99</v>
      </c>
      <c r="F19" s="1635" t="s">
        <v>3082</v>
      </c>
      <c r="G19" s="1635" t="s">
        <v>3072</v>
      </c>
      <c r="H19" s="1635" t="s">
        <v>3124</v>
      </c>
      <c r="I19" s="1635">
        <v>26600</v>
      </c>
      <c r="J19" s="1635">
        <v>26600</v>
      </c>
      <c r="K19" s="1635">
        <v>1000.89</v>
      </c>
      <c r="L19" s="1635">
        <v>0</v>
      </c>
      <c r="M19" s="1635" t="s">
        <v>3125</v>
      </c>
      <c r="N19" s="1635" t="s">
        <v>3075</v>
      </c>
    </row>
    <row r="20" spans="1:14" s="2948" customFormat="1">
      <c r="A20" s="2948" t="s">
        <v>3126</v>
      </c>
      <c r="B20" s="2948" t="s">
        <v>3069</v>
      </c>
      <c r="C20" s="2948" t="s">
        <v>3070</v>
      </c>
      <c r="D20" s="2948">
        <v>93357.34</v>
      </c>
      <c r="E20" s="2948">
        <v>280072.02</v>
      </c>
      <c r="F20" s="2948" t="s">
        <v>3082</v>
      </c>
      <c r="G20" s="2948" t="s">
        <v>3072</v>
      </c>
      <c r="H20" s="2948" t="s">
        <v>3127</v>
      </c>
      <c r="I20" s="2948">
        <v>28050</v>
      </c>
      <c r="J20" s="2948">
        <v>28050</v>
      </c>
      <c r="K20" s="2948">
        <v>1001.52</v>
      </c>
      <c r="L20" s="2948">
        <v>0</v>
      </c>
      <c r="M20" s="2948" t="s">
        <v>3128</v>
      </c>
      <c r="N20" s="2948" t="s">
        <v>3075</v>
      </c>
    </row>
    <row r="21" spans="1:14">
      <c r="A21" s="1635" t="s">
        <v>3129</v>
      </c>
      <c r="B21" s="1635" t="s">
        <v>3069</v>
      </c>
      <c r="C21" s="1635" t="s">
        <v>3070</v>
      </c>
      <c r="D21" s="1635">
        <v>11518.53</v>
      </c>
      <c r="E21" s="1635">
        <v>25340.77</v>
      </c>
      <c r="F21" s="1635" t="s">
        <v>3130</v>
      </c>
      <c r="G21" s="1635" t="s">
        <v>3072</v>
      </c>
      <c r="H21" s="1635" t="s">
        <v>3127</v>
      </c>
      <c r="I21" s="1635">
        <v>1120</v>
      </c>
      <c r="J21" s="1635">
        <v>1120</v>
      </c>
      <c r="K21" s="1635">
        <v>441.98</v>
      </c>
      <c r="L21" s="1635">
        <v>0</v>
      </c>
      <c r="M21" s="1635" t="s">
        <v>3131</v>
      </c>
      <c r="N21" s="1635" t="s">
        <v>3075</v>
      </c>
    </row>
    <row r="22" spans="1:14">
      <c r="A22" s="1635" t="s">
        <v>3132</v>
      </c>
      <c r="B22" s="1635" t="s">
        <v>3069</v>
      </c>
      <c r="C22" s="1635" t="s">
        <v>3070</v>
      </c>
      <c r="D22" s="1635">
        <v>12174</v>
      </c>
      <c r="E22" s="1635">
        <v>36522</v>
      </c>
      <c r="F22" s="1635" t="s">
        <v>3133</v>
      </c>
      <c r="G22" s="1635" t="s">
        <v>3072</v>
      </c>
      <c r="H22" s="1635" t="s">
        <v>3134</v>
      </c>
      <c r="I22" s="1635">
        <v>3160</v>
      </c>
      <c r="J22" s="1635">
        <v>3160</v>
      </c>
      <c r="K22" s="1635">
        <v>865.23</v>
      </c>
      <c r="L22" s="1635">
        <v>0</v>
      </c>
      <c r="M22" s="1635" t="s">
        <v>3135</v>
      </c>
      <c r="N22" s="1635" t="s">
        <v>3075</v>
      </c>
    </row>
    <row r="23" spans="1:14">
      <c r="A23" s="1635" t="s">
        <v>3136</v>
      </c>
      <c r="B23" s="1635" t="s">
        <v>3069</v>
      </c>
      <c r="C23" s="1635" t="s">
        <v>3070</v>
      </c>
      <c r="D23" s="1635">
        <v>4957.9799999999996</v>
      </c>
      <c r="E23" s="1635">
        <v>14873.94</v>
      </c>
      <c r="F23" s="1635" t="s">
        <v>3082</v>
      </c>
      <c r="G23" s="1635" t="s">
        <v>3072</v>
      </c>
      <c r="H23" s="1635" t="s">
        <v>3137</v>
      </c>
      <c r="I23" s="1635">
        <v>300</v>
      </c>
      <c r="J23" s="1635">
        <v>305</v>
      </c>
      <c r="K23" s="1635">
        <v>205.06</v>
      </c>
      <c r="L23" s="1635">
        <v>1.67</v>
      </c>
      <c r="M23" s="1635" t="s">
        <v>3138</v>
      </c>
      <c r="N23" s="1635" t="s">
        <v>3075</v>
      </c>
    </row>
    <row r="24" spans="1:14">
      <c r="A24" s="1635" t="s">
        <v>3136</v>
      </c>
      <c r="B24" s="1635" t="s">
        <v>3069</v>
      </c>
      <c r="C24" s="1635" t="s">
        <v>3070</v>
      </c>
      <c r="D24" s="1635">
        <v>3705.69</v>
      </c>
      <c r="E24" s="1635">
        <v>11117.07</v>
      </c>
      <c r="F24" s="1635" t="s">
        <v>3082</v>
      </c>
      <c r="G24" s="1635" t="s">
        <v>3072</v>
      </c>
      <c r="H24" s="1635" t="s">
        <v>3137</v>
      </c>
      <c r="I24" s="1635">
        <v>220</v>
      </c>
      <c r="J24" s="1635">
        <v>223</v>
      </c>
      <c r="K24" s="1635">
        <v>200.59</v>
      </c>
      <c r="L24" s="1635">
        <v>1.36</v>
      </c>
      <c r="M24" s="1635" t="s">
        <v>3138</v>
      </c>
      <c r="N24" s="1635" t="s">
        <v>3075</v>
      </c>
    </row>
    <row r="25" spans="1:14">
      <c r="A25" s="1635" t="s">
        <v>3136</v>
      </c>
      <c r="B25" s="1635" t="s">
        <v>3069</v>
      </c>
      <c r="C25" s="1635" t="s">
        <v>3070</v>
      </c>
      <c r="D25" s="1635">
        <v>4413.92</v>
      </c>
      <c r="E25" s="1635">
        <v>13241.76</v>
      </c>
      <c r="F25" s="1635" t="s">
        <v>3082</v>
      </c>
      <c r="G25" s="1635" t="s">
        <v>3072</v>
      </c>
      <c r="H25" s="1635" t="s">
        <v>3137</v>
      </c>
      <c r="I25" s="1635">
        <v>255</v>
      </c>
      <c r="J25" s="1635">
        <v>260</v>
      </c>
      <c r="K25" s="1635">
        <v>196.34</v>
      </c>
      <c r="L25" s="1635">
        <v>1.96</v>
      </c>
      <c r="M25" s="1635" t="s">
        <v>3138</v>
      </c>
      <c r="N25" s="1635" t="s">
        <v>3075</v>
      </c>
    </row>
    <row r="26" spans="1:14">
      <c r="A26" s="1635" t="s">
        <v>3136</v>
      </c>
      <c r="B26" s="1635" t="s">
        <v>3069</v>
      </c>
      <c r="C26" s="1635" t="s">
        <v>3070</v>
      </c>
      <c r="D26" s="1635">
        <v>7999.97</v>
      </c>
      <c r="E26" s="1635">
        <v>23999.91</v>
      </c>
      <c r="F26" s="1635" t="s">
        <v>3082</v>
      </c>
      <c r="G26" s="1635" t="s">
        <v>3072</v>
      </c>
      <c r="H26" s="1635" t="s">
        <v>3137</v>
      </c>
      <c r="I26" s="1635">
        <v>490</v>
      </c>
      <c r="J26" s="1635">
        <v>498</v>
      </c>
      <c r="K26" s="1635">
        <v>207.5</v>
      </c>
      <c r="L26" s="1635">
        <v>1.63</v>
      </c>
      <c r="M26" s="1635" t="s">
        <v>3138</v>
      </c>
      <c r="N26" s="1635" t="s">
        <v>3075</v>
      </c>
    </row>
    <row r="27" spans="1:14">
      <c r="A27" s="1635" t="s">
        <v>3136</v>
      </c>
      <c r="B27" s="1635" t="s">
        <v>3069</v>
      </c>
      <c r="C27" s="1635" t="s">
        <v>3070</v>
      </c>
      <c r="D27" s="1635">
        <v>2602.8000000000002</v>
      </c>
      <c r="E27" s="1635">
        <v>7808.4</v>
      </c>
      <c r="F27" s="1635" t="s">
        <v>3082</v>
      </c>
      <c r="G27" s="1635" t="s">
        <v>3072</v>
      </c>
      <c r="H27" s="1635" t="s">
        <v>3137</v>
      </c>
      <c r="I27" s="1635">
        <v>150</v>
      </c>
      <c r="J27" s="1635">
        <v>153</v>
      </c>
      <c r="K27" s="1635">
        <v>195.93</v>
      </c>
      <c r="L27" s="1635">
        <v>2</v>
      </c>
      <c r="M27" s="1635" t="s">
        <v>3138</v>
      </c>
      <c r="N27" s="1635" t="s">
        <v>3075</v>
      </c>
    </row>
    <row r="28" spans="1:14">
      <c r="A28" s="1635" t="s">
        <v>3136</v>
      </c>
      <c r="B28" s="1635" t="s">
        <v>3069</v>
      </c>
      <c r="C28" s="1635" t="s">
        <v>3070</v>
      </c>
      <c r="D28" s="1635">
        <v>13122.31</v>
      </c>
      <c r="E28" s="1635">
        <v>39366.93</v>
      </c>
      <c r="F28" s="1635" t="s">
        <v>3082</v>
      </c>
      <c r="G28" s="1635" t="s">
        <v>3072</v>
      </c>
      <c r="H28" s="1635" t="s">
        <v>3137</v>
      </c>
      <c r="I28" s="1635">
        <v>775</v>
      </c>
      <c r="J28" s="1635">
        <v>785</v>
      </c>
      <c r="K28" s="1635">
        <v>199.4</v>
      </c>
      <c r="L28" s="1635">
        <v>1.29</v>
      </c>
      <c r="M28" s="1635" t="s">
        <v>3138</v>
      </c>
      <c r="N28" s="1635" t="s">
        <v>3075</v>
      </c>
    </row>
    <row r="29" spans="1:14" s="2950" customFormat="1">
      <c r="A29" s="2950" t="s">
        <v>3139</v>
      </c>
      <c r="B29" s="2950" t="s">
        <v>3069</v>
      </c>
      <c r="C29" s="2950" t="s">
        <v>3070</v>
      </c>
      <c r="D29" s="2950">
        <v>18596</v>
      </c>
      <c r="E29" s="2950">
        <v>55788</v>
      </c>
      <c r="F29" s="2950" t="s">
        <v>3133</v>
      </c>
      <c r="G29" s="2950" t="s">
        <v>3072</v>
      </c>
      <c r="H29" s="2950" t="s">
        <v>3140</v>
      </c>
      <c r="I29" s="2950">
        <v>5580</v>
      </c>
      <c r="J29" s="2950">
        <v>5580</v>
      </c>
      <c r="K29" s="2950">
        <v>1000.22</v>
      </c>
      <c r="L29" s="2950">
        <v>0</v>
      </c>
      <c r="M29" s="2950" t="s">
        <v>3141</v>
      </c>
      <c r="N29" s="2950" t="s">
        <v>3075</v>
      </c>
    </row>
    <row r="30" spans="1:14">
      <c r="A30" s="1635" t="s">
        <v>3142</v>
      </c>
      <c r="B30" s="1635" t="s">
        <v>3069</v>
      </c>
      <c r="C30" s="1635" t="s">
        <v>3070</v>
      </c>
      <c r="D30" s="1635">
        <v>26829</v>
      </c>
      <c r="E30" s="1635">
        <v>80487</v>
      </c>
      <c r="F30" s="1635" t="s">
        <v>3082</v>
      </c>
      <c r="G30" s="1635" t="s">
        <v>3072</v>
      </c>
      <c r="H30" s="1635" t="s">
        <v>3143</v>
      </c>
      <c r="I30" s="1635">
        <v>5640</v>
      </c>
      <c r="J30" s="1635">
        <v>5640</v>
      </c>
      <c r="K30" s="1635">
        <v>700.73</v>
      </c>
      <c r="L30" s="1635">
        <v>0</v>
      </c>
      <c r="M30" s="1635" t="s">
        <v>3144</v>
      </c>
      <c r="N30" s="1635" t="s">
        <v>3075</v>
      </c>
    </row>
    <row r="31" spans="1:14">
      <c r="A31" s="1635" t="s">
        <v>3145</v>
      </c>
      <c r="B31" s="1635" t="s">
        <v>3069</v>
      </c>
      <c r="C31" s="1635" t="s">
        <v>3070</v>
      </c>
      <c r="D31" s="1635">
        <v>2019.9</v>
      </c>
      <c r="E31" s="1635">
        <v>3635.82</v>
      </c>
      <c r="F31" s="1635" t="s">
        <v>3095</v>
      </c>
      <c r="G31" s="1635" t="s">
        <v>3072</v>
      </c>
      <c r="H31" s="1635" t="s">
        <v>3146</v>
      </c>
      <c r="I31" s="1635">
        <v>130</v>
      </c>
      <c r="J31" s="1635">
        <v>135</v>
      </c>
      <c r="K31" s="1635">
        <v>371.31</v>
      </c>
      <c r="L31" s="1635">
        <v>3.85</v>
      </c>
      <c r="M31" s="1635" t="s">
        <v>3147</v>
      </c>
      <c r="N31" s="1635" t="s">
        <v>3075</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1637</v>
      </c>
      <c r="B2" s="2978" t="s">
        <v>1638</v>
      </c>
      <c r="C2" s="2978" t="s">
        <v>1639</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9"/>
      <c r="B3" s="2979"/>
      <c r="C3" s="2979"/>
      <c r="D3" s="1044" t="s">
        <v>1634</v>
      </c>
      <c r="E3" s="1044" t="s">
        <v>1640</v>
      </c>
      <c r="F3" s="1044" t="s">
        <v>1634</v>
      </c>
      <c r="G3" s="1044" t="s">
        <v>1635</v>
      </c>
      <c r="H3" s="1044" t="s">
        <v>1634</v>
      </c>
      <c r="I3" s="1044" t="s">
        <v>1635</v>
      </c>
    </row>
    <row r="4" spans="1:9" ht="30">
      <c r="A4" s="1973" t="str">
        <f>项目基本情况!S2</f>
        <v>陕西省渭南市开发区东府小区10#住宅楼房地产</v>
      </c>
      <c r="B4" s="1044">
        <f>项目基本情况!C17</f>
        <v>4106</v>
      </c>
      <c r="C4" s="1044">
        <f>项目基本情况!C18</f>
        <v>0</v>
      </c>
      <c r="D4" s="1044" t="e">
        <f ca="1">结果表!D118</f>
        <v>#DIV/0!</v>
      </c>
      <c r="E4" s="1044" t="e">
        <f ca="1">结果表!E118</f>
        <v>#DIV/0!</v>
      </c>
      <c r="F4" s="1044" t="e">
        <f ca="1">结果表!F118</f>
        <v>#DIV/0!</v>
      </c>
      <c r="G4" s="1044" t="e">
        <f ca="1">结果表!G118</f>
        <v>#DIV/0!</v>
      </c>
      <c r="H4" s="1044">
        <f ca="1">结果表!H118</f>
        <v>1164</v>
      </c>
      <c r="I4" s="1044">
        <f ca="1">结果表!I118</f>
        <v>2835</v>
      </c>
    </row>
    <row r="5" spans="1:9" ht="30" customHeight="1">
      <c r="A5" s="2979" t="s">
        <v>1636</v>
      </c>
      <c r="B5" s="2979"/>
      <c r="C5" s="2979"/>
      <c r="D5" s="2980" t="e">
        <f ca="1">结果表!D119</f>
        <v>#DIV/0!</v>
      </c>
      <c r="E5" s="2980"/>
      <c r="F5" s="2980" t="e">
        <f ca="1">结果表!F119</f>
        <v>#DIV/0!</v>
      </c>
      <c r="G5" s="2980"/>
      <c r="H5" s="2980" t="str">
        <f ca="1">结果表!H119</f>
        <v>壹仟壹佰陆拾肆万元整</v>
      </c>
      <c r="I5" s="2980"/>
    </row>
    <row r="6" spans="1:9" ht="15.75">
      <c r="A6" s="2981" t="str">
        <f>结果表!A120</f>
        <v>估价师知悉的法定优先受偿款</v>
      </c>
      <c r="B6" s="2981"/>
      <c r="C6" s="2981"/>
      <c r="D6" s="2981">
        <f>结果表!D120</f>
        <v>0</v>
      </c>
      <c r="E6" s="2981"/>
      <c r="F6" s="2981"/>
      <c r="G6" s="2981"/>
      <c r="H6" s="2981"/>
      <c r="I6" s="2981"/>
    </row>
    <row r="7" spans="1:9" ht="15">
      <c r="A7" s="2979" t="s">
        <v>1636</v>
      </c>
      <c r="B7" s="2979"/>
      <c r="C7" s="2979"/>
      <c r="D7" s="2982" t="str">
        <f>结果表!D121</f>
        <v>零元整</v>
      </c>
      <c r="E7" s="2983"/>
      <c r="F7" s="2983"/>
      <c r="G7" s="2983"/>
      <c r="H7" s="2983"/>
      <c r="I7" s="2984"/>
    </row>
    <row r="8" spans="1:9" ht="15.75">
      <c r="A8" s="2981" t="str">
        <f>结果表!A122</f>
        <v>房地产抵押价值</v>
      </c>
      <c r="B8" s="2981"/>
      <c r="C8" s="2981"/>
      <c r="D8" s="2981">
        <f ca="1">结果表!D122</f>
        <v>1164</v>
      </c>
      <c r="E8" s="2981"/>
      <c r="F8" s="2981"/>
      <c r="G8" s="2981"/>
      <c r="H8" s="2981"/>
      <c r="I8" s="2981"/>
    </row>
    <row r="9" spans="1:9" ht="15">
      <c r="A9" s="2979" t="s">
        <v>1636</v>
      </c>
      <c r="B9" s="2979"/>
      <c r="C9" s="2979"/>
      <c r="D9" s="2980" t="str">
        <f ca="1">结果表!D123</f>
        <v>壹仟壹佰陆拾肆万元整</v>
      </c>
      <c r="E9" s="2980"/>
      <c r="F9" s="2980"/>
      <c r="G9" s="2980"/>
      <c r="H9" s="2980"/>
      <c r="I9" s="2980"/>
    </row>
    <row r="10" spans="1:9" ht="15.75">
      <c r="A10" s="2981" t="str">
        <f>结果表!A124</f>
        <v/>
      </c>
      <c r="B10" s="2981"/>
      <c r="C10" s="2981"/>
      <c r="D10" s="2981" t="str">
        <f>结果表!D124</f>
        <v>——</v>
      </c>
      <c r="E10" s="2981"/>
      <c r="F10" s="2981"/>
      <c r="G10" s="2981"/>
      <c r="H10" s="2981"/>
      <c r="I10" s="2981"/>
    </row>
    <row r="11" spans="1:9" ht="15">
      <c r="A11" s="2979" t="s">
        <v>1636</v>
      </c>
      <c r="B11" s="2979"/>
      <c r="C11" s="2979"/>
      <c r="D11" s="2980" t="e">
        <f>结果表!D125</f>
        <v>#VALUE!</v>
      </c>
      <c r="E11" s="2980"/>
      <c r="F11" s="2980"/>
      <c r="G11" s="2980"/>
      <c r="H11" s="2980"/>
      <c r="I11" s="2980"/>
    </row>
    <row r="12" spans="1:9" ht="15.75">
      <c r="A12" s="2981" t="str">
        <f>结果表!A126</f>
        <v/>
      </c>
      <c r="B12" s="2981"/>
      <c r="C12" s="2981"/>
      <c r="D12" s="2981" t="str">
        <f>结果表!D126</f>
        <v>——</v>
      </c>
      <c r="E12" s="2981"/>
      <c r="F12" s="2981"/>
      <c r="G12" s="2981"/>
      <c r="H12" s="2981"/>
      <c r="I12" s="2981"/>
    </row>
    <row r="13" spans="1:9" ht="15.75" thickBot="1">
      <c r="A13" s="2985" t="s">
        <v>1636</v>
      </c>
      <c r="B13" s="2985"/>
      <c r="C13" s="2985"/>
      <c r="D13" s="2986" t="e">
        <f>结果表!D127</f>
        <v>#VALUE!</v>
      </c>
      <c r="E13" s="2986"/>
      <c r="F13" s="2986"/>
      <c r="G13" s="2986"/>
      <c r="H13" s="2986"/>
      <c r="I13" s="2986"/>
    </row>
    <row r="14" spans="1:9" ht="15" thickTop="1">
      <c r="A14" s="2987" t="s">
        <v>1641</v>
      </c>
      <c r="B14" s="2987"/>
      <c r="C14" s="2987"/>
      <c r="D14" s="2987"/>
      <c r="E14" s="2987"/>
      <c r="F14" s="2987"/>
      <c r="G14" s="2987"/>
      <c r="H14" s="2987"/>
      <c r="I14" s="2987"/>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8" t="s">
        <v>1658</v>
      </c>
      <c r="B1" s="2988"/>
      <c r="C1" s="2988"/>
      <c r="D1" s="2988"/>
    </row>
    <row r="2" spans="1:4" ht="18">
      <c r="A2" s="2989" t="s">
        <v>1642</v>
      </c>
      <c r="B2" s="2989"/>
      <c r="C2" s="2989"/>
      <c r="D2" s="2989"/>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2989" t="s">
        <v>1648</v>
      </c>
      <c r="B6" s="2989"/>
      <c r="C6" s="2989"/>
      <c r="D6" s="2989"/>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90" t="s">
        <v>1651</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2"/>
      <c r="C12" s="2992"/>
      <c r="D12" s="2992"/>
    </row>
    <row r="13" spans="1:4" ht="30" customHeight="1">
      <c r="A13" s="2991" t="str">
        <f>IF(项目基本情况!B8="抵押","3.抵押双方在办理抵押登记手续时，应使用本公司出具的正式《房地产评估报告》，特提醒报告使用者注意。","——")</f>
        <v>——</v>
      </c>
      <c r="B13" s="2992"/>
      <c r="C13" s="2992"/>
      <c r="D13" s="2992"/>
    </row>
    <row r="14" spans="1:4" ht="15.75" customHeight="1">
      <c r="A14" s="2991" t="str">
        <f>IF(项目基本情况!B8="抵押","4.本次评估估价师所知悉的法定优先受偿款情况说明如下：","——")</f>
        <v>——</v>
      </c>
      <c r="B14" s="2992"/>
      <c r="C14" s="2992"/>
      <c r="D14" s="2992"/>
    </row>
    <row r="15" spans="1:4" ht="42" customHeight="1">
      <c r="A15" s="2991" t="str">
        <f>IF(项目基本情况!B8="抵押","（1）"&amp;CONCATENATE(项目基本情况!L20,项目基本情况!L21,项目基本情况!L22),"——")</f>
        <v>——</v>
      </c>
      <c r="B15" s="2991"/>
      <c r="C15" s="2991"/>
      <c r="D15" s="2991"/>
    </row>
    <row r="16" spans="1:4" ht="30" customHeight="1">
      <c r="A16" s="2994" t="s">
        <v>1652</v>
      </c>
      <c r="B16" s="2994"/>
      <c r="C16" s="2994"/>
      <c r="D16" s="2994"/>
    </row>
    <row r="17" spans="1:4" ht="144" customHeight="1">
      <c r="A17" s="2994" t="s">
        <v>1653</v>
      </c>
      <c r="B17" s="2994"/>
      <c r="C17" s="2994"/>
      <c r="D17" s="2994"/>
    </row>
    <row r="18" spans="1:4" ht="15.75" customHeight="1">
      <c r="A18" s="2991" t="str">
        <f>IF(项目基本情况!B8="抵押",结果表!K120,"——")</f>
        <v>——</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1654</v>
      </c>
      <c r="B22" s="2996"/>
      <c r="C22" s="2996"/>
      <c r="D22" s="2996"/>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93">
        <v>42551</v>
      </c>
      <c r="D31" s="29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02" t="s">
        <v>1665</v>
      </c>
      <c r="B15" s="2997" t="s">
        <v>136</v>
      </c>
      <c r="C15" s="2998"/>
    </row>
    <row r="16" spans="1:7" ht="13.5">
      <c r="A16" s="3003"/>
      <c r="B16" s="2997" t="s">
        <v>69</v>
      </c>
      <c r="C16" s="2998"/>
    </row>
    <row r="17" spans="1:3" ht="13.5">
      <c r="A17" s="3003"/>
      <c r="B17" s="3000" t="s">
        <v>1666</v>
      </c>
      <c r="C17" s="2000" t="s">
        <v>1665</v>
      </c>
    </row>
    <row r="18" spans="1:3" ht="13.5">
      <c r="A18" s="3003"/>
      <c r="B18" s="3000"/>
      <c r="C18" s="2000" t="s">
        <v>1667</v>
      </c>
    </row>
    <row r="19" spans="1:3" ht="13.5">
      <c r="A19" s="3003"/>
      <c r="B19" s="3000"/>
      <c r="C19" s="2000" t="s">
        <v>1668</v>
      </c>
    </row>
    <row r="20" spans="1:3" ht="13.5">
      <c r="A20" s="3004"/>
      <c r="B20" s="2999" t="s">
        <v>1669</v>
      </c>
      <c r="C20" s="2998"/>
    </row>
    <row r="21" spans="1:3" ht="13.5">
      <c r="A21" s="2001" t="s">
        <v>1670</v>
      </c>
      <c r="B21" s="2002"/>
      <c r="C21" s="2003"/>
    </row>
    <row r="22" spans="1:3" ht="13.5">
      <c r="A22" s="3001" t="s">
        <v>1671</v>
      </c>
      <c r="B22" s="2999" t="s">
        <v>1672</v>
      </c>
      <c r="C22" s="2998"/>
    </row>
    <row r="23" spans="1:3" ht="13.5">
      <c r="A23" s="3001"/>
      <c r="B23" s="2999" t="s">
        <v>1673</v>
      </c>
      <c r="C23" s="2998"/>
    </row>
    <row r="24" spans="1:3" ht="13.5">
      <c r="A24" s="3001"/>
      <c r="B24" s="2999" t="s">
        <v>1674</v>
      </c>
      <c r="C24" s="2998"/>
    </row>
    <row r="25" spans="1:3" ht="13.5">
      <c r="A25" s="3001"/>
      <c r="B25" s="3000" t="s">
        <v>1675</v>
      </c>
      <c r="C25" s="2000" t="s">
        <v>1676</v>
      </c>
    </row>
    <row r="26" spans="1:3" ht="13.5">
      <c r="A26" s="3001"/>
      <c r="B26" s="3000"/>
      <c r="C26" s="2000" t="s">
        <v>1677</v>
      </c>
    </row>
    <row r="27" spans="1:3" ht="13.5">
      <c r="A27" s="3001"/>
      <c r="B27" s="3000"/>
      <c r="C27" s="2000" t="s">
        <v>1678</v>
      </c>
    </row>
    <row r="28" spans="1:3" ht="13.5">
      <c r="A28" s="3001"/>
      <c r="B28" s="3000"/>
      <c r="C28" s="2000" t="s">
        <v>1679</v>
      </c>
    </row>
    <row r="29" spans="1:3" ht="13.5">
      <c r="A29" s="3001"/>
      <c r="B29" s="3000"/>
      <c r="C29" s="2000" t="s">
        <v>1680</v>
      </c>
    </row>
    <row r="30" spans="1:3" ht="13.5">
      <c r="A30" s="3001"/>
      <c r="B30" s="3000"/>
      <c r="C30" s="2000" t="s">
        <v>1681</v>
      </c>
    </row>
    <row r="31" spans="1:3" ht="13.5">
      <c r="A31" s="3001"/>
      <c r="B31" s="3000"/>
      <c r="C31" s="2000" t="s">
        <v>1682</v>
      </c>
    </row>
    <row r="32" spans="1:3" ht="13.5">
      <c r="A32" s="3001"/>
      <c r="B32" s="3000"/>
      <c r="C32" s="2000" t="s">
        <v>1683</v>
      </c>
    </row>
    <row r="33" spans="1:3" ht="13.5">
      <c r="A33" s="3001"/>
      <c r="B33" s="3000"/>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2" sqref="B2"/>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43661</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347">
        <v>43849</v>
      </c>
      <c r="D4" s="2350" t="s">
        <v>832</v>
      </c>
      <c r="E4" s="1022">
        <f ca="1">IF(F4&lt;B2,"已过期",96010014)</f>
        <v>96010014</v>
      </c>
      <c r="F4" s="1030">
        <v>47118</v>
      </c>
    </row>
    <row r="5" spans="1:6" ht="24" customHeight="1">
      <c r="A5" s="1702" t="s">
        <v>833</v>
      </c>
      <c r="B5" s="1022">
        <f ca="1">IF(C5&lt;B2,"已过期",1119970074)</f>
        <v>1119970074</v>
      </c>
      <c r="C5" s="2347">
        <v>43849</v>
      </c>
      <c r="D5" s="2350" t="s">
        <v>833</v>
      </c>
      <c r="E5" s="1022">
        <f ca="1">IF(F5&lt;B2,"已过期",2002110027)</f>
        <v>2002110027</v>
      </c>
      <c r="F5" s="1030">
        <v>46752</v>
      </c>
    </row>
    <row r="6" spans="1:6" ht="24" customHeight="1">
      <c r="A6" s="1702" t="s">
        <v>834</v>
      </c>
      <c r="B6" s="1022">
        <f ca="1">IF(C6&lt;B2,"已过期",1119970111)</f>
        <v>1119970111</v>
      </c>
      <c r="C6" s="2347">
        <v>43849</v>
      </c>
      <c r="D6" s="2350" t="s">
        <v>834</v>
      </c>
      <c r="E6" s="1022">
        <f ca="1">IF(F6&lt;B2,"已过期",94010078)</f>
        <v>94010078</v>
      </c>
      <c r="F6" s="1030">
        <v>46387</v>
      </c>
    </row>
    <row r="7" spans="1:6" ht="24" customHeight="1">
      <c r="A7" s="1702" t="s">
        <v>835</v>
      </c>
      <c r="B7" s="1022">
        <f ca="1">IF(C7&lt;B2,"已过期",1120050019)</f>
        <v>1120050019</v>
      </c>
      <c r="C7" s="2347">
        <v>44395</v>
      </c>
      <c r="D7" s="2350" t="s">
        <v>835</v>
      </c>
      <c r="E7" s="1022">
        <f ca="1">IF(F7&lt;B2,"已过期",2002110030)</f>
        <v>2002110030</v>
      </c>
      <c r="F7" s="1030">
        <v>46387</v>
      </c>
    </row>
    <row r="8" spans="1:6" ht="24" customHeight="1">
      <c r="A8" s="1702" t="s">
        <v>836</v>
      </c>
      <c r="B8" s="1022">
        <f ca="1">IF(C8&lt;B2,"已过期",1120000080)</f>
        <v>1120000080</v>
      </c>
      <c r="C8" s="2347">
        <v>43849</v>
      </c>
      <c r="D8" s="2350" t="s">
        <v>836</v>
      </c>
      <c r="E8" s="1022">
        <f ca="1">IF(F8&lt;B2,"已过期",2000110082)</f>
        <v>2000110082</v>
      </c>
      <c r="F8" s="1030">
        <v>46387</v>
      </c>
    </row>
    <row r="9" spans="1:6" ht="24" customHeight="1">
      <c r="A9" s="1702" t="s">
        <v>837</v>
      </c>
      <c r="B9" s="1022">
        <f ca="1">IF(C9&lt;B2,"已过期",1419970001)</f>
        <v>1419970001</v>
      </c>
      <c r="C9" s="2347">
        <v>43867</v>
      </c>
      <c r="D9" s="2350" t="s">
        <v>837</v>
      </c>
      <c r="E9" s="1022">
        <f ca="1">IF(F9&lt;B2,"已过期",2002110125)</f>
        <v>2002110125</v>
      </c>
      <c r="F9" s="1030">
        <v>47118</v>
      </c>
    </row>
    <row r="10" spans="1:6" ht="24" customHeight="1">
      <c r="A10" s="1702" t="s">
        <v>838</v>
      </c>
      <c r="B10" s="1022" t="str">
        <f ca="1">IF(C10&lt;B2,"已过期",1120060040)</f>
        <v>已过期</v>
      </c>
      <c r="C10" s="2347">
        <v>43483</v>
      </c>
      <c r="D10" s="2350" t="s">
        <v>838</v>
      </c>
      <c r="E10" s="1022">
        <f ca="1">IF(F10&lt;B2,"已过期",2004110096)</f>
        <v>2004110096</v>
      </c>
      <c r="F10" s="1030">
        <v>47118</v>
      </c>
    </row>
    <row r="11" spans="1:6" ht="24" customHeight="1">
      <c r="A11" s="1702" t="s">
        <v>839</v>
      </c>
      <c r="B11" s="1022" t="str">
        <f ca="1">IF(C11&lt;B2,"已过期",1120100036)</f>
        <v>已过期</v>
      </c>
      <c r="C11" s="2347">
        <v>43622</v>
      </c>
      <c r="D11" s="2350" t="s">
        <v>839</v>
      </c>
      <c r="E11" s="1022">
        <f ca="1">IF(F11&lt;B2,"已过期",2010110070)</f>
        <v>2010110070</v>
      </c>
      <c r="F11" s="1030">
        <v>47907</v>
      </c>
    </row>
    <row r="12" spans="1:6" ht="24" customHeight="1">
      <c r="A12" s="1702"/>
      <c r="B12" s="1022"/>
      <c r="C12" s="2926"/>
      <c r="D12" s="1702"/>
      <c r="E12" s="1022"/>
      <c r="F12" s="1030"/>
    </row>
    <row r="13" spans="1:6" ht="24" customHeight="1">
      <c r="A13" s="1702" t="s">
        <v>840</v>
      </c>
      <c r="B13" s="1022">
        <f ca="1">IF(C13&lt;B2,"已过期",1120070131)</f>
        <v>1120070131</v>
      </c>
      <c r="C13" s="2347">
        <v>43814</v>
      </c>
      <c r="D13" s="2350" t="s">
        <v>840</v>
      </c>
      <c r="E13" s="1022">
        <f ca="1">IF(F13&lt;B2,"已过期",2014110011)</f>
        <v>2014110011</v>
      </c>
      <c r="F13" s="1030">
        <v>49302</v>
      </c>
    </row>
    <row r="14" spans="1:6" ht="24" customHeight="1">
      <c r="A14" s="1702" t="s">
        <v>3045</v>
      </c>
      <c r="B14" s="1022">
        <f ca="1">IF(C14&lt;B2,"已过期",1120040230)</f>
        <v>1120040230</v>
      </c>
      <c r="C14" s="2347">
        <v>43835</v>
      </c>
      <c r="D14" s="2350" t="s">
        <v>3045</v>
      </c>
      <c r="E14" s="1022">
        <f ca="1">IF(F14&lt;B2,"已过期",98030020)</f>
        <v>98030020</v>
      </c>
      <c r="F14" s="1030">
        <v>47118</v>
      </c>
    </row>
    <row r="15" spans="1:6" ht="24" customHeight="1">
      <c r="A15" s="1703" t="s">
        <v>3046</v>
      </c>
      <c r="B15" s="1022">
        <f ca="1">IF(C15&lt;B2,"已过期",1120070085)</f>
        <v>1120070085</v>
      </c>
      <c r="C15" s="2347">
        <v>43814</v>
      </c>
      <c r="D15" s="2351" t="s">
        <v>3046</v>
      </c>
      <c r="E15" s="1022">
        <f ca="1">IF(F15&lt;B2,"已过期",2004110128)</f>
        <v>2004110128</v>
      </c>
      <c r="F15" s="1023">
        <v>47118</v>
      </c>
    </row>
    <row r="16" spans="1:6" ht="24" customHeight="1">
      <c r="A16" s="1702" t="s">
        <v>3047</v>
      </c>
      <c r="B16" s="1022">
        <f ca="1">IF(C16&lt;B2,"已过期",1120140022)</f>
        <v>1120140022</v>
      </c>
      <c r="C16" s="2926">
        <v>44029</v>
      </c>
      <c r="D16" s="2350" t="s">
        <v>3047</v>
      </c>
      <c r="E16" s="1022">
        <f ca="1">IF(F16&lt;B2,"已过期",2008110059)</f>
        <v>2008110059</v>
      </c>
      <c r="F16" s="1030">
        <v>47177</v>
      </c>
    </row>
    <row r="17" spans="1:7" ht="24" customHeight="1">
      <c r="A17" s="1702"/>
      <c r="B17" s="1022"/>
      <c r="C17" s="2347"/>
      <c r="D17" s="2350" t="s">
        <v>3048</v>
      </c>
      <c r="E17" s="1022">
        <f ca="1">IF(F17&lt;B2,"已过期",2014110076)</f>
        <v>2014110076</v>
      </c>
      <c r="F17" s="1030">
        <v>49302</v>
      </c>
    </row>
    <row r="18" spans="1:7" ht="24" customHeight="1">
      <c r="A18" s="1702"/>
      <c r="B18" s="1022"/>
      <c r="C18" s="2347"/>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841</v>
      </c>
      <c r="E21" s="1022">
        <f ca="1">IF(F21&lt;B2,"已过期",2011110090)</f>
        <v>2011110090</v>
      </c>
      <c r="F21" s="1030">
        <v>48302</v>
      </c>
    </row>
    <row r="22" spans="1:7" ht="24" customHeight="1">
      <c r="A22" s="1702" t="s">
        <v>842</v>
      </c>
      <c r="B22" s="1022">
        <f ca="1">IF(C22&lt;B2,"已过期",1120020033)</f>
        <v>1120020033</v>
      </c>
      <c r="C22" s="2926">
        <v>44339</v>
      </c>
      <c r="D22" s="2350" t="s">
        <v>842</v>
      </c>
      <c r="E22" s="1022">
        <f ca="1">IF(F22&lt;B2,"已过期",2000110137)</f>
        <v>2000110137</v>
      </c>
      <c r="F22" s="1030">
        <v>46387</v>
      </c>
    </row>
    <row r="23" spans="1:7" ht="24" customHeight="1">
      <c r="A23" s="1702"/>
      <c r="B23" s="1022"/>
      <c r="C23" s="2347"/>
      <c r="D23" s="2350"/>
      <c r="E23" s="1022"/>
      <c r="F23" s="1022"/>
    </row>
    <row r="24" spans="1:7" s="1024" customFormat="1" ht="24" customHeight="1">
      <c r="A24" s="1703" t="s">
        <v>1329</v>
      </c>
      <c r="B24" s="1703" t="s">
        <v>1329</v>
      </c>
      <c r="C24" s="2348" t="s">
        <v>1329</v>
      </c>
      <c r="D24" s="2351" t="s">
        <v>1329</v>
      </c>
      <c r="E24" s="1703" t="s">
        <v>1329</v>
      </c>
      <c r="F24" s="1703" t="s">
        <v>1329</v>
      </c>
    </row>
    <row r="25" spans="1:7" ht="24" customHeight="1">
      <c r="A25" s="3005" t="s">
        <v>843</v>
      </c>
      <c r="B25" s="3005"/>
      <c r="C25" s="3005"/>
      <c r="D25" s="3005"/>
      <c r="E25" s="3005"/>
      <c r="F25" s="3005"/>
      <c r="G25" s="3005"/>
    </row>
    <row r="26" spans="1:7" s="1025" customFormat="1" ht="24" customHeight="1">
      <c r="A26" s="3006" t="s">
        <v>844</v>
      </c>
      <c r="B26" s="3006"/>
      <c r="C26" s="3007"/>
      <c r="D26" s="3008" t="s">
        <v>845</v>
      </c>
      <c r="E26" s="3006"/>
      <c r="F26" s="3006"/>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2019-07-15T06:16:52Z</dcterms:modified>
</cp:coreProperties>
</file>