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20军队-南口先锋家园租金\"/>
    </mc:Choice>
  </mc:AlternateContent>
  <xr:revisionPtr revIDLastSave="0" documentId="13_ncr:1_{535FB9A2-9C48-4634-867B-0608A1645030}" xr6:coauthVersionLast="47" xr6:coauthVersionMax="47" xr10:uidLastSave="{00000000-0000-0000-0000-000000000000}"/>
  <bookViews>
    <workbookView xWindow="0" yWindow="0" windowWidth="19200" windowHeight="21000" tabRatio="899" firstSheet="17"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租金" sheetId="80" r:id="rId20"/>
    <sheet name="假设开发法" sheetId="12" state="hidden" r:id="rId21"/>
    <sheet name="收益法" sheetId="15" state="hidden" r:id="rId22"/>
    <sheet name="住宅中指数据" sheetId="82"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分析" sheetId="85" r:id="rId36"/>
    <sheet name="基准地价修正" sheetId="43" r:id="rId37"/>
    <sheet name="成本法 (元)-车位" sheetId="69" r:id="rId38"/>
    <sheet name="成本法 (元)-仓储" sheetId="84" r:id="rId39"/>
    <sheet name="收益法倒推-车位" sheetId="81" state="hidden" r:id="rId40"/>
    <sheet name="比较法-仓储租金" sheetId="36" r:id="rId41"/>
    <sheet name="Sheet1" sheetId="83"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r:id="rId49"/>
    <sheet name="区片价" sheetId="44" r:id="rId50"/>
    <sheet name="存贷款利率" sheetId="73"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xlnm._FilterDatabase" localSheetId="28" hidden="1">'比较法-办公'!$A$1:$L$50</definedName>
    <definedName name="_xlnm._FilterDatabase" localSheetId="40" hidden="1">'比较法-仓储租金'!$A$1:$L$37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9" hidden="1">'比较法-住宅租金'!$A$1:$L$49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d">'[1]4（补充）'!$D$17:$D$2351</definedName>
    <definedName name="K">'[2]2（处理）'!A1</definedName>
    <definedName name="NO.1">'[1]4（补充）'!$D$2:$D$16</definedName>
    <definedName name="_xlnm.Print_Area" localSheetId="28">'比较法-办公'!$A$1:$K$55,'比较法-办公'!$A$58:$M$132</definedName>
    <definedName name="_xlnm.Print_Area" localSheetId="40">'比较法-仓储租金'!$A$1:$K$42,'比较法-仓储租金'!$A$45:$M$96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'比较法-住宅租金'!$A$1:$K$54,'比较法-住宅租金'!$A$57:$M$131</definedName>
    <definedName name="_xlnm.Print_Area" localSheetId="18">成本法!$A$1:$G$57</definedName>
    <definedName name="_xlnm.Print_Area" localSheetId="38">'成本法 (元)-仓储'!$A$1:$G$57</definedName>
    <definedName name="_xlnm.Print_Area" localSheetId="37">'成本法 (元)-车位'!$A$1:$G$57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9">'收益法倒推-车位'!$A$1:$I$42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5">#REF!</definedName>
    <definedName name="八级">区片价!$P$1:$P$44</definedName>
    <definedName name="办公">定义!$Y$2</definedName>
    <definedName name="办公层高" localSheetId="19">'[3]比较法-办公'!$B$119:$M$119</definedName>
    <definedName name="办公层高" localSheetId="39">'[4]比较法-办公'!$B$119:$M$119</definedName>
    <definedName name="办公层高">'比较法-办公'!$B$119:$M$119</definedName>
    <definedName name="办公朝向" localSheetId="19">'[3]比较法-办公'!$B$91:$M$91</definedName>
    <definedName name="办公朝向" localSheetId="39">'[4]比较法-办公'!$B$91:$M$91</definedName>
    <definedName name="办公朝向">'比较法-办公'!$B$91:$M$91</definedName>
    <definedName name="办公道路级别" localSheetId="19">'[3]比较法-办公'!$B$87:$M$87</definedName>
    <definedName name="办公道路级别" localSheetId="39">'[4]比较法-办公'!$B$87:$M$87</definedName>
    <definedName name="办公道路级别">'比较法-办公'!$B$87:$M$87</definedName>
    <definedName name="办公公共部分装修" localSheetId="19">'[3]比较法-办公'!$B$108:$M$108</definedName>
    <definedName name="办公公共部分装修" localSheetId="39">'[4]比较法-办公'!$B$108:$M$108</definedName>
    <definedName name="办公公共部分装修">'比较法-办公'!$B$108:$M$108</definedName>
    <definedName name="办公基础设施水平" localSheetId="19">'[3]比较法-办公'!$B$117:$M$117</definedName>
    <definedName name="办公基础设施水平" localSheetId="39">'[4]比较法-办公'!$B$117:$M$117</definedName>
    <definedName name="办公基础设施水平">'比较法-办公'!$B$117:$M$117</definedName>
    <definedName name="办公集聚程度" localSheetId="19">[3]定义!$M$1:$M$6</definedName>
    <definedName name="办公集聚程度" localSheetId="39">[4]定义!$M$1:$M$6</definedName>
    <definedName name="办公集聚程度">定义!$M$1:$M$6</definedName>
    <definedName name="办公建筑结构" localSheetId="19">'[3]比较法-办公'!$B$106:$M$106</definedName>
    <definedName name="办公建筑结构" localSheetId="39">'[4]比较法-办公'!$B$106:$M$106</definedName>
    <definedName name="办公建筑结构">'比较法-办公'!$B$106:$M$106</definedName>
    <definedName name="办公建筑类型" localSheetId="19">'[3]比较法-办公'!$B$101:$M$101</definedName>
    <definedName name="办公建筑类型" localSheetId="39">'[4]比较法-办公'!$B$101:$M$101</definedName>
    <definedName name="办公建筑类型">'比较法-办公'!$B$101:$M$101</definedName>
    <definedName name="办公交易情况" localSheetId="19">'[3]比较法-办公'!$A$62:$M$62</definedName>
    <definedName name="办公交易情况" localSheetId="39">'[4]比较法-办公'!$A$62:$M$62</definedName>
    <definedName name="办公交易情况">'比较法-办公'!$A$62:$M$62</definedName>
    <definedName name="办公楼层" localSheetId="19">'[3]比较法-办公'!$B$89:$M$89</definedName>
    <definedName name="办公楼层" localSheetId="39">'[4]比较法-办公'!$B$89:$M$89</definedName>
    <definedName name="办公楼层">'比较法-办公'!$B$89:$M$89</definedName>
    <definedName name="办公内部装修" localSheetId="19">'[3]比较法-办公'!$B$123:$M$123</definedName>
    <definedName name="办公内部装修" localSheetId="39">'[4]比较法-办公'!$B$123:$M$123</definedName>
    <definedName name="办公内部装修">'比较法-办公'!$B$123:$M$123</definedName>
    <definedName name="办公物业管理" localSheetId="19">'[3]比较法-办公'!$B$115:$M$115</definedName>
    <definedName name="办公物业管理" localSheetId="39">'[4]比较法-办公'!$B$115:$M$115</definedName>
    <definedName name="办公物业管理">'比较法-办公'!$B$115:$M$115</definedName>
    <definedName name="办公用途" localSheetId="19">'[3]比较法-办公'!$B$64:$M$64</definedName>
    <definedName name="办公用途" localSheetId="39">'[4]比较法-办公'!$B$64:$M$64</definedName>
    <definedName name="办公用途">'比较法-办公'!$B$64:$M$64</definedName>
    <definedName name="仓储公共部分装修" localSheetId="19">'[3]比较法-仓储'!$B$77:$M$77</definedName>
    <definedName name="仓储公共部分装修" localSheetId="39">'[4]比较法-仓储'!$B$77:$M$77</definedName>
    <definedName name="仓储公共部分装修">'比较法-仓储租金'!$B$77:$M$77</definedName>
    <definedName name="仓储交易情况" localSheetId="19">'[3]比较法-仓储'!$A$49:$M$49</definedName>
    <definedName name="仓储交易情况" localSheetId="39">'[4]比较法-仓储'!$A$49:$M$49</definedName>
    <definedName name="仓储交易情况">'比较法-仓储租金'!$A$49:$M$49</definedName>
    <definedName name="仓储楼层" localSheetId="19">'[3]比较法-仓储'!$B$69:$M$69</definedName>
    <definedName name="仓储楼层" localSheetId="39">'[4]比较法-仓储'!$B$69:$M$69</definedName>
    <definedName name="仓储楼层">'比较法-仓储租金'!$B$69:$M$69</definedName>
    <definedName name="仓储物业等级" localSheetId="19">'[3]比较法-仓储'!$B$82:$M$82</definedName>
    <definedName name="仓储物业等级" localSheetId="39">'[4]比较法-仓储'!$B$82:$M$82</definedName>
    <definedName name="仓储物业等级">'比较法-仓储租金'!$B$82:$M$82</definedName>
    <definedName name="仓储用途" localSheetId="19">'[3]比较法-仓储'!$B$51:$M$51</definedName>
    <definedName name="仓储用途" localSheetId="39">'[4]比较法-仓储'!$B$51:$M$51</definedName>
    <definedName name="仓储用途">'比较法-仓储租金'!$B$51:$M$51</definedName>
    <definedName name="产别">#REF!</definedName>
    <definedName name="产权性质">#REF!</definedName>
    <definedName name="产业集聚程度" localSheetId="19">[3]定义!$N$1:$N$6</definedName>
    <definedName name="产业集聚程度" localSheetId="39">[4]定义!$N$1:$N$6</definedName>
    <definedName name="产业集聚程度">定义!$N$1:$N$6</definedName>
    <definedName name="朝向">#REF!</definedName>
    <definedName name="车位公共部分装修" localSheetId="19">'[3]比较法-车位'!$B$83:$M$83</definedName>
    <definedName name="车位公共部分装修" localSheetId="39">'[4]比较法-车位'!$B$83:$M$83</definedName>
    <definedName name="车位公共部分装修">'比较法-车位'!$B$83:$M$83</definedName>
    <definedName name="车位交易情况" localSheetId="19">'[3]比较法-车位'!$A$51:$M$51</definedName>
    <definedName name="车位交易情况" localSheetId="39">'[4]比较法-车位'!$A$51:$M$51</definedName>
    <definedName name="车位交易情况">'比较法-车位'!$A$51:$M$51</definedName>
    <definedName name="车位类型" localSheetId="19">'[3]比较法-车位'!$B$93:$M$93</definedName>
    <definedName name="车位类型" localSheetId="39">'[4]比较法-车位'!$B$93:$M$93</definedName>
    <definedName name="车位类型">'比较法-车位'!$B$93:$M$93</definedName>
    <definedName name="车位楼层" localSheetId="19">'[3]比较法-车位'!$B$71:$M$71</definedName>
    <definedName name="车位楼层" localSheetId="39">'[4]比较法-车位'!$B$71:$M$71</definedName>
    <definedName name="车位楼层">'比较法-车位'!$B$71:$M$71</definedName>
    <definedName name="车位配套类型" localSheetId="19">'[3]比较法-车位'!$B$79:$M$79</definedName>
    <definedName name="车位配套类型" localSheetId="39">'[4]比较法-车位'!$B$79:$M$79</definedName>
    <definedName name="车位配套类型">'比较法-车位'!$B$79:$M$79</definedName>
    <definedName name="车位物业等级" localSheetId="19">'[3]比较法-车位'!$B$88:$M$88</definedName>
    <definedName name="车位物业等级" localSheetId="39">'[4]比较法-车位'!$B$88:$M$88</definedName>
    <definedName name="车位物业等级">'比较法-车位'!$B$88:$M$88</definedName>
    <definedName name="车位用途" localSheetId="19">'[3]比较法-车位'!$B$53:$M$53</definedName>
    <definedName name="车位用途" localSheetId="39">'[4]比较法-车位'!$B$53:$M$53</definedName>
    <definedName name="车位用途">'比较法-车位'!$B$53:$M$53</definedName>
    <definedName name="成本分析">#REF!</definedName>
    <definedName name="成本分析1">#REF!</definedName>
    <definedName name="城镇土地纳税等级分级范围" localSheetId="19">'[3]数据-取费表'!$A$53:$A$63</definedName>
    <definedName name="城镇土地纳税等级分级范围" localSheetId="39">'[4]数据-取费表'!$A$53:$A$63</definedName>
    <definedName name="城镇土地纳税等级分级范围">'数据-取费表'!$A$53:$A$63</definedName>
    <definedName name="单价内涵" localSheetId="19">[3]定义!$V$1:$V$3</definedName>
    <definedName name="单价内涵" localSheetId="39">[4]定义!$V$1:$V$3</definedName>
    <definedName name="单价内涵">定义!$V$1:$V$3</definedName>
    <definedName name="单元">#REF!</definedName>
    <definedName name="地类判定" localSheetId="19">[3]定义!$H$1:$H$9</definedName>
    <definedName name="地类判定" localSheetId="39">[4]定义!$H$1:$H$9</definedName>
    <definedName name="地类判定">定义!$H$1:$H$9</definedName>
    <definedName name="抵押状况">#REF!</definedName>
    <definedName name="独立使用性分析">#REF!</definedName>
    <definedName name="二级" localSheetId="35">#REF!</definedName>
    <definedName name="二级">区片价!$J$1:$J$21</definedName>
    <definedName name="二级分类" localSheetId="39">[4]修正!$C$17:$C$39</definedName>
    <definedName name="二级分类">修正!$C$19:$C$53</definedName>
    <definedName name="发证日期">#REF!</definedName>
    <definedName name="法定最高年限" localSheetId="19">[3]定义!$G$1:$G$6</definedName>
    <definedName name="法定最高年限" localSheetId="39">[4]定义!$G$1:$G$4</definedName>
    <definedName name="法定最高年限">定义!$G$1:$G$6</definedName>
    <definedName name="法定最高土地使用年限">#REF!</definedName>
    <definedName name="房号">#REF!</definedName>
    <definedName name="房间">#REF!</definedName>
    <definedName name="房间号">#REF!</definedName>
    <definedName name="房屋产权性质" localSheetId="35">[5]楼层测算!$N$2:$N$9</definedName>
    <definedName name="房屋产权性质">[6]楼层测算!$N$2:$N$9</definedName>
    <definedName name="房屋朝向" localSheetId="35">[5]楼层测算!$A$117:$A$126</definedName>
    <definedName name="房屋朝向">[6]楼层测算!$A$117:$A$126</definedName>
    <definedName name="房屋装修" localSheetId="35">[5]楼层测算!$K$2:$K$5</definedName>
    <definedName name="房屋装修">[6]楼层测算!$K$2:$K$5</definedName>
    <definedName name="工业">定义!$AB$2:$AB$12</definedName>
    <definedName name="工业公共部分装修" localSheetId="19">'[3]比较法-工业'!$B$95:$M$95</definedName>
    <definedName name="工业公共部分装修" localSheetId="39">'[4]比较法-工业'!$B$95:$M$95</definedName>
    <definedName name="工业公共部分装修">'比较法-工业'!$B$95:$M$95</definedName>
    <definedName name="工业基础设施水平" localSheetId="19">'[3]比较法-工业'!$B$102:$M$102</definedName>
    <definedName name="工业基础设施水平" localSheetId="39">'[4]比较法-工业'!$B$102:$M$102</definedName>
    <definedName name="工业基础设施水平">'比较法-工业'!$B$102:$M$102</definedName>
    <definedName name="工业建筑结构" localSheetId="19">'[3]比较法-工业'!$B$93:$M$93</definedName>
    <definedName name="工业建筑结构" localSheetId="39">'[4]比较法-工业'!$B$93:$M$93</definedName>
    <definedName name="工业建筑结构">'比较法-工业'!$B$93:$M$93</definedName>
    <definedName name="工业建筑类型" localSheetId="19">'[3]比较法-工业'!$B$88:$M$88</definedName>
    <definedName name="工业建筑类型" localSheetId="39">'[4]比较法-工业'!$B$88:$M$88</definedName>
    <definedName name="工业建筑类型">'比较法-工业'!$B$88:$M$88</definedName>
    <definedName name="工业交易情况" localSheetId="19">'[3]比较法-工业'!$A$55:$M$55</definedName>
    <definedName name="工业交易情况" localSheetId="39">'[4]比较法-工业'!$A$55:$M$55</definedName>
    <definedName name="工业交易情况">'比较法-工业'!$A$55:$M$55</definedName>
    <definedName name="工业内部装修" localSheetId="19">'[3]比较法-工业'!$B$104:$M$104</definedName>
    <definedName name="工业内部装修" localSheetId="39">'[4]比较法-工业'!$B$104:$M$104</definedName>
    <definedName name="工业内部装修">'比较法-工业'!$B$104:$M$104</definedName>
    <definedName name="工业物业管理" localSheetId="19">'[3]比较法-工业'!$B$100:$M$100</definedName>
    <definedName name="工业物业管理" localSheetId="39">'[4]比较法-工业'!$B$100:$M$100</definedName>
    <definedName name="工业物业管理">'比较法-工业'!$B$100:$M$100</definedName>
    <definedName name="工业用途" localSheetId="19">'[3]比较法-工业'!$B$57:$M$57</definedName>
    <definedName name="工业用途" localSheetId="39">'[4]比较法-工业'!$B$57:$M$57</definedName>
    <definedName name="工业用途">'比较法-工业'!$B$57:$M$57</definedName>
    <definedName name="公共服务">定义!$Z$2:$Z$14</definedName>
    <definedName name="公共配套设施" localSheetId="19">[3]定义!$Q$1:$Q$6</definedName>
    <definedName name="公共配套设施" localSheetId="39">[4]定义!$Q$1:$Q$6</definedName>
    <definedName name="公共配套设施">定义!$Q$1:$Q$6</definedName>
    <definedName name="估价对象是否为半地下室">#REF!</definedName>
    <definedName name="估价对象所在区县">#REF!</definedName>
    <definedName name="估价范围判定" localSheetId="19">[3]定义!$D$1:$D$4</definedName>
    <definedName name="估价范围判定">定义!$D$1:$D$4</definedName>
    <definedName name="估价方法" localSheetId="19">[3]定义!$B$1:$B$50</definedName>
    <definedName name="估价方法" localSheetId="39">[4]定义!$B$1:$B$50</definedName>
    <definedName name="估价方法">定义!$B$1:$B$50</definedName>
    <definedName name="户内部分特殊说明">#REF!</definedName>
    <definedName name="环境" localSheetId="19">[3]定义!$S$1:$S$6</definedName>
    <definedName name="环境" localSheetId="39">[4]定义!$S$1:$S$6</definedName>
    <definedName name="环境">定义!$S$1:$S$6</definedName>
    <definedName name="基础设施水平" localSheetId="19">[3]定义!$R$1:$R$6</definedName>
    <definedName name="基础设施水平" localSheetId="39">[4]定义!$R$1:$R$6</definedName>
    <definedName name="基础设施水平">定义!$R$1:$R$6</definedName>
    <definedName name="基准地价土地级别">#REF!</definedName>
    <definedName name="季度" localSheetId="35">[7]基准地价修正!$O$19:$Z$19</definedName>
    <definedName name="季度">基准地价修正!$Q$19:$AD$19</definedName>
    <definedName name="价值类型2" localSheetId="19">[3]定义!$B$54:$B$56</definedName>
    <definedName name="价值类型2" localSheetId="39">[4]定义!$B$54:$B$56</definedName>
    <definedName name="价值类型2">定义!$B$54:$B$56</definedName>
    <definedName name="建筑结构">[8]楼层测算!$J$2:$J$3</definedName>
    <definedName name="交通便捷度" localSheetId="19">[3]定义!$O$1:$O$6</definedName>
    <definedName name="交通便捷度" localSheetId="39">[4]定义!$O$1:$O$6</definedName>
    <definedName name="交通便捷度">定义!$O$1:$O$6</definedName>
    <definedName name="教委">#REF!</definedName>
    <definedName name="结构">#REF!</definedName>
    <definedName name="经济寿命">#REF!</definedName>
    <definedName name="九级" localSheetId="35">#REF!</definedName>
    <definedName name="九级">区片价!$Q$1:$Q$51</definedName>
    <definedName name="居住社区成熟度" localSheetId="19">[3]定义!$K$1:$K$6</definedName>
    <definedName name="居住社区成熟度" localSheetId="39">[4]定义!$K$1:$K$6</definedName>
    <definedName name="居住社区成熟度">定义!$K$1:$K$6</definedName>
    <definedName name="客商信息">[9]条件!$A:$A</definedName>
    <definedName name="扣缴日期">#REF!</definedName>
    <definedName name="类别" localSheetId="19">[3]定义!$J$1:$J$3</definedName>
    <definedName name="类别" localSheetId="39">[4]定义!$J$1:$J$3</definedName>
    <definedName name="类别">定义!$J$1:$J$3</definedName>
    <definedName name="临街状况" localSheetId="19">[3]定义!$T$1:$T$5</definedName>
    <definedName name="临街状况" localSheetId="39">[4]定义!$T$1:$T$5</definedName>
    <definedName name="临街状况">定义!$T$1:$T$5</definedName>
    <definedName name="六级" localSheetId="35">#REF!</definedName>
    <definedName name="六级">区片价!$N$1:$N$64</definedName>
    <definedName name="楼栋">#REF!</definedName>
    <definedName name="楼号">#REF!</definedName>
    <definedName name="内部装修维护情况" localSheetId="19">[3]定义!$U$1:$U$6</definedName>
    <definedName name="内部装修维护情况" localSheetId="39">[4]定义!$U$1:$U$6</definedName>
    <definedName name="内部装修维护情况">定义!$U$1:$U$6</definedName>
    <definedName name="判定" localSheetId="39">[4]定义!$D$1:$D$4</definedName>
    <definedName name="判定">[10]定义!$D$1:$D$4</definedName>
    <definedName name="配备电梯">[8]楼层测算!$M$2:$M$3</definedName>
    <definedName name="评估方法">[11]定义!$B$1:$B$50</definedName>
    <definedName name="评估方法1">#REF!</definedName>
    <definedName name="评估方法2">#REF!</definedName>
    <definedName name="七级" localSheetId="35">#REF!</definedName>
    <definedName name="七级">区片价!$O$1:$O$45</definedName>
    <definedName name="七通一平" localSheetId="19">[3]修正!$A$8:$A$16</definedName>
    <definedName name="七通一平" localSheetId="39">[4]修正!$A$6:$A$14</definedName>
    <definedName name="七通一平">修正!$A$8:$A$16</definedName>
    <definedName name="其他权利">#REF!</definedName>
    <definedName name="区县">#REF!</definedName>
    <definedName name="区域成熟度">#REF!</definedName>
    <definedName name="区域土地利用方向" localSheetId="19">[3]定义!$P$1:$P$6</definedName>
    <definedName name="区域土地利用方向" localSheetId="39">[4]定义!$P$1:$P$6</definedName>
    <definedName name="区域土地利用方向">定义!$P$1:$P$6</definedName>
    <definedName name="取值">#REF!</definedName>
    <definedName name="权属特殊说明">#REF!</definedName>
    <definedName name="三级" localSheetId="35">#REF!</definedName>
    <definedName name="三级">区片价!$K$1:$K$26</definedName>
    <definedName name="商业">定义!$X$2:$X$9</definedName>
    <definedName name="商业层高" localSheetId="19">'[3]比较法-商业'!$B$116:$M$116</definedName>
    <definedName name="商业层高" localSheetId="39">'[4]比较法-商业'!$B$116:$M$116</definedName>
    <definedName name="商业层高">'比较法-商业'!$B$116:$M$116</definedName>
    <definedName name="商业成新度">'比较法-商业'!$B$109:$M$109</definedName>
    <definedName name="商业繁华度" localSheetId="19">[3]定义!$L$1:$L$6</definedName>
    <definedName name="商业繁华度" localSheetId="39">[4]定义!$L$1:$L$6</definedName>
    <definedName name="商业繁华度">定义!$L$1:$L$6</definedName>
    <definedName name="商业公共部分装修" localSheetId="19">'[3]比较法-商业'!$B$107:$M$107</definedName>
    <definedName name="商业公共部分装修" localSheetId="39">'[4]比较法-商业'!$B$107:$M$107</definedName>
    <definedName name="商业公共部分装修">'比较法-商业'!$B$107:$M$107</definedName>
    <definedName name="商业基础设施水平" localSheetId="19">'[3]比较法-商业'!$B$112:$M$112</definedName>
    <definedName name="商业基础设施水平" localSheetId="39">'[4]比较法-商业'!$B$112:$M$112</definedName>
    <definedName name="商业基础设施水平">'比较法-商业'!$B$112:$M$112</definedName>
    <definedName name="商业建筑结构" localSheetId="19">'[3]比较法-商业'!$B$105:$M$105</definedName>
    <definedName name="商业建筑结构" localSheetId="39">'[4]比较法-商业'!$B$105:$M$105</definedName>
    <definedName name="商业建筑结构">'比较法-商业'!$B$105:$M$105</definedName>
    <definedName name="商业交易情况" localSheetId="19">'[3]比较法-商业'!$A$61:$M$61</definedName>
    <definedName name="商业交易情况" localSheetId="39">'[4]比较法-商业'!$A$61:$M$61</definedName>
    <definedName name="商业交易情况">'比较法-商业'!$A$61:$M$61</definedName>
    <definedName name="商业街名称" localSheetId="19">[3]修正!$C$73:$C$140</definedName>
    <definedName name="商业街名称" localSheetId="39">[4]修正!$C$59:$C$119</definedName>
    <definedName name="商业街名称">修正!$C$73:$C$140</definedName>
    <definedName name="商业进深比" localSheetId="19">'[3]比较法-商业'!$B$120:$M$120</definedName>
    <definedName name="商业进深比" localSheetId="39">'[4]比较法-商业'!$B$120:$M$120</definedName>
    <definedName name="商业进深比">'比较法-商业'!$B$120:$M$120</definedName>
    <definedName name="商业类型" localSheetId="19">'[3]比较法-商业'!$B$100:$M$100</definedName>
    <definedName name="商业类型" localSheetId="39">'[4]比较法-商业'!$B$100:$M$100</definedName>
    <definedName name="商业类型">'比较法-商业'!$B$100:$M$100</definedName>
    <definedName name="商业临街状况" localSheetId="19">'[3]比较法-商业'!$B$86:$M$86</definedName>
    <definedName name="商业临街状况" localSheetId="39">'[4]比较法-商业'!$B$86:$M$86</definedName>
    <definedName name="商业临街状况">'比较法-商业'!$B$86:$M$86</definedName>
    <definedName name="商业楼层" localSheetId="19">'[3]比较法-商业'!$B$92:$M$92</definedName>
    <definedName name="商业楼层" localSheetId="39">'[4]比较法-商业'!$B$92:$M$92</definedName>
    <definedName name="商业楼层">'比较法-商业'!$B$92:$M$92</definedName>
    <definedName name="商业内部装修" localSheetId="19">'[3]比较法-商业'!$B$122:$M$122</definedName>
    <definedName name="商业内部装修" localSheetId="39">'[4]比较法-商业'!$B$122:$M$122</definedName>
    <definedName name="商业内部装修">'比较法-商业'!$B$122:$M$122</definedName>
    <definedName name="商业人流量" localSheetId="19">'[3]比较法-商业'!$B$90:$M$90</definedName>
    <definedName name="商业人流量" localSheetId="39">'[4]比较法-商业'!$B$90:$M$90</definedName>
    <definedName name="商业人流量">'比较法-商业'!$B$90:$M$90</definedName>
    <definedName name="商业业态" localSheetId="19">'[3]比较法-商业'!$B$114:$M$114</definedName>
    <definedName name="商业业态" localSheetId="39">'[4]比较法-商业'!$B$114:$M$114</definedName>
    <definedName name="商业业态">'比较法-商业'!$B$114:$M$114</definedName>
    <definedName name="商业用途" localSheetId="19">'[3]比较法-商业'!$B$63:$M$63</definedName>
    <definedName name="商业用途" localSheetId="39">'[4]比较法-商业'!$B$63:$M$63</definedName>
    <definedName name="商业用途">'比较法-商业'!$B$63:$M$63</definedName>
    <definedName name="身份证号码">#REF!</definedName>
    <definedName name="十二级" localSheetId="35">#REF!</definedName>
    <definedName name="十二级">区片价!$T$1:$T$8</definedName>
    <definedName name="十级" localSheetId="35">#REF!</definedName>
    <definedName name="十级">区片价!$R$1:$R$32</definedName>
    <definedName name="十一级" localSheetId="35">#REF!</definedName>
    <definedName name="十一级">区片价!$S$1:$S$21</definedName>
    <definedName name="是否封闭" localSheetId="19">'[3]比较法-仓储'!$B$89:$M$89</definedName>
    <definedName name="是否封闭" localSheetId="39">'[4]比较法-仓储'!$B$89:$M$89</definedName>
    <definedName name="是否封闭">'比较法-仓储租金'!$B$89:$M$89</definedName>
    <definedName name="是否直接入户" localSheetId="19">'[3]比较法-车位'!$B$95:$M$95</definedName>
    <definedName name="是否直接入户" localSheetId="39">'[4]比较法-车位'!$B$95:$M$95</definedName>
    <definedName name="是否直接入户">'比较法-车位'!$B$95:$M$95</definedName>
    <definedName name="四级" localSheetId="35">#REF!</definedName>
    <definedName name="四级">区片价!$L$1:$L$33</definedName>
    <definedName name="所在楼层" localSheetId="35">[5]楼层测算!$L$2:$L$6</definedName>
    <definedName name="所在楼层">[6]楼层测算!$L$2:$L$6</definedName>
    <definedName name="套工道路等级" localSheetId="19">'[3]土地比较法-工业'!$B$97:$M$97</definedName>
    <definedName name="套工道路等级" localSheetId="39">'[4]土地比较法-工业'!$B$97:$M$97</definedName>
    <definedName name="套工道路等级">'土地比较法-工业'!$B$97:$M$97</definedName>
    <definedName name="套工地质条件" localSheetId="19">'[3]土地比较法-工业'!$B$114:$M$114</definedName>
    <definedName name="套工地质条件" localSheetId="39">'[4]土地比较法-工业'!$B$114:$M$114</definedName>
    <definedName name="套工地质条件">'土地比较法-工业'!$B$114:$M$114</definedName>
    <definedName name="套工交易情况" localSheetId="19">'[3]土地比较法-住宅、综合'!$A$72:$M$72</definedName>
    <definedName name="套工交易情况" localSheetId="39">'[4]土地比较法-住宅、综合'!$A$73:$M$73</definedName>
    <definedName name="套工交易情况">'土地比较法-住宅、综合'!$A$72:$M$72</definedName>
    <definedName name="套工土地级别" localSheetId="19">'[3]土地比较法-工业'!$B$99:$M$99</definedName>
    <definedName name="套工土地级别" localSheetId="39">'[4]土地比较法-工业'!$B$99:$M$99</definedName>
    <definedName name="套工土地级别">'土地比较法-工业'!$B$99:$M$99</definedName>
    <definedName name="套工用途" localSheetId="19">'[3]土地比较法-工业'!$B$70:$M$70</definedName>
    <definedName name="套工用途" localSheetId="39">'[4]土地比较法-工业'!$B$70:$M$70</definedName>
    <definedName name="套工用途">'土地比较法-工业'!$B$70:$M$70</definedName>
    <definedName name="套工宗地开发程度" localSheetId="19">'[3]土地比较法-工业'!$B$112:$M$112</definedName>
    <definedName name="套工宗地开发程度" localSheetId="39">'[4]土地比较法-工业'!$B$112:$M$112</definedName>
    <definedName name="套工宗地开发程度">'土地比较法-工业'!$B$112:$M$112</definedName>
    <definedName name="套工宗地形状" localSheetId="19">'[3]土地比较法-工业'!$B$110:$M$110</definedName>
    <definedName name="套工宗地形状" localSheetId="39">'[4]土地比较法-工业'!$B$110:$M$110</definedName>
    <definedName name="套工宗地形状">'土地比较法-工业'!$B$110:$M$110</definedName>
    <definedName name="套综道路等级" localSheetId="19">'[3]土地比较法-住宅、综合'!$B$105:$M$105</definedName>
    <definedName name="套综道路等级" localSheetId="39">'[4]土地比较法-住宅、综合'!$B$106:$M$106</definedName>
    <definedName name="套综道路等级">'土地比较法-住宅、综合'!$B$105:$M$105</definedName>
    <definedName name="套综工程地质条件" localSheetId="19">'[3]土地比较法-住宅、综合'!$B$124:$M$124</definedName>
    <definedName name="套综工程地质条件" localSheetId="39">'[4]土地比较法-住宅、综合'!$B$125:$M$125</definedName>
    <definedName name="套综工程地质条件">'土地比较法-住宅、综合'!$B$124:$M$124</definedName>
    <definedName name="套综交易情况" localSheetId="19">'[3]土地比较法-住宅、综合'!$A$72:$M$72</definedName>
    <definedName name="套综交易情况" localSheetId="39">'[4]土地比较法-住宅、综合'!$A$73:$M$73</definedName>
    <definedName name="套综交易情况">'土地比较法-住宅、综合'!$A$72:$M$72</definedName>
    <definedName name="套综临街宽度及深度" localSheetId="19">'[3]土地比较法-住宅、综合'!$B$120:$M$120</definedName>
    <definedName name="套综临街宽度及深度" localSheetId="39">'[4]土地比较法-住宅、综合'!$B$121:$M$121</definedName>
    <definedName name="套综临街宽度及深度">'土地比较法-住宅、综合'!$B$120:$M$120</definedName>
    <definedName name="套综土地级别" localSheetId="19">'[3]土地比较法-住宅、综合'!$B$107:$M$107</definedName>
    <definedName name="套综土地级别" localSheetId="39">'[4]土地比较法-住宅、综合'!$B$108:$M$108</definedName>
    <definedName name="套综土地级别">'土地比较法-住宅、综合'!$B$107:$M$107</definedName>
    <definedName name="套综用途" localSheetId="19">'[3]土地比较法-住宅、综合'!$B$74:$M$74</definedName>
    <definedName name="套综用途" localSheetId="39">'[4]土地比较法-住宅、综合'!$B$75:$M$75</definedName>
    <definedName name="套综用途">'土地比较法-住宅、综合'!$B$74:$M$74</definedName>
    <definedName name="套综宗地内开发程度" localSheetId="19">'[3]土地比较法-住宅、综合'!$B$122:$M$122</definedName>
    <definedName name="套综宗地内开发程度" localSheetId="39">'[4]土地比较法-住宅、综合'!$B$123:$M$123</definedName>
    <definedName name="套综宗地内开发程度">'土地比较法-住宅、综合'!$B$122:$M$122</definedName>
    <definedName name="套综宗地形状" localSheetId="19">'[3]土地比较法-住宅、综合'!$B$118:$M$118</definedName>
    <definedName name="套综宗地形状" localSheetId="39">'[4]土地比较法-住宅、综合'!$B$119:$M$119</definedName>
    <definedName name="套综宗地形状">'土地比较法-住宅、综合'!$B$118:$M$118</definedName>
    <definedName name="土地估价师">估价师及机构信息!$D$3:$D$24</definedName>
    <definedName name="土地级别" localSheetId="19">[3]定义!$C$1:$C$14</definedName>
    <definedName name="土地级别" localSheetId="39">[4]定义!$C$1:$C$14</definedName>
    <definedName name="土地级别">定义!$C$1:$C$14</definedName>
    <definedName name="土地利用方向">定义!$P$1:$P$6</definedName>
    <definedName name="土地年限区间" localSheetId="39">[4]定义!$I$1:$I$8</definedName>
    <definedName name="土地年限区间">定义!$I$1:$I$16</definedName>
    <definedName name="土地用途">#REF!</definedName>
    <definedName name="位置" localSheetId="19">[3]定义!$E$2:$E$4</definedName>
    <definedName name="位置" localSheetId="39">[4]定义!$E$2:$E$4</definedName>
    <definedName name="位置">定义!$E$2:$E$4</definedName>
    <definedName name="五等判定" localSheetId="19">[3]定义!$W$1:$W$6</definedName>
    <definedName name="五等判定" localSheetId="39">[4]定义!$W$1:$W$6</definedName>
    <definedName name="五等判定">定义!$W$1:$W$6</definedName>
    <definedName name="五级" localSheetId="35">#REF!</definedName>
    <definedName name="五级">区片价!$M$1:$M$41</definedName>
    <definedName name="物理结构是否变化">#REF!</definedName>
    <definedName name="项目类型" localSheetId="19">'[3]数据-汇总表'!$C$17:$C$26</definedName>
    <definedName name="项目类型" localSheetId="39">'[4]数据-汇总表'!$C$17:$C$26</definedName>
    <definedName name="项目类型" localSheetId="24">'[12]数据-汇总表'!$C$17:$C$26</definedName>
    <definedName name="项目类型">'数据-汇总表'!$C$17:$C$26</definedName>
    <definedName name="小区临近道路级别">#REF!</definedName>
    <definedName name="写字楼等级" localSheetId="19">'[3]比较法-办公'!$B$113:$M$113</definedName>
    <definedName name="写字楼等级" localSheetId="39">'[4]比较法-办公'!$B$113:$M$113</definedName>
    <definedName name="写字楼等级">'比较法-办公'!$B$113:$M$113</definedName>
    <definedName name="一级" localSheetId="35">#REF!</definedName>
    <definedName name="一级">区片价!$I$1:$I$6</definedName>
    <definedName name="一修多修正项2" localSheetId="19">[3]典型户型修正!$5:$5</definedName>
    <definedName name="一修多修正项2" localSheetId="39">[4]典型户型修正!$5:$5</definedName>
    <definedName name="一修多修正项2">典型户型修正!$5:$5</definedName>
    <definedName name="一修多修正项3" localSheetId="19">[3]典型户型修正!$7:$7</definedName>
    <definedName name="一修多修正项3" localSheetId="39">[4]典型户型修正!$7:$7</definedName>
    <definedName name="一修多修正项3">典型户型修正!$7:$7</definedName>
    <definedName name="一修多修正项4" localSheetId="19">[3]典型户型修正!$9:$9</definedName>
    <definedName name="一修多修正项4" localSheetId="39">[4]典型户型修正!$9:$9</definedName>
    <definedName name="一修多修正项4">典型户型修正!$9:$9</definedName>
    <definedName name="一修多修正项5" localSheetId="19">[3]典型户型修正!$11:$11</definedName>
    <definedName name="一修多修正项5" localSheetId="39">[4]典型户型修正!$11:$11</definedName>
    <definedName name="一修多修正项5">典型户型修正!$11:$11</definedName>
    <definedName name="一修多修正项6" localSheetId="19">[3]典型户型修正!$13:$13</definedName>
    <definedName name="一修多修正项6" localSheetId="39">[4]典型户型修正!$13:$13</definedName>
    <definedName name="一修多修正项6">典型户型修正!$13:$13</definedName>
    <definedName name="一修多修正项7" localSheetId="19">[3]典型户型修正!$15:$15</definedName>
    <definedName name="一修多修正项7" localSheetId="39">[4]典型户型修正!$15:$15</definedName>
    <definedName name="一修多修正项7">典型户型修正!$15:$15</definedName>
    <definedName name="一修多修正项8" localSheetId="19">[3]典型户型修正!$17:$17</definedName>
    <definedName name="一修多修正项8" localSheetId="39">[4]典型户型修正!$17:$17</definedName>
    <definedName name="一修多修正项8">典型户型修正!$17:$17</definedName>
    <definedName name="银行">#REF!</definedName>
    <definedName name="用途明细" localSheetId="19">[3]定义!$A$1:$A$50</definedName>
    <definedName name="用途明细" localSheetId="39">[4]定义!$A$1:$A$50</definedName>
    <definedName name="用途明细">定义!$A$1:$A$50</definedName>
    <definedName name="优先受偿">#REF!</definedName>
    <definedName name="有无电梯" localSheetId="19">'[3]比较法-仓储'!$B$84:$M$84</definedName>
    <definedName name="有无电梯" localSheetId="39">'[4]比较法-仓储'!$B$84:$M$84</definedName>
    <definedName name="有无电梯">'比较法-仓储租金'!$B$84:$M$84</definedName>
    <definedName name="原件">#REF!</definedName>
    <definedName name="主用途" localSheetId="19">[3]定义!$F$1:$F$12</definedName>
    <definedName name="主用途" localSheetId="39">[4]定义!$F$1:$F$10</definedName>
    <definedName name="主用途">定义!$F$1:$F$12</definedName>
    <definedName name="住宅">定义!$AA$2</definedName>
    <definedName name="住宅朝向" localSheetId="19">'比较法-住宅租金'!$B$88:$M$88</definedName>
    <definedName name="住宅朝向" localSheetId="39">'[4]比较法-住宅'!$B$88:$M$88</definedName>
    <definedName name="住宅朝向">'比较法-住宅'!$B$88:$M$88</definedName>
    <definedName name="住宅房型" localSheetId="19">'比较法-住宅租金'!$B$118:$M$118</definedName>
    <definedName name="住宅房型" localSheetId="39">'[4]比较法-住宅'!$B$118:$M$118</definedName>
    <definedName name="住宅房型">'比较法-住宅'!$B$118:$M$118</definedName>
    <definedName name="住宅公共部分装修" localSheetId="19">'比较法-住宅租金'!$B$109:$M$109</definedName>
    <definedName name="住宅公共部分装修" localSheetId="39">'[4]比较法-住宅'!$B$109:$M$109</definedName>
    <definedName name="住宅公共部分装修">'比较法-住宅'!$B$109:$M$109</definedName>
    <definedName name="住宅基础设施水平" localSheetId="19">'比较法-住宅租金'!$B$116:$M$116</definedName>
    <definedName name="住宅基础设施水平" localSheetId="39">'[4]比较法-住宅'!$B$116:$M$116</definedName>
    <definedName name="住宅基础设施水平">'比较法-住宅'!$B$116:$M$116</definedName>
    <definedName name="住宅建筑结构" localSheetId="19">'比较法-住宅租金'!$B$105:$M$105</definedName>
    <definedName name="住宅建筑结构" localSheetId="39">'[4]比较法-住宅'!$B$105:$M$105</definedName>
    <definedName name="住宅建筑结构">'比较法-住宅'!$B$105:$M$105</definedName>
    <definedName name="住宅建筑类型" localSheetId="19">'比较法-住宅租金'!$B$100:$M$100</definedName>
    <definedName name="住宅建筑类型" localSheetId="39">'[4]比较法-住宅'!$B$100:$M$100</definedName>
    <definedName name="住宅建筑类型">'比较法-住宅'!$B$100:$M$100</definedName>
    <definedName name="住宅建筑品质" localSheetId="19">'比较法-住宅租金'!$B$107:$M$107</definedName>
    <definedName name="住宅建筑品质" localSheetId="39">'[4]比较法-住宅'!$B$107:$M$107</definedName>
    <definedName name="住宅建筑品质">'比较法-住宅'!$B$107:$M$107</definedName>
    <definedName name="住宅交易情况" localSheetId="19">'比较法-住宅租金'!$A$61:$M$61</definedName>
    <definedName name="住宅交易情况" localSheetId="39">'[4]比较法-住宅'!$A$61:$M$61</definedName>
    <definedName name="住宅交易情况">'比较法-住宅'!$A$61:$M$61</definedName>
    <definedName name="住宅楼层" localSheetId="19">'比较法-住宅租金'!$B$86:$M$86</definedName>
    <definedName name="住宅楼层" localSheetId="39">'[4]比较法-住宅'!$B$86:$M$86</definedName>
    <definedName name="住宅楼层">'比较法-住宅'!$B$86:$M$86</definedName>
    <definedName name="住宅内部装修" localSheetId="19">'比较法-住宅租金'!$B$122:$M$122</definedName>
    <definedName name="住宅内部装修" localSheetId="39">'[4]比较法-住宅'!$B$122:$M$122</definedName>
    <definedName name="住宅内部装修">'比较法-住宅'!$B$122:$M$122</definedName>
    <definedName name="住宅物业管理" localSheetId="19">'比较法-住宅租金'!$B$114:$M$114</definedName>
    <definedName name="住宅物业管理" localSheetId="39">'[4]比较法-住宅'!$B$114:$M$114</definedName>
    <definedName name="住宅物业管理">'比较法-住宅'!$B$114:$M$114</definedName>
    <definedName name="住宅用途" localSheetId="19">'比较法-住宅租金'!$B$63:$M$63</definedName>
    <definedName name="住宅用途" localSheetId="39">'[4]比较法-住宅'!$B$63:$M$63</definedName>
    <definedName name="住宅用途">'比较法-住宅'!$B$63:$M$63</definedName>
    <definedName name="住宅主力户型面积" localSheetId="19">'比较法-住宅租金'!$B$120:$M$120</definedName>
    <definedName name="住宅主力户型面积">'比较法-住宅'!$B$120:$M$120</definedName>
    <definedName name="注册房地产估价师" localSheetId="19">[3]估价师及机构信息!$A$3:$A$16</definedName>
    <definedName name="注册房地产估价师" localSheetId="39">[4]估价师及机构信息!$A$3:$A$24</definedName>
    <definedName name="注册房地产估价师">估价师及机构信息!$A$3:$A$16</definedName>
    <definedName name="资料来源">#REF!</definedName>
    <definedName name="租户名称">#REF!</definedName>
    <definedName name="租户银行账户">#REF!</definedName>
  </definedNames>
  <calcPr calcId="181029"/>
</workbook>
</file>

<file path=xl/calcChain.xml><?xml version="1.0" encoding="utf-8"?>
<calcChain xmlns="http://schemas.openxmlformats.org/spreadsheetml/2006/main">
  <c r="L45" i="83" l="1"/>
  <c r="L44" i="83"/>
  <c r="J45" i="83"/>
  <c r="J44" i="83"/>
  <c r="K45" i="83"/>
  <c r="K44" i="83"/>
  <c r="K43" i="83"/>
  <c r="L43" i="83"/>
  <c r="J43" i="83"/>
  <c r="E2" i="85"/>
  <c r="D127" i="80"/>
  <c r="E47" i="80" l="1"/>
  <c r="I16" i="85"/>
  <c r="D13" i="85"/>
  <c r="G25" i="85"/>
  <c r="G17" i="85"/>
  <c r="H23" i="85" s="1"/>
  <c r="G16" i="85"/>
  <c r="G15" i="85"/>
  <c r="D14" i="74"/>
  <c r="B14" i="74"/>
  <c r="C2" i="85" l="1"/>
  <c r="C3" i="85"/>
  <c r="C7" i="85"/>
  <c r="I31" i="69"/>
  <c r="L31" i="69"/>
  <c r="C11" i="85" l="1"/>
  <c r="J36" i="84"/>
  <c r="D41" i="43"/>
  <c r="G41" i="84"/>
  <c r="F40" i="84"/>
  <c r="F38" i="84"/>
  <c r="E37" i="84"/>
  <c r="F36" i="84"/>
  <c r="F35" i="84"/>
  <c r="F30" i="84"/>
  <c r="F48" i="84" s="1"/>
  <c r="C30" i="84"/>
  <c r="G22" i="84"/>
  <c r="F21" i="84"/>
  <c r="C40" i="84" s="1"/>
  <c r="C21" i="84"/>
  <c r="F20" i="84"/>
  <c r="F39" i="84" s="1"/>
  <c r="E19" i="84"/>
  <c r="C19" i="84"/>
  <c r="E10" i="84"/>
  <c r="E9" i="84"/>
  <c r="F7" i="84"/>
  <c r="H1" i="84"/>
  <c r="G1" i="84"/>
  <c r="J31" i="69"/>
  <c r="J36" i="69"/>
  <c r="D42" i="43"/>
  <c r="G21" i="6"/>
  <c r="G20" i="6"/>
  <c r="M13" i="3"/>
  <c r="K13" i="3"/>
  <c r="I13" i="3"/>
  <c r="J41" i="83"/>
  <c r="K41" i="83"/>
  <c r="L41" i="83"/>
  <c r="D9" i="84"/>
  <c r="E2" i="84"/>
  <c r="C12" i="85" l="1"/>
  <c r="C13" i="85" s="1"/>
  <c r="E12" i="85"/>
  <c r="C9" i="84"/>
  <c r="C48" i="84"/>
  <c r="K40" i="83"/>
  <c r="J40" i="83"/>
  <c r="K39" i="83"/>
  <c r="J39" i="83"/>
  <c r="M44" i="80"/>
  <c r="M43" i="80"/>
  <c r="M42" i="80"/>
  <c r="I47" i="80"/>
  <c r="I5" i="80"/>
  <c r="R8" i="82"/>
  <c r="R15" i="82"/>
  <c r="R37" i="82"/>
  <c r="O37" i="82"/>
  <c r="G47" i="80"/>
  <c r="R24" i="82"/>
  <c r="R23" i="82"/>
  <c r="E5" i="80"/>
  <c r="O4" i="82"/>
  <c r="O5" i="82"/>
  <c r="O6" i="82"/>
  <c r="O7" i="82"/>
  <c r="O8" i="82"/>
  <c r="O9" i="82"/>
  <c r="O10" i="82"/>
  <c r="O11" i="82"/>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 i="82"/>
  <c r="I5" i="81"/>
  <c r="F19" i="6"/>
  <c r="C37" i="81"/>
  <c r="I36" i="81"/>
  <c r="D36" i="81"/>
  <c r="E29" i="81"/>
  <c r="H26" i="81"/>
  <c r="E25" i="81"/>
  <c r="E24" i="81"/>
  <c r="C22" i="81"/>
  <c r="C21" i="81"/>
  <c r="E19" i="81" s="1"/>
  <c r="F19" i="81"/>
  <c r="F16" i="81"/>
  <c r="E15" i="81"/>
  <c r="C15" i="81"/>
  <c r="H12" i="81"/>
  <c r="M10" i="81"/>
  <c r="P9" i="81"/>
  <c r="O10" i="81" s="1"/>
  <c r="J8" i="81"/>
  <c r="M4" i="81"/>
  <c r="C34" i="84"/>
  <c r="F27" i="84"/>
  <c r="D10" i="84"/>
  <c r="C36" i="84"/>
  <c r="F45" i="84" l="1"/>
  <c r="C29" i="84"/>
  <c r="D27" i="84" s="1"/>
  <c r="C47" i="84"/>
  <c r="D45" i="84" s="1"/>
  <c r="C38" i="84"/>
  <c r="C35" i="84"/>
  <c r="C10" i="84"/>
  <c r="C8" i="84" s="1"/>
  <c r="D19" i="84"/>
  <c r="D37" i="84" s="1"/>
  <c r="C37" i="84" s="1"/>
  <c r="N11" i="81"/>
  <c r="C33" i="84" l="1"/>
  <c r="C39" i="84" s="1"/>
  <c r="I18" i="81"/>
  <c r="C18" i="81" s="1"/>
  <c r="E16" i="81" s="1"/>
  <c r="C46" i="84" l="1"/>
  <c r="C45" i="84" s="1"/>
  <c r="C145" i="80"/>
  <c r="K143" i="80"/>
  <c r="J142" i="80"/>
  <c r="J140" i="80"/>
  <c r="K145" i="80" s="1"/>
  <c r="K139" i="80"/>
  <c r="K141" i="80" s="1"/>
  <c r="B130" i="80"/>
  <c r="B128" i="80"/>
  <c r="B126" i="80"/>
  <c r="D125" i="80"/>
  <c r="E125" i="80" s="1"/>
  <c r="F125" i="80" s="1"/>
  <c r="G125" i="80" s="1"/>
  <c r="D123" i="80"/>
  <c r="E123" i="80" s="1"/>
  <c r="F42" i="80" s="1"/>
  <c r="G119" i="80"/>
  <c r="H119" i="80" s="1"/>
  <c r="I119" i="80" s="1"/>
  <c r="J119" i="80" s="1"/>
  <c r="K119" i="80" s="1"/>
  <c r="L119" i="80" s="1"/>
  <c r="M119" i="80" s="1"/>
  <c r="D119" i="80"/>
  <c r="E119" i="80" s="1"/>
  <c r="F119" i="80" s="1"/>
  <c r="D117" i="80"/>
  <c r="E117" i="80" s="1"/>
  <c r="F117" i="80" s="1"/>
  <c r="G117" i="80" s="1"/>
  <c r="E115" i="80"/>
  <c r="F115" i="80" s="1"/>
  <c r="G115" i="80" s="1"/>
  <c r="H115" i="80" s="1"/>
  <c r="I115" i="80" s="1"/>
  <c r="J115" i="80" s="1"/>
  <c r="K115" i="80" s="1"/>
  <c r="L115" i="80" s="1"/>
  <c r="M115" i="80" s="1"/>
  <c r="D115" i="80"/>
  <c r="D113" i="80"/>
  <c r="E113" i="80" s="1"/>
  <c r="H111" i="80"/>
  <c r="G111" i="80"/>
  <c r="F111" i="80"/>
  <c r="E111" i="80"/>
  <c r="D111" i="80"/>
  <c r="C111" i="80"/>
  <c r="D110" i="80"/>
  <c r="E110" i="80" s="1"/>
  <c r="F110" i="80" s="1"/>
  <c r="G110" i="80" s="1"/>
  <c r="H110" i="80" s="1"/>
  <c r="I110" i="80" s="1"/>
  <c r="J110" i="80" s="1"/>
  <c r="K110" i="80" s="1"/>
  <c r="L110" i="80" s="1"/>
  <c r="M110" i="80" s="1"/>
  <c r="H108" i="80"/>
  <c r="I108" i="80" s="1"/>
  <c r="J108" i="80" s="1"/>
  <c r="K108" i="80" s="1"/>
  <c r="L108" i="80" s="1"/>
  <c r="M108" i="80" s="1"/>
  <c r="D108" i="80"/>
  <c r="E108" i="80" s="1"/>
  <c r="F108" i="80" s="1"/>
  <c r="G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H30" i="80" s="1"/>
  <c r="B94" i="80"/>
  <c r="B92" i="80"/>
  <c r="B90" i="80"/>
  <c r="E89" i="80"/>
  <c r="F89" i="80" s="1"/>
  <c r="G89" i="80" s="1"/>
  <c r="H89" i="80" s="1"/>
  <c r="I89" i="80" s="1"/>
  <c r="J89" i="80" s="1"/>
  <c r="K89" i="80" s="1"/>
  <c r="L89" i="80" s="1"/>
  <c r="M89" i="80" s="1"/>
  <c r="D89" i="80"/>
  <c r="M87" i="80"/>
  <c r="L87" i="80"/>
  <c r="K87" i="80"/>
  <c r="J87" i="80"/>
  <c r="I87" i="80"/>
  <c r="H87" i="80"/>
  <c r="G87" i="80"/>
  <c r="F87" i="80"/>
  <c r="E87" i="80"/>
  <c r="D87" i="80"/>
  <c r="G85" i="80"/>
  <c r="D85" i="80"/>
  <c r="E85" i="80" s="1"/>
  <c r="F85" i="80" s="1"/>
  <c r="D83" i="80"/>
  <c r="E83" i="80" s="1"/>
  <c r="F83" i="80" s="1"/>
  <c r="G83" i="80" s="1"/>
  <c r="G81" i="80"/>
  <c r="D81" i="80"/>
  <c r="E81" i="80" s="1"/>
  <c r="F81" i="80" s="1"/>
  <c r="D79" i="80"/>
  <c r="E79" i="80" s="1"/>
  <c r="F79" i="80" s="1"/>
  <c r="G79" i="80" s="1"/>
  <c r="G77" i="80"/>
  <c r="D77" i="80"/>
  <c r="E77" i="80" s="1"/>
  <c r="F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C63" i="80"/>
  <c r="H9" i="80" s="1"/>
  <c r="G59" i="80"/>
  <c r="H59" i="80" s="1"/>
  <c r="C58" i="80"/>
  <c r="D58" i="80" s="1"/>
  <c r="E58" i="80" s="1"/>
  <c r="F58" i="80" s="1"/>
  <c r="P49" i="80"/>
  <c r="P48" i="80"/>
  <c r="K48" i="80"/>
  <c r="V47" i="80"/>
  <c r="P47" i="80"/>
  <c r="T47" i="80"/>
  <c r="E54" i="80"/>
  <c r="F54" i="80" s="1"/>
  <c r="AB46" i="80"/>
  <c r="U46" i="80"/>
  <c r="Q46" i="80"/>
  <c r="Z46" i="80" s="1"/>
  <c r="J46" i="80"/>
  <c r="H46" i="80"/>
  <c r="F46" i="80"/>
  <c r="AA46" i="80" s="1"/>
  <c r="AB45" i="80"/>
  <c r="U45" i="80"/>
  <c r="Q45" i="80"/>
  <c r="Z45" i="80" s="1"/>
  <c r="J45" i="80"/>
  <c r="H45" i="80"/>
  <c r="F45" i="80"/>
  <c r="AA45" i="80" s="1"/>
  <c r="Q44" i="80"/>
  <c r="Z44" i="80" s="1"/>
  <c r="J44" i="80"/>
  <c r="AC44" i="80" s="1"/>
  <c r="H44" i="80"/>
  <c r="AB44" i="80" s="1"/>
  <c r="F44" i="80"/>
  <c r="AA44" i="80" s="1"/>
  <c r="Q43" i="80"/>
  <c r="Z43" i="80" s="1"/>
  <c r="J43" i="80"/>
  <c r="AC43" i="80" s="1"/>
  <c r="H43" i="80"/>
  <c r="AB43" i="80" s="1"/>
  <c r="F43" i="80"/>
  <c r="S43" i="80" s="1"/>
  <c r="Q42" i="80"/>
  <c r="Z42" i="80" s="1"/>
  <c r="Q41" i="80"/>
  <c r="Z41" i="80" s="1"/>
  <c r="J41" i="80"/>
  <c r="AC41" i="80" s="1"/>
  <c r="H41" i="80"/>
  <c r="AB41" i="80" s="1"/>
  <c r="F41" i="80"/>
  <c r="AA41" i="80" s="1"/>
  <c r="AC40" i="80"/>
  <c r="W40" i="80"/>
  <c r="Q40" i="80"/>
  <c r="Z40" i="80" s="1"/>
  <c r="J40" i="80"/>
  <c r="H40" i="80"/>
  <c r="AB40" i="80" s="1"/>
  <c r="F40" i="80"/>
  <c r="AA40" i="80" s="1"/>
  <c r="Q39" i="80"/>
  <c r="Z39" i="80" s="1"/>
  <c r="J39" i="80"/>
  <c r="AC39" i="80" s="1"/>
  <c r="H39" i="80"/>
  <c r="U39" i="80" s="1"/>
  <c r="F39" i="80"/>
  <c r="AA39" i="80" s="1"/>
  <c r="Q38" i="80"/>
  <c r="Z38" i="80" s="1"/>
  <c r="J38" i="80"/>
  <c r="AC38" i="80" s="1"/>
  <c r="H38" i="80"/>
  <c r="AB38" i="80" s="1"/>
  <c r="F38" i="80"/>
  <c r="AA38" i="80" s="1"/>
  <c r="Z37" i="80"/>
  <c r="Q37" i="80"/>
  <c r="I37" i="80"/>
  <c r="G37" i="80"/>
  <c r="AA36" i="80"/>
  <c r="Q36" i="80"/>
  <c r="Z36" i="80" s="1"/>
  <c r="J36" i="80"/>
  <c r="AC36" i="80" s="1"/>
  <c r="H36" i="80"/>
  <c r="AB36" i="80" s="1"/>
  <c r="F36" i="80"/>
  <c r="S36" i="80" s="1"/>
  <c r="Q35" i="80"/>
  <c r="Z35" i="80" s="1"/>
  <c r="J35" i="80"/>
  <c r="AC35" i="80" s="1"/>
  <c r="H35" i="80"/>
  <c r="AB35" i="80" s="1"/>
  <c r="F35" i="80"/>
  <c r="AA35" i="80" s="1"/>
  <c r="Q34" i="80"/>
  <c r="Z34" i="80" s="1"/>
  <c r="J34" i="80"/>
  <c r="AC34" i="80" s="1"/>
  <c r="H34" i="80"/>
  <c r="AB34" i="80" s="1"/>
  <c r="F34" i="80"/>
  <c r="AA34" i="80" s="1"/>
  <c r="Q33" i="80"/>
  <c r="Z33" i="80" s="1"/>
  <c r="I33" i="80"/>
  <c r="J33" i="80" s="1"/>
  <c r="G33" i="80"/>
  <c r="H33" i="80" s="1"/>
  <c r="AB33" i="80" s="1"/>
  <c r="E33" i="80"/>
  <c r="F33" i="80" s="1"/>
  <c r="Q32" i="80"/>
  <c r="Z32" i="80" s="1"/>
  <c r="J32" i="80"/>
  <c r="W32" i="80" s="1"/>
  <c r="H32" i="80"/>
  <c r="AB32" i="80" s="1"/>
  <c r="F32" i="80"/>
  <c r="S32" i="80" s="1"/>
  <c r="AB31" i="80"/>
  <c r="AA31" i="80"/>
  <c r="Q31" i="80"/>
  <c r="Z31" i="80" s="1"/>
  <c r="J31" i="80"/>
  <c r="AC31" i="80" s="1"/>
  <c r="H31" i="80"/>
  <c r="U31" i="80" s="1"/>
  <c r="F31" i="80"/>
  <c r="S31" i="80" s="1"/>
  <c r="AC30" i="80"/>
  <c r="Z30" i="80"/>
  <c r="W30" i="80"/>
  <c r="S30" i="80"/>
  <c r="Q30" i="80"/>
  <c r="J30" i="80"/>
  <c r="F30" i="80"/>
  <c r="AA30" i="80" s="1"/>
  <c r="AC29" i="80"/>
  <c r="Z29" i="80"/>
  <c r="W29" i="80"/>
  <c r="U29" i="80"/>
  <c r="Q29" i="80"/>
  <c r="J29" i="80"/>
  <c r="H29" i="80"/>
  <c r="AB29" i="80" s="1"/>
  <c r="F29" i="80"/>
  <c r="AA29" i="80" s="1"/>
  <c r="AB28" i="80"/>
  <c r="AA28" i="80"/>
  <c r="Q28" i="80"/>
  <c r="Z28" i="80" s="1"/>
  <c r="J28" i="80"/>
  <c r="AC28" i="80" s="1"/>
  <c r="H28" i="80"/>
  <c r="U28" i="80" s="1"/>
  <c r="F28" i="80"/>
  <c r="S28" i="80" s="1"/>
  <c r="AB27" i="80"/>
  <c r="AA27" i="80"/>
  <c r="Q27" i="80"/>
  <c r="Z27" i="80" s="1"/>
  <c r="J27" i="80"/>
  <c r="AC27" i="80" s="1"/>
  <c r="H27" i="80"/>
  <c r="U27" i="80" s="1"/>
  <c r="F27" i="80"/>
  <c r="S27" i="80" s="1"/>
  <c r="AC26" i="80"/>
  <c r="Z26" i="80"/>
  <c r="W26" i="80"/>
  <c r="Q26" i="80"/>
  <c r="J26" i="80"/>
  <c r="H26" i="80"/>
  <c r="AB26" i="80" s="1"/>
  <c r="F26" i="80"/>
  <c r="AA26" i="80" s="1"/>
  <c r="Z25" i="80"/>
  <c r="W25" i="80"/>
  <c r="Q25" i="80"/>
  <c r="J25" i="80"/>
  <c r="AC25" i="80" s="1"/>
  <c r="H25" i="80"/>
  <c r="U25" i="80" s="1"/>
  <c r="F25" i="80"/>
  <c r="AA25" i="80" s="1"/>
  <c r="Q23" i="80"/>
  <c r="Z23" i="80" s="1"/>
  <c r="J23" i="80"/>
  <c r="W23" i="80" s="1"/>
  <c r="H23" i="80"/>
  <c r="U23" i="80" s="1"/>
  <c r="F23" i="80"/>
  <c r="S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S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U11" i="80" s="1"/>
  <c r="F11" i="80"/>
  <c r="AA11" i="80" s="1"/>
  <c r="Q10" i="80"/>
  <c r="Z10" i="80" s="1"/>
  <c r="J10" i="80"/>
  <c r="AC10" i="80" s="1"/>
  <c r="H10" i="80"/>
  <c r="AB10" i="80" s="1"/>
  <c r="F10" i="80"/>
  <c r="AA10" i="80" s="1"/>
  <c r="Q9" i="80"/>
  <c r="Z9" i="80" s="1"/>
  <c r="J9" i="80"/>
  <c r="AC9" i="80" s="1"/>
  <c r="AC8" i="80"/>
  <c r="AB8" i="80"/>
  <c r="W8" i="80"/>
  <c r="U8" i="80"/>
  <c r="S8" i="80"/>
  <c r="J8" i="80"/>
  <c r="H8" i="80"/>
  <c r="F8" i="80"/>
  <c r="AA8" i="80" s="1"/>
  <c r="G5" i="80"/>
  <c r="D3" i="80"/>
  <c r="E27" i="45"/>
  <c r="D2" i="80"/>
  <c r="U44" i="80" l="1"/>
  <c r="W34" i="80"/>
  <c r="AA23" i="80"/>
  <c r="AB23" i="80"/>
  <c r="AC23" i="80"/>
  <c r="AA32" i="80"/>
  <c r="F113" i="80"/>
  <c r="G113" i="80" s="1"/>
  <c r="H113" i="80" s="1"/>
  <c r="AB9" i="80"/>
  <c r="U9" i="80"/>
  <c r="G58" i="80"/>
  <c r="H58" i="80" s="1"/>
  <c r="I58" i="80" s="1"/>
  <c r="J58" i="80" s="1"/>
  <c r="K58" i="80" s="1"/>
  <c r="L58" i="80" s="1"/>
  <c r="M58" i="80" s="1"/>
  <c r="N58" i="80" s="1"/>
  <c r="O58" i="80" s="1"/>
  <c r="W9" i="80"/>
  <c r="S11" i="80"/>
  <c r="U12" i="80"/>
  <c r="W13" i="80"/>
  <c r="AB39" i="80"/>
  <c r="AB11" i="80"/>
  <c r="AA14" i="80"/>
  <c r="S19" i="80"/>
  <c r="AC32" i="80"/>
  <c r="U33" i="80"/>
  <c r="S38" i="80"/>
  <c r="AA43" i="80"/>
  <c r="AC46" i="80"/>
  <c r="W46" i="80"/>
  <c r="W12" i="80"/>
  <c r="S17" i="80"/>
  <c r="F9" i="80"/>
  <c r="U15" i="80"/>
  <c r="U19" i="80"/>
  <c r="U21" i="80"/>
  <c r="AB25" i="80"/>
  <c r="AC45" i="80"/>
  <c r="W45" i="80"/>
  <c r="I54" i="80"/>
  <c r="J54" i="80" s="1"/>
  <c r="AB30" i="80"/>
  <c r="U30" i="80"/>
  <c r="S26" i="80"/>
  <c r="W28" i="80"/>
  <c r="AA42" i="80"/>
  <c r="S42" i="80"/>
  <c r="S10" i="80"/>
  <c r="S15" i="80"/>
  <c r="S21" i="80"/>
  <c r="J7" i="80"/>
  <c r="U10" i="80"/>
  <c r="W11" i="80"/>
  <c r="S13" i="80"/>
  <c r="U14" i="80"/>
  <c r="U17" i="80"/>
  <c r="W10" i="80"/>
  <c r="S12" i="80"/>
  <c r="U13" i="80"/>
  <c r="W14" i="80"/>
  <c r="W15" i="80"/>
  <c r="W17" i="80"/>
  <c r="W19" i="80"/>
  <c r="W21" i="80"/>
  <c r="AA33" i="80"/>
  <c r="S33" i="80"/>
  <c r="AC33" i="80"/>
  <c r="W33" i="80"/>
  <c r="J42" i="80"/>
  <c r="F123" i="80"/>
  <c r="G123" i="80" s="1"/>
  <c r="H123" i="80" s="1"/>
  <c r="I123" i="80" s="1"/>
  <c r="J123" i="80" s="1"/>
  <c r="K123" i="80" s="1"/>
  <c r="L123" i="80" s="1"/>
  <c r="M123" i="80" s="1"/>
  <c r="H42" i="80"/>
  <c r="U32" i="80"/>
  <c r="S35" i="80"/>
  <c r="U36" i="80"/>
  <c r="U38" i="80"/>
  <c r="W39" i="80"/>
  <c r="S41" i="80"/>
  <c r="U43" i="80"/>
  <c r="W44" i="80"/>
  <c r="G54" i="80"/>
  <c r="H54" i="80" s="1"/>
  <c r="K144" i="80"/>
  <c r="S34" i="80"/>
  <c r="U35" i="80"/>
  <c r="W36" i="80"/>
  <c r="W38" i="80"/>
  <c r="S40" i="80"/>
  <c r="U41" i="80"/>
  <c r="W43" i="80"/>
  <c r="R47" i="80"/>
  <c r="S25" i="80"/>
  <c r="U26" i="80"/>
  <c r="W27" i="80"/>
  <c r="S29" i="80"/>
  <c r="W31" i="80"/>
  <c r="U34" i="80"/>
  <c r="W35" i="80"/>
  <c r="S39" i="80"/>
  <c r="U40" i="80"/>
  <c r="W41" i="80"/>
  <c r="S44" i="80"/>
  <c r="S45" i="80"/>
  <c r="S46" i="80"/>
  <c r="G14" i="73"/>
  <c r="F14" i="73"/>
  <c r="E14" i="73"/>
  <c r="J37" i="80" l="1"/>
  <c r="F37" i="80"/>
  <c r="H37" i="80"/>
  <c r="AC42" i="80"/>
  <c r="W42" i="80"/>
  <c r="AA9" i="80"/>
  <c r="S9" i="80"/>
  <c r="F7" i="80"/>
  <c r="AB42" i="80"/>
  <c r="U42" i="80"/>
  <c r="H7" i="80"/>
  <c r="AC7" i="80"/>
  <c r="W7" i="80"/>
  <c r="I12" i="79"/>
  <c r="S37" i="80" l="1"/>
  <c r="AA37" i="80"/>
  <c r="W37" i="80"/>
  <c r="AC37" i="80"/>
  <c r="AB37" i="80"/>
  <c r="U37" i="80"/>
  <c r="AB7" i="80"/>
  <c r="T48" i="80" s="1"/>
  <c r="G48" i="80" s="1"/>
  <c r="U7" i="80"/>
  <c r="S7" i="80"/>
  <c r="AA7" i="80"/>
  <c r="R48" i="80" s="1"/>
  <c r="V48" i="80"/>
  <c r="I48" i="80"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E48" i="80" l="1"/>
  <c r="R49" i="80"/>
  <c r="I52" i="80"/>
  <c r="J52" i="80" s="1"/>
  <c r="G53" i="80"/>
  <c r="H53" i="80" s="1"/>
  <c r="G52" i="80"/>
  <c r="H52" i="80" s="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E53" i="80" l="1"/>
  <c r="F53" i="80" s="1"/>
  <c r="E52" i="80"/>
  <c r="F52" i="80" s="1"/>
  <c r="I53" i="80"/>
  <c r="J53" i="80" s="1"/>
  <c r="C49" i="80"/>
  <c r="C48" i="80"/>
  <c r="AR7" i="79"/>
  <c r="AR8" i="79" s="1"/>
  <c r="AD33" i="79"/>
  <c r="AR34" i="79"/>
  <c r="AR35" i="79" s="1"/>
  <c r="AR36" i="79" s="1"/>
  <c r="D60" i="78"/>
  <c r="C60" i="78"/>
  <c r="D53" i="78"/>
  <c r="D52" i="78"/>
  <c r="D51" i="78" s="1"/>
  <c r="B51" i="78"/>
  <c r="B56" i="78" s="1"/>
  <c r="M46" i="80" l="1"/>
  <c r="M49" i="80"/>
  <c r="M24" i="80"/>
  <c r="B3" i="80"/>
  <c r="B2" i="80"/>
  <c r="B55" i="78"/>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7" i="79"/>
  <c r="AD34" i="79"/>
  <c r="AD36" i="79"/>
  <c r="AD35"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T33" i="79"/>
  <c r="T34" i="79"/>
  <c r="T35"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c r="O39" i="71"/>
  <c r="N39" i="71"/>
  <c r="X39" i="71" s="1"/>
  <c r="Q38" i="71"/>
  <c r="AB38" i="71" s="1"/>
  <c r="P38" i="71"/>
  <c r="O38" i="71"/>
  <c r="Y38" i="71" s="1"/>
  <c r="Z38" i="71" s="1"/>
  <c r="N38" i="71"/>
  <c r="X38" i="71" s="1"/>
  <c r="F38" i="71"/>
  <c r="F39" i="71" s="1"/>
  <c r="F40" i="71" s="1"/>
  <c r="V40" i="71" s="1"/>
  <c r="Q37" i="71"/>
  <c r="P37" i="71"/>
  <c r="AA36" i="71" s="1"/>
  <c r="O37" i="71"/>
  <c r="N37" i="71"/>
  <c r="B38" i="71" s="1"/>
  <c r="B39" i="71" s="1"/>
  <c r="B40" i="71" s="1"/>
  <c r="S40" i="71" s="1"/>
  <c r="D37" i="71"/>
  <c r="Q36" i="71"/>
  <c r="P36" i="71"/>
  <c r="O36" i="71"/>
  <c r="Y35" i="71" s="1"/>
  <c r="Z35" i="71" s="1"/>
  <c r="N36" i="71"/>
  <c r="Q35" i="71"/>
  <c r="AB35" i="71" s="1"/>
  <c r="P35" i="71"/>
  <c r="AA35" i="71" s="1"/>
  <c r="O35" i="71"/>
  <c r="N35" i="71"/>
  <c r="X34" i="71" s="1"/>
  <c r="Q34" i="71"/>
  <c r="P34" i="71"/>
  <c r="O34" i="71"/>
  <c r="N34" i="71"/>
  <c r="F36" i="71"/>
  <c r="V36" i="71" s="1"/>
  <c r="Q33" i="71"/>
  <c r="F34" i="71" s="1"/>
  <c r="F35"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AA3" i="71" s="1"/>
  <c r="O30" i="71"/>
  <c r="Y30" i="71"/>
  <c r="Z30" i="71" s="1"/>
  <c r="N30" i="71"/>
  <c r="Q29" i="71"/>
  <c r="F30" i="71" s="1"/>
  <c r="F31" i="71" s="1"/>
  <c r="F32" i="71" s="1"/>
  <c r="V32" i="71" s="1"/>
  <c r="P29" i="71"/>
  <c r="O29" i="71"/>
  <c r="Y26" i="71" s="1"/>
  <c r="Z26" i="71" s="1"/>
  <c r="N29" i="71"/>
  <c r="D29" i="71"/>
  <c r="O28" i="71"/>
  <c r="Y25" i="71" s="1"/>
  <c r="Z25" i="71" s="1"/>
  <c r="N28" i="71"/>
  <c r="B28" i="71" s="1"/>
  <c r="B30" i="71"/>
  <c r="B31" i="71"/>
  <c r="E30" i="71"/>
  <c r="E31" i="71"/>
  <c r="E32" i="71" s="1"/>
  <c r="U32" i="71" s="1"/>
  <c r="AA37" i="71"/>
  <c r="C30" i="71"/>
  <c r="C31" i="71" s="1"/>
  <c r="C34" i="71"/>
  <c r="D34" i="71" s="1"/>
  <c r="X35" i="71"/>
  <c r="C38" i="71"/>
  <c r="D38" i="71" s="1"/>
  <c r="Y37" i="71"/>
  <c r="Z37" i="71" s="1"/>
  <c r="AA38" i="71"/>
  <c r="C28" i="71"/>
  <c r="T28" i="71" s="1"/>
  <c r="Y28" i="71"/>
  <c r="Z28" i="71" s="1"/>
  <c r="X25" i="71"/>
  <c r="C39" i="71"/>
  <c r="C40" i="71" s="1"/>
  <c r="D50" i="71"/>
  <c r="P28" i="71"/>
  <c r="E28" i="71" s="1"/>
  <c r="E55" i="71"/>
  <c r="E56" i="71" s="1"/>
  <c r="U56" i="71" s="1"/>
  <c r="U68" i="71"/>
  <c r="E67" i="71"/>
  <c r="E66" i="71" s="1"/>
  <c r="Q28" i="71"/>
  <c r="C59" i="71"/>
  <c r="D59" i="71" s="1"/>
  <c r="C63" i="71"/>
  <c r="C64" i="71" s="1"/>
  <c r="D62" i="71"/>
  <c r="T68" i="71"/>
  <c r="O68" i="71"/>
  <c r="D68" i="71"/>
  <c r="C67" i="71"/>
  <c r="D67" i="71" s="1"/>
  <c r="Q68" i="71"/>
  <c r="C71" i="71"/>
  <c r="C70" i="71" s="1"/>
  <c r="D70" i="71" s="1"/>
  <c r="E71" i="71"/>
  <c r="E70" i="71"/>
  <c r="D72" i="71"/>
  <c r="C75" i="71"/>
  <c r="D75" i="71" s="1"/>
  <c r="D76" i="71"/>
  <c r="C79" i="71"/>
  <c r="D79" i="71" s="1"/>
  <c r="D80" i="71"/>
  <c r="C83" i="71"/>
  <c r="D83" i="71" s="1"/>
  <c r="C87" i="71"/>
  <c r="C86" i="71" s="1"/>
  <c r="D86" i="71" s="1"/>
  <c r="F28" i="71"/>
  <c r="F27" i="71"/>
  <c r="F26" i="71" s="1"/>
  <c r="AB26" i="71"/>
  <c r="AA27" i="71"/>
  <c r="C66" i="71"/>
  <c r="O65" i="71" s="1"/>
  <c r="D63" i="71"/>
  <c r="C82" i="71"/>
  <c r="D82" i="71" s="1"/>
  <c r="D87" i="7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S21" i="33" s="1"/>
  <c r="E83" i="21"/>
  <c r="F83" i="21" s="1"/>
  <c r="H1" i="69"/>
  <c r="AC25" i="40"/>
  <c r="W25" i="40"/>
  <c r="U29" i="39"/>
  <c r="W29" i="39"/>
  <c r="W18" i="36"/>
  <c r="U21" i="37"/>
  <c r="AA21" i="33"/>
  <c r="AC18" i="35"/>
  <c r="J21" i="37"/>
  <c r="W21" i="37" s="1"/>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F23" i="15"/>
  <c r="D24" i="15" s="1"/>
  <c r="E22" i="6"/>
  <c r="E23" i="6"/>
  <c r="K10" i="1" s="1"/>
  <c r="M10" i="1" s="1"/>
  <c r="O10" i="1" s="1"/>
  <c r="P10" i="1" s="1"/>
  <c r="E24" i="6"/>
  <c r="E25" i="6"/>
  <c r="E26" i="6"/>
  <c r="BB13" i="3"/>
  <c r="BB5" i="3" s="1"/>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c r="Q26" i="36"/>
  <c r="Z26" i="36" s="1"/>
  <c r="H26" i="36"/>
  <c r="AB26" i="36" s="1"/>
  <c r="Q25" i="36"/>
  <c r="Z25" i="36" s="1"/>
  <c r="Q24" i="36"/>
  <c r="Z24" i="36" s="1"/>
  <c r="H24" i="36"/>
  <c r="AB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S41" i="21"/>
  <c r="AA41" i="21"/>
  <c r="F45" i="39"/>
  <c r="S45" i="39" s="1"/>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3" i="33"/>
  <c r="W39" i="33"/>
  <c r="H39" i="37"/>
  <c r="AB39" i="37"/>
  <c r="S27" i="35"/>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AB12" i="36"/>
  <c r="W32" i="40"/>
  <c r="F37" i="39"/>
  <c r="AA37" i="39" s="1"/>
  <c r="J34" i="36"/>
  <c r="W34" i="36" s="1"/>
  <c r="U30" i="36"/>
  <c r="J30" i="35"/>
  <c r="W30" i="35" s="1"/>
  <c r="H30" i="35"/>
  <c r="AB30" i="35" s="1"/>
  <c r="F22" i="35"/>
  <c r="AA22" i="35"/>
  <c r="H10" i="35"/>
  <c r="U10" i="35" s="1"/>
  <c r="F33" i="36"/>
  <c r="AA33" i="36" s="1"/>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c r="F41" i="33"/>
  <c r="AA41" i="33" s="1"/>
  <c r="S38" i="33"/>
  <c r="E113" i="33"/>
  <c r="F32" i="33"/>
  <c r="AA32" i="33" s="1"/>
  <c r="J19" i="33"/>
  <c r="AC19" i="33"/>
  <c r="J15" i="33"/>
  <c r="AC15" i="33" s="1"/>
  <c r="F11" i="33"/>
  <c r="AA11" i="33" s="1"/>
  <c r="S26" i="33"/>
  <c r="U40" i="33"/>
  <c r="F37" i="40"/>
  <c r="AA37" i="40"/>
  <c r="F36" i="40"/>
  <c r="AA36" i="40"/>
  <c r="H28" i="40"/>
  <c r="U28" i="40"/>
  <c r="F23" i="40"/>
  <c r="AA23" i="40"/>
  <c r="F17" i="40"/>
  <c r="AA17" i="40" s="1"/>
  <c r="J17" i="40"/>
  <c r="W17" i="40" s="1"/>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c r="F45" i="34"/>
  <c r="S45" i="34" s="1"/>
  <c r="H47" i="34"/>
  <c r="U47" i="34"/>
  <c r="F47" i="34"/>
  <c r="S47" i="34" s="1"/>
  <c r="J47" i="34"/>
  <c r="AC47" i="34" s="1"/>
  <c r="F13" i="35"/>
  <c r="J13" i="35"/>
  <c r="AC13" i="35"/>
  <c r="H13" i="35"/>
  <c r="U13" i="35" s="1"/>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C27" i="37" s="1"/>
  <c r="AA44" i="33"/>
  <c r="U46" i="33"/>
  <c r="AA14" i="33"/>
  <c r="J36" i="37"/>
  <c r="AC36" i="37"/>
  <c r="J10" i="36"/>
  <c r="AC10" i="36" s="1"/>
  <c r="AB26" i="33"/>
  <c r="AB30" i="21"/>
  <c r="S11" i="36"/>
  <c r="AB46" i="34"/>
  <c r="AA14"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AZ560" i="3" s="1"/>
  <c r="BA558" i="3"/>
  <c r="AZ558" i="3" s="1"/>
  <c r="BA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AZ526" i="3" s="1"/>
  <c r="BA524" i="3"/>
  <c r="BA522" i="3"/>
  <c r="BA520" i="3"/>
  <c r="BA518" i="3"/>
  <c r="AZ518" i="3" s="1"/>
  <c r="BA516" i="3"/>
  <c r="BA514" i="3"/>
  <c r="BA512" i="3"/>
  <c r="AZ512" i="3" s="1"/>
  <c r="BA510" i="3"/>
  <c r="AZ510" i="3"/>
  <c r="BA508" i="3"/>
  <c r="AZ508" i="3" s="1"/>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s="1"/>
  <c r="BQ521" i="3"/>
  <c r="BL521" i="3"/>
  <c r="AZ521" i="3" s="1"/>
  <c r="BL520" i="3"/>
  <c r="AZ520" i="3" s="1"/>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s="1"/>
  <c r="F32" i="40"/>
  <c r="S32" i="40"/>
  <c r="H32" i="40"/>
  <c r="AB32" i="40" s="1"/>
  <c r="J36" i="40"/>
  <c r="W36" i="40"/>
  <c r="H19" i="37"/>
  <c r="AB19" i="37" s="1"/>
  <c r="H42" i="33"/>
  <c r="AB42" i="33" s="1"/>
  <c r="J43" i="33"/>
  <c r="AC43" i="33" s="1"/>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G149" i="3"/>
  <c r="BA151" i="3"/>
  <c r="BL152" i="3"/>
  <c r="AZ152" i="3" s="1"/>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94" i="3"/>
  <c r="AZ198" i="3"/>
  <c r="AZ500" i="3"/>
  <c r="BA16" i="3"/>
  <c r="AZ16" i="3"/>
  <c r="BL303" i="3"/>
  <c r="G304" i="3"/>
  <c r="BA306" i="3"/>
  <c r="BL307" i="3"/>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AZ387" i="3" s="1"/>
  <c r="BL388" i="3"/>
  <c r="G389" i="3"/>
  <c r="BA391" i="3"/>
  <c r="BL392" i="3"/>
  <c r="AZ392" i="3" s="1"/>
  <c r="G393" i="3"/>
  <c r="BO5" i="3"/>
  <c r="BM5" i="3"/>
  <c r="BJ5" i="3"/>
  <c r="BH5" i="3"/>
  <c r="BF5" i="3"/>
  <c r="AZ325" i="3"/>
  <c r="AC5" i="3"/>
  <c r="AZ506" i="3"/>
  <c r="AZ496" i="3"/>
  <c r="G548" i="3"/>
  <c r="G538" i="3"/>
  <c r="G520" i="3"/>
  <c r="G502" i="3"/>
  <c r="BS5" i="3"/>
  <c r="BP5" i="3"/>
  <c r="BN5" i="3"/>
  <c r="BK5" i="3"/>
  <c r="BI5" i="3"/>
  <c r="BG5" i="3"/>
  <c r="BE5" i="3"/>
  <c r="BC5" i="3"/>
  <c r="G17" i="3"/>
  <c r="BA17" i="3"/>
  <c r="BT5" i="3"/>
  <c r="AZ350" i="3"/>
  <c r="BA15" i="3"/>
  <c r="BR5" i="3"/>
  <c r="AZ380" i="3"/>
  <c r="AZ499"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G29" i="6"/>
  <c r="AC26" i="33"/>
  <c r="W26" i="33"/>
  <c r="W27" i="34"/>
  <c r="AC27" i="34"/>
  <c r="AB34" i="36"/>
  <c r="U34" i="36"/>
  <c r="AB33" i="36"/>
  <c r="U33" i="36"/>
  <c r="AC12" i="39"/>
  <c r="W12" i="39"/>
  <c r="AC39" i="40"/>
  <c r="W39" i="40"/>
  <c r="W12" i="33"/>
  <c r="AC12" i="33"/>
  <c r="AA32" i="36"/>
  <c r="S32" i="36"/>
  <c r="AZ473" i="3"/>
  <c r="BL14" i="3"/>
  <c r="U30" i="33"/>
  <c r="AC13" i="34"/>
  <c r="AA47" i="34"/>
  <c r="W28" i="37"/>
  <c r="S19" i="39"/>
  <c r="F12" i="33"/>
  <c r="H12" i="39"/>
  <c r="AB12" i="39" s="1"/>
  <c r="F39" i="40"/>
  <c r="S39" i="40" s="1"/>
  <c r="BA14" i="3"/>
  <c r="AZ254" i="3"/>
  <c r="AZ173" i="3"/>
  <c r="AZ181"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AB14" i="36"/>
  <c r="U22" i="36"/>
  <c r="S16" i="36"/>
  <c r="AA25" i="36"/>
  <c r="S24" i="36"/>
  <c r="U24" i="36"/>
  <c r="U23"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M18" i="15"/>
  <c r="AA39" i="40"/>
  <c r="S12" i="33"/>
  <c r="AA12" i="33"/>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S37" i="21"/>
  <c r="AB15" i="21"/>
  <c r="J23" i="21"/>
  <c r="F85" i="21"/>
  <c r="G85" i="21" s="1"/>
  <c r="H23" i="21"/>
  <c r="S13" i="21"/>
  <c r="AP7" i="1"/>
  <c r="AB45" i="21"/>
  <c r="AB9" i="21"/>
  <c r="AA32" i="21"/>
  <c r="S32" i="21"/>
  <c r="W9" i="21"/>
  <c r="AC9" i="21"/>
  <c r="AB32" i="21"/>
  <c r="U32" i="21"/>
  <c r="A18" i="62"/>
  <c r="B64" i="72" s="1"/>
  <c r="U32" i="39"/>
  <c r="AC32" i="39"/>
  <c r="J11" i="37"/>
  <c r="AC11" i="37" s="1"/>
  <c r="J11" i="34"/>
  <c r="W11" i="34" s="1"/>
  <c r="W27" i="33"/>
  <c r="W25" i="33"/>
  <c r="AA17" i="33"/>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7" i="15"/>
  <c r="F9" i="67"/>
  <c r="D34" i="9"/>
  <c r="C20" i="9"/>
  <c r="F7" i="73"/>
  <c r="F20" i="31"/>
  <c r="D19" i="9"/>
  <c r="F5" i="73"/>
  <c r="M6" i="67"/>
  <c r="E12" i="76"/>
  <c r="D20" i="9"/>
  <c r="E2" i="68"/>
  <c r="E13" i="76"/>
  <c r="F13" i="15"/>
  <c r="J15" i="15"/>
  <c r="F6" i="67"/>
  <c r="F6" i="73"/>
  <c r="D6" i="73"/>
  <c r="B11" i="76"/>
  <c r="B12" i="76"/>
  <c r="F36" i="15"/>
  <c r="AO13" i="1"/>
  <c r="M26" i="15"/>
  <c r="B9" i="76"/>
  <c r="M9" i="67"/>
  <c r="B13" i="76"/>
  <c r="F3" i="73"/>
  <c r="E2" i="69"/>
  <c r="F26" i="67"/>
  <c r="D35" i="9"/>
  <c r="F16" i="67"/>
  <c r="E7" i="76"/>
  <c r="F43" i="15"/>
  <c r="F8" i="15"/>
  <c r="F38" i="15"/>
  <c r="F42" i="67"/>
  <c r="M8" i="15"/>
  <c r="F36" i="67"/>
  <c r="B8" i="76"/>
  <c r="E8" i="76"/>
  <c r="F4" i="73"/>
  <c r="B7" i="76"/>
  <c r="E9" i="76"/>
  <c r="F13" i="67"/>
  <c r="C76" i="67"/>
  <c r="M29" i="67"/>
  <c r="M26" i="67"/>
  <c r="M24" i="15"/>
  <c r="E11" i="76"/>
  <c r="F7" i="67"/>
  <c r="C19" i="9"/>
  <c r="M8" i="67"/>
  <c r="F7" i="15"/>
  <c r="E10" i="76"/>
  <c r="F40" i="67"/>
  <c r="B10" i="76"/>
  <c r="M6" i="15"/>
  <c r="J15" i="67"/>
  <c r="M23" i="67"/>
  <c r="R36" i="36" l="1"/>
  <c r="W30" i="36"/>
  <c r="S20" i="36"/>
  <c r="AB20" i="36"/>
  <c r="S18" i="36"/>
  <c r="S14" i="36"/>
  <c r="W14" i="36"/>
  <c r="K8" i="1"/>
  <c r="M8" i="1" s="1"/>
  <c r="AP6" i="1"/>
  <c r="M6" i="1"/>
  <c r="C36" i="68" s="1"/>
  <c r="G13" i="3"/>
  <c r="M18" i="67"/>
  <c r="F30" i="11"/>
  <c r="C48" i="11" s="1"/>
  <c r="D68" i="9"/>
  <c r="F28" i="15"/>
  <c r="C28" i="15" s="1"/>
  <c r="F32" i="67"/>
  <c r="F60" i="67" s="1"/>
  <c r="F28" i="67"/>
  <c r="F32" i="15"/>
  <c r="F60" i="15" s="1"/>
  <c r="F52" i="9"/>
  <c r="F30" i="68"/>
  <c r="F48" i="68" s="1"/>
  <c r="F54" i="9"/>
  <c r="F30" i="69"/>
  <c r="F48" i="69" s="1"/>
  <c r="F31" i="12"/>
  <c r="C21" i="68"/>
  <c r="C7" i="40"/>
  <c r="C63" i="40" s="1"/>
  <c r="C7" i="39"/>
  <c r="C67" i="39" s="1"/>
  <c r="C7" i="34"/>
  <c r="C7" i="21"/>
  <c r="C58" i="21" s="1"/>
  <c r="D58" i="21" s="1"/>
  <c r="C7" i="37"/>
  <c r="C52" i="37" s="1"/>
  <c r="D52" i="37" s="1"/>
  <c r="G23" i="43"/>
  <c r="C23" i="43" s="1"/>
  <c r="C7" i="33"/>
  <c r="AZ171" i="3"/>
  <c r="AB19" i="33"/>
  <c r="W23" i="37"/>
  <c r="AZ529" i="3"/>
  <c r="AZ585" i="3"/>
  <c r="AB36" i="33"/>
  <c r="AA23" i="21"/>
  <c r="AA19" i="33"/>
  <c r="AC15" i="21"/>
  <c r="AC20" i="36"/>
  <c r="AA39" i="39"/>
  <c r="AA30" i="40"/>
  <c r="AC11" i="39"/>
  <c r="F29" i="6"/>
  <c r="AZ391" i="3"/>
  <c r="AZ318" i="3"/>
  <c r="AZ364" i="3"/>
  <c r="AZ346" i="3"/>
  <c r="AZ329" i="3"/>
  <c r="AZ306" i="3"/>
  <c r="AZ513" i="3"/>
  <c r="AZ575" i="3"/>
  <c r="AZ502" i="3"/>
  <c r="W31" i="34"/>
  <c r="AZ519" i="3"/>
  <c r="AZ531" i="3"/>
  <c r="AZ573" i="3"/>
  <c r="AZ583" i="3"/>
  <c r="AZ576" i="3"/>
  <c r="AC40" i="33"/>
  <c r="W40" i="33"/>
  <c r="D6" i="52"/>
  <c r="S36" i="33"/>
  <c r="AA23" i="37"/>
  <c r="W33" i="34"/>
  <c r="AA40" i="34"/>
  <c r="W27" i="40"/>
  <c r="U32" i="37"/>
  <c r="AZ14" i="3"/>
  <c r="AZ345" i="3"/>
  <c r="AZ334" i="3"/>
  <c r="AZ372" i="3"/>
  <c r="AZ347" i="3"/>
  <c r="AZ337" i="3"/>
  <c r="AZ123" i="3"/>
  <c r="AZ376" i="3"/>
  <c r="AZ309" i="3"/>
  <c r="AA11" i="39"/>
  <c r="AZ515" i="3"/>
  <c r="AZ523" i="3"/>
  <c r="AZ547" i="3"/>
  <c r="AZ569" i="3"/>
  <c r="AZ571" i="3"/>
  <c r="AZ579" i="3"/>
  <c r="AZ516" i="3"/>
  <c r="AZ524" i="3"/>
  <c r="AC11" i="35"/>
  <c r="BL585" i="3"/>
  <c r="B75" i="43"/>
  <c r="H9" i="33"/>
  <c r="AZ217" i="3"/>
  <c r="B79" i="43"/>
  <c r="H23" i="35"/>
  <c r="J23" i="36"/>
  <c r="F44" i="39"/>
  <c r="BL587" i="3"/>
  <c r="AZ587" i="3" s="1"/>
  <c r="BL586" i="3"/>
  <c r="AZ586" i="3" s="1"/>
  <c r="J12" i="35"/>
  <c r="BA551" i="3"/>
  <c r="AZ551" i="3" s="1"/>
  <c r="BA550" i="3"/>
  <c r="BL548" i="3"/>
  <c r="AZ548" i="3" s="1"/>
  <c r="BA401" i="3"/>
  <c r="BA403" i="3"/>
  <c r="AZ403" i="3" s="1"/>
  <c r="BA404" i="3"/>
  <c r="BA405" i="3"/>
  <c r="BL410" i="3"/>
  <c r="G412" i="3"/>
  <c r="G418" i="3"/>
  <c r="BA422" i="3"/>
  <c r="G429" i="3"/>
  <c r="BL431" i="3"/>
  <c r="G433" i="3"/>
  <c r="BL434" i="3"/>
  <c r="G436" i="3"/>
  <c r="BL438" i="3"/>
  <c r="BL439" i="3"/>
  <c r="BA441" i="3"/>
  <c r="AZ464" i="3"/>
  <c r="BL468" i="3"/>
  <c r="BL470" i="3"/>
  <c r="AZ476" i="3"/>
  <c r="BA482" i="3"/>
  <c r="BA484" i="3"/>
  <c r="AZ484" i="3" s="1"/>
  <c r="G491" i="3"/>
  <c r="BA303" i="3"/>
  <c r="AZ303" i="3" s="1"/>
  <c r="BA307" i="3"/>
  <c r="AZ307" i="3" s="1"/>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AZ251" i="3" s="1"/>
  <c r="BL251" i="3"/>
  <c r="BA253" i="3"/>
  <c r="BL260" i="3"/>
  <c r="G262" i="3"/>
  <c r="BL263" i="3"/>
  <c r="G264" i="3"/>
  <c r="BL270" i="3"/>
  <c r="AZ270" i="3" s="1"/>
  <c r="BA272" i="3"/>
  <c r="AZ272" i="3" s="1"/>
  <c r="BL275" i="3"/>
  <c r="AZ275" i="3" s="1"/>
  <c r="G277" i="3"/>
  <c r="BA177" i="3"/>
  <c r="BA201" i="3"/>
  <c r="BA445" i="3"/>
  <c r="BA447" i="3"/>
  <c r="AZ447" i="3" s="1"/>
  <c r="BA449" i="3"/>
  <c r="BL453" i="3"/>
  <c r="BL454" i="3"/>
  <c r="G458" i="3"/>
  <c r="BL459" i="3"/>
  <c r="G462" i="3"/>
  <c r="BA465" i="3"/>
  <c r="AZ465" i="3" s="1"/>
  <c r="BA467" i="3"/>
  <c r="BL471" i="3"/>
  <c r="BL475" i="3"/>
  <c r="BA477" i="3"/>
  <c r="BA478" i="3"/>
  <c r="BA277" i="3"/>
  <c r="AZ277" i="3" s="1"/>
  <c r="BL277" i="3"/>
  <c r="BA282" i="3"/>
  <c r="AZ282" i="3" s="1"/>
  <c r="BL282" i="3"/>
  <c r="BA284" i="3"/>
  <c r="BL290" i="3"/>
  <c r="BL291" i="3"/>
  <c r="AZ291" i="3" s="1"/>
  <c r="BL293" i="3"/>
  <c r="BL294" i="3"/>
  <c r="BA297" i="3"/>
  <c r="BL297" i="3"/>
  <c r="BL300" i="3"/>
  <c r="BA302" i="3"/>
  <c r="BA117" i="3"/>
  <c r="BA130" i="3"/>
  <c r="AZ130" i="3" s="1"/>
  <c r="BL130"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BL460" i="3"/>
  <c r="BL461" i="3"/>
  <c r="BL463" i="3"/>
  <c r="G465"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L134" i="3"/>
  <c r="BL137" i="3"/>
  <c r="AZ137" i="3" s="1"/>
  <c r="BA149" i="3"/>
  <c r="AZ149" i="3" s="1"/>
  <c r="G551" i="3"/>
  <c r="BL550" i="3"/>
  <c r="G542" i="3"/>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BL444" i="3"/>
  <c r="AZ444" i="3" s="1"/>
  <c r="G446" i="3"/>
  <c r="BL448" i="3"/>
  <c r="AZ448" i="3" s="1"/>
  <c r="G450" i="3"/>
  <c r="G451" i="3"/>
  <c r="BA454" i="3"/>
  <c r="AZ454" i="3" s="1"/>
  <c r="BA457" i="3"/>
  <c r="AZ457" i="3" s="1"/>
  <c r="BA459" i="3"/>
  <c r="AZ459" i="3" s="1"/>
  <c r="BA460" i="3"/>
  <c r="BA461" i="3"/>
  <c r="AZ461" i="3" s="1"/>
  <c r="BL464" i="3"/>
  <c r="BL466" i="3"/>
  <c r="AZ466" i="3" s="1"/>
  <c r="G468" i="3"/>
  <c r="G469" i="3"/>
  <c r="BL476" i="3"/>
  <c r="BL477" i="3"/>
  <c r="BL478" i="3"/>
  <c r="G479" i="3"/>
  <c r="G480" i="3"/>
  <c r="BL480" i="3"/>
  <c r="AZ480" i="3" s="1"/>
  <c r="G482" i="3"/>
  <c r="BA483" i="3"/>
  <c r="BL483" i="3"/>
  <c r="BA486" i="3"/>
  <c r="BL489" i="3"/>
  <c r="BL491" i="3"/>
  <c r="AZ491" i="3" s="1"/>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BA128" i="3"/>
  <c r="AZ128" i="3" s="1"/>
  <c r="BA148" i="3"/>
  <c r="AZ148" i="3" s="1"/>
  <c r="BA162" i="3"/>
  <c r="AZ162" i="3" s="1"/>
  <c r="G48" i="3"/>
  <c r="BA144" i="3"/>
  <c r="AZ144" i="3" s="1"/>
  <c r="G152" i="3"/>
  <c r="BA153" i="3"/>
  <c r="BL155" i="3"/>
  <c r="AZ155" i="3" s="1"/>
  <c r="BA164" i="3"/>
  <c r="AZ164" i="3" s="1"/>
  <c r="BA166" i="3"/>
  <c r="AZ166" i="3" s="1"/>
  <c r="BA169" i="3"/>
  <c r="AZ169" i="3" s="1"/>
  <c r="BL171" i="3"/>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68" i="3"/>
  <c r="BA69" i="3"/>
  <c r="AZ69" i="3" s="1"/>
  <c r="BL73" i="3"/>
  <c r="BA74" i="3"/>
  <c r="AZ74" i="3" s="1"/>
  <c r="BA75" i="3"/>
  <c r="AZ75" i="3" s="1"/>
  <c r="AZ100" i="3"/>
  <c r="AZ103" i="3"/>
  <c r="B13" i="1"/>
  <c r="E13" i="1" s="1"/>
  <c r="K13" i="1"/>
  <c r="M13" i="1" s="1"/>
  <c r="O13" i="1" s="1"/>
  <c r="P13" i="1" s="1"/>
  <c r="P65" i="71"/>
  <c r="P66" i="71"/>
  <c r="B27" i="71"/>
  <c r="B26" i="71" s="1"/>
  <c r="S28" i="71"/>
  <c r="C55" i="71"/>
  <c r="D54" i="71"/>
  <c r="T40" i="71"/>
  <c r="D40" i="71"/>
  <c r="C47" i="71"/>
  <c r="D47" i="71" s="1"/>
  <c r="D46" i="71"/>
  <c r="C52" i="71"/>
  <c r="D51" i="71"/>
  <c r="V24" i="71"/>
  <c r="E23" i="71"/>
  <c r="E22" i="71" s="1"/>
  <c r="E21" i="71" s="1"/>
  <c r="E20" i="71" s="1"/>
  <c r="V20" i="71" s="1"/>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AZ190" i="3" s="1"/>
  <c r="G196" i="3"/>
  <c r="BA197" i="3"/>
  <c r="AZ197" i="3" s="1"/>
  <c r="BL201" i="3"/>
  <c r="BL203" i="3"/>
  <c r="AZ203" i="3" s="1"/>
  <c r="BA204" i="3"/>
  <c r="AZ204" i="3" s="1"/>
  <c r="BA18" i="3"/>
  <c r="AZ18" i="3" s="1"/>
  <c r="G21" i="3"/>
  <c r="BL21" i="3"/>
  <c r="G23" i="3"/>
  <c r="G29" i="3"/>
  <c r="BL29" i="3"/>
  <c r="G33" i="3"/>
  <c r="G34" i="3"/>
  <c r="BA37" i="3"/>
  <c r="G39" i="3"/>
  <c r="BL39" i="3"/>
  <c r="G43" i="3"/>
  <c r="G44" i="3"/>
  <c r="BA45" i="3"/>
  <c r="AZ45" i="3" s="1"/>
  <c r="BA46" i="3"/>
  <c r="BL49" i="3"/>
  <c r="AZ49" i="3" s="1"/>
  <c r="BL50" i="3"/>
  <c r="AZ50" i="3" s="1"/>
  <c r="BL51" i="3"/>
  <c r="AZ51" i="3" s="1"/>
  <c r="G53" i="3"/>
  <c r="BL53" i="3"/>
  <c r="BA56" i="3"/>
  <c r="AZ56" i="3" s="1"/>
  <c r="BA57" i="3"/>
  <c r="BL58" i="3"/>
  <c r="AZ58" i="3" s="1"/>
  <c r="G60" i="3"/>
  <c r="BA60" i="3"/>
  <c r="BA63" i="3"/>
  <c r="BA66" i="3"/>
  <c r="BA71" i="3"/>
  <c r="G76" i="3"/>
  <c r="G78" i="3"/>
  <c r="G79" i="3"/>
  <c r="G81" i="3"/>
  <c r="BL99" i="3"/>
  <c r="BA102" i="3"/>
  <c r="D31" i="71"/>
  <c r="C32" i="71"/>
  <c r="BA146" i="3"/>
  <c r="AZ146" i="3" s="1"/>
  <c r="BA150" i="3"/>
  <c r="AZ150" i="3" s="1"/>
  <c r="G159" i="3"/>
  <c r="BL167" i="3"/>
  <c r="AZ167" i="3" s="1"/>
  <c r="G175" i="3"/>
  <c r="G176" i="3"/>
  <c r="BL178" i="3"/>
  <c r="BA180" i="3"/>
  <c r="AZ180" i="3" s="1"/>
  <c r="BL182" i="3"/>
  <c r="AZ182" i="3" s="1"/>
  <c r="G183" i="3"/>
  <c r="BA185" i="3"/>
  <c r="AZ185" i="3" s="1"/>
  <c r="BL191" i="3"/>
  <c r="AZ191" i="3" s="1"/>
  <c r="G192" i="3"/>
  <c r="BA193" i="3"/>
  <c r="BA196" i="3"/>
  <c r="AZ196" i="3" s="1"/>
  <c r="BA205" i="3"/>
  <c r="AZ205" i="3" s="1"/>
  <c r="G20" i="3"/>
  <c r="BL20" i="3"/>
  <c r="BA21" i="3"/>
  <c r="AZ21" i="3" s="1"/>
  <c r="BA25" i="3"/>
  <c r="AZ25" i="3" s="1"/>
  <c r="BA26" i="3"/>
  <c r="G28" i="3"/>
  <c r="BL28" i="3"/>
  <c r="BA29" i="3"/>
  <c r="AZ29" i="3" s="1"/>
  <c r="BA36" i="3"/>
  <c r="BL38" i="3"/>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BA80" i="3"/>
  <c r="BL84" i="3"/>
  <c r="BA90" i="3"/>
  <c r="AZ90" i="3" s="1"/>
  <c r="BL94" i="3"/>
  <c r="AZ94" i="3" s="1"/>
  <c r="BA105" i="3"/>
  <c r="AZ105" i="3" s="1"/>
  <c r="BA106" i="3"/>
  <c r="BL108" i="3"/>
  <c r="BA111" i="3"/>
  <c r="AZ111" i="3" s="1"/>
  <c r="G85" i="3"/>
  <c r="BL85" i="3"/>
  <c r="BA86" i="3"/>
  <c r="AZ86" i="3" s="1"/>
  <c r="BA87" i="3"/>
  <c r="BA91" i="3"/>
  <c r="AZ91" i="3" s="1"/>
  <c r="G96" i="3"/>
  <c r="BL97" i="3"/>
  <c r="AZ97" i="3" s="1"/>
  <c r="BL101" i="3"/>
  <c r="BL102" i="3"/>
  <c r="G104" i="3"/>
  <c r="G105" i="3"/>
  <c r="BL106" i="3"/>
  <c r="BA108" i="3"/>
  <c r="AZ108" i="3" s="1"/>
  <c r="BA110" i="3"/>
  <c r="AZ110" i="3" s="1"/>
  <c r="F3" i="35"/>
  <c r="S21" i="37"/>
  <c r="S25" i="40"/>
  <c r="B77" i="43"/>
  <c r="AA18" i="35"/>
  <c r="T60" i="71"/>
  <c r="O66" i="71"/>
  <c r="D71" i="71"/>
  <c r="O67" i="71"/>
  <c r="AA28" i="71"/>
  <c r="AB27" i="71"/>
  <c r="E79" i="71"/>
  <c r="E78" i="71" s="1"/>
  <c r="E75" i="71"/>
  <c r="E74" i="71" s="1"/>
  <c r="AB25" i="71"/>
  <c r="C43" i="71"/>
  <c r="X26" i="71"/>
  <c r="C35" i="71"/>
  <c r="Y29" i="71"/>
  <c r="Z29" i="71" s="1"/>
  <c r="N68" i="71"/>
  <c r="E38" i="71"/>
  <c r="E39" i="71" s="1"/>
  <c r="E40" i="71" s="1"/>
  <c r="U40" i="71" s="1"/>
  <c r="AB32" i="71"/>
  <c r="X33" i="71"/>
  <c r="AB37" i="71"/>
  <c r="B67" i="71"/>
  <c r="B75" i="71"/>
  <c r="B74" i="71" s="1"/>
  <c r="X28" i="71"/>
  <c r="F67" i="71"/>
  <c r="F75" i="71"/>
  <c r="F74" i="71" s="1"/>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D39" i="71"/>
  <c r="C74" i="71"/>
  <c r="D74" i="71" s="1"/>
  <c r="C27" i="71"/>
  <c r="D30" i="71"/>
  <c r="Y27" i="71"/>
  <c r="Z27" i="71" s="1"/>
  <c r="X31" i="71"/>
  <c r="AA34" i="71"/>
  <c r="B51" i="71"/>
  <c r="B52" i="71" s="1"/>
  <c r="S52" i="71" s="1"/>
  <c r="E51" i="71"/>
  <c r="E52" i="71" s="1"/>
  <c r="U52" i="71" s="1"/>
  <c r="AC21" i="37"/>
  <c r="U21" i="34"/>
  <c r="B57" i="43"/>
  <c r="D66" i="71"/>
  <c r="D28" i="71"/>
  <c r="U28" i="71" s="1"/>
  <c r="X36" i="71"/>
  <c r="AB33" i="71"/>
  <c r="AA30" i="71"/>
  <c r="B32" i="71"/>
  <c r="S32" i="71" s="1"/>
  <c r="AB34" i="71"/>
  <c r="AB31" i="71"/>
  <c r="AB36" i="71"/>
  <c r="B55" i="71"/>
  <c r="B56" i="71" s="1"/>
  <c r="S56"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BL42" i="3"/>
  <c r="AZ42" i="3" s="1"/>
  <c r="BA44" i="3"/>
  <c r="AZ44" i="3" s="1"/>
  <c r="AZ4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O6" i="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T36" i="36" s="1"/>
  <c r="S27" i="36"/>
  <c r="AC27" i="36"/>
  <c r="V36" i="36" s="1"/>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M7" i="15"/>
  <c r="F50" i="15"/>
  <c r="F51" i="15"/>
  <c r="F71" i="15"/>
  <c r="L59" i="15"/>
  <c r="N59" i="15"/>
  <c r="M59" i="15"/>
  <c r="F66" i="15"/>
  <c r="Q71" i="67"/>
  <c r="F64" i="15"/>
  <c r="D103" i="9"/>
  <c r="C27" i="67"/>
  <c r="G20" i="9"/>
  <c r="C103" i="9"/>
  <c r="B13" i="70"/>
  <c r="M7" i="67"/>
  <c r="J6" i="67" s="1"/>
  <c r="F50" i="67"/>
  <c r="F68" i="67"/>
  <c r="F64" i="67"/>
  <c r="D9" i="68"/>
  <c r="C76" i="15"/>
  <c r="L48" i="67"/>
  <c r="F16" i="15"/>
  <c r="M22" i="15"/>
  <c r="F9" i="15"/>
  <c r="F42" i="15"/>
  <c r="D4" i="73"/>
  <c r="L47" i="67"/>
  <c r="F26" i="15"/>
  <c r="M29" i="15"/>
  <c r="M24" i="67"/>
  <c r="F37" i="15"/>
  <c r="M23" i="15"/>
  <c r="D3" i="73"/>
  <c r="F38" i="67"/>
  <c r="D9" i="69"/>
  <c r="D5" i="73"/>
  <c r="M28" i="67"/>
  <c r="C36" i="69"/>
  <c r="M28" i="15"/>
  <c r="M9" i="15"/>
  <c r="F40" i="15"/>
  <c r="F43" i="67"/>
  <c r="M22" i="67"/>
  <c r="D7" i="73"/>
  <c r="F8" i="67"/>
  <c r="F6" i="15"/>
  <c r="F37" i="67"/>
  <c r="L48" i="15"/>
  <c r="R37" i="36" l="1"/>
  <c r="K16" i="1"/>
  <c r="H16" i="1"/>
  <c r="Q16" i="1"/>
  <c r="J26" i="43"/>
  <c r="F26" i="43"/>
  <c r="N94" i="46"/>
  <c r="N370" i="46"/>
  <c r="M59" i="67"/>
  <c r="N59" i="67"/>
  <c r="L59" i="67"/>
  <c r="Q74" i="67" s="1"/>
  <c r="L58" i="67"/>
  <c r="Q73" i="67" s="1"/>
  <c r="I54" i="67"/>
  <c r="J53" i="67"/>
  <c r="F1" i="67" s="1"/>
  <c r="J57" i="67"/>
  <c r="J55" i="67" s="1"/>
  <c r="J58" i="67" s="1"/>
  <c r="Q50" i="67" s="1"/>
  <c r="L56" i="67"/>
  <c r="Q71" i="15"/>
  <c r="F31" i="15"/>
  <c r="C6" i="15"/>
  <c r="C32" i="15" s="1"/>
  <c r="F65" i="67"/>
  <c r="C27" i="15"/>
  <c r="F31" i="67"/>
  <c r="C6" i="67"/>
  <c r="C32" i="67" s="1"/>
  <c r="F51" i="67"/>
  <c r="F59" i="67" s="1"/>
  <c r="F71" i="67"/>
  <c r="F68" i="15"/>
  <c r="F65" i="15"/>
  <c r="I54" i="15"/>
  <c r="L58" i="15"/>
  <c r="Q73" i="15" s="1"/>
  <c r="J53" i="15"/>
  <c r="L56" i="15" s="1"/>
  <c r="J57" i="15"/>
  <c r="J55" i="15" s="1"/>
  <c r="J58" i="15" s="1"/>
  <c r="Q50" i="15" s="1"/>
  <c r="F66" i="67"/>
  <c r="J6" i="15"/>
  <c r="J18" i="15" s="1"/>
  <c r="AZ178" i="3"/>
  <c r="AZ550" i="3"/>
  <c r="AC23" i="36"/>
  <c r="W23" i="36"/>
  <c r="F66" i="71"/>
  <c r="Q67" i="71"/>
  <c r="C44" i="71"/>
  <c r="D43" i="71"/>
  <c r="E26" i="43"/>
  <c r="H26" i="43"/>
  <c r="AZ99" i="3"/>
  <c r="AZ80" i="3"/>
  <c r="C26" i="71"/>
  <c r="D26" i="71" s="1"/>
  <c r="D27" i="71"/>
  <c r="T32" i="71"/>
  <c r="D32" i="71"/>
  <c r="AZ71" i="3"/>
  <c r="T52" i="71"/>
  <c r="D52" i="71"/>
  <c r="AZ483" i="3"/>
  <c r="AZ415" i="3"/>
  <c r="AZ398" i="3"/>
  <c r="AZ271" i="3"/>
  <c r="AZ368" i="3"/>
  <c r="AZ353" i="3"/>
  <c r="AZ297" i="3"/>
  <c r="AZ201" i="3"/>
  <c r="AZ249" i="3"/>
  <c r="AZ401" i="3"/>
  <c r="U23" i="35"/>
  <c r="AB23" i="35"/>
  <c r="AB9" i="33"/>
  <c r="U9" i="33"/>
  <c r="G5" i="3"/>
  <c r="B3" i="3" s="1"/>
  <c r="E300" i="3" s="1"/>
  <c r="C36" i="71"/>
  <c r="D35" i="71"/>
  <c r="AZ66" i="3"/>
  <c r="AZ302" i="3"/>
  <c r="AZ284" i="3"/>
  <c r="AZ177" i="3"/>
  <c r="AZ332" i="3"/>
  <c r="AZ441" i="3"/>
  <c r="AZ422" i="3"/>
  <c r="AZ405" i="3"/>
  <c r="W12" i="35"/>
  <c r="AC12" i="35"/>
  <c r="AZ37" i="3"/>
  <c r="AZ26" i="3"/>
  <c r="AZ292" i="3"/>
  <c r="AZ213" i="3"/>
  <c r="N67" i="71"/>
  <c r="B66" i="71"/>
  <c r="AZ38" i="3"/>
  <c r="AZ102" i="3"/>
  <c r="AZ63" i="3"/>
  <c r="AZ57" i="3"/>
  <c r="C56" i="71"/>
  <c r="D55" i="71"/>
  <c r="AZ28" i="3"/>
  <c r="AZ460" i="3"/>
  <c r="AZ274" i="3"/>
  <c r="AZ453" i="3"/>
  <c r="AZ247" i="3"/>
  <c r="AZ404" i="3"/>
  <c r="AA44" i="39"/>
  <c r="S44" i="39"/>
  <c r="G16" i="1"/>
  <c r="F10" i="39" s="1"/>
  <c r="AA10" i="39" s="1"/>
  <c r="J7" i="37"/>
  <c r="K1" i="7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AA7" i="36" s="1"/>
  <c r="H7" i="36"/>
  <c r="AB7"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AC7" i="36"/>
  <c r="I36" i="36" s="1"/>
  <c r="W7" i="36"/>
  <c r="F7" i="37"/>
  <c r="M17" i="67"/>
  <c r="M17" i="15"/>
  <c r="F59" i="15"/>
  <c r="P28" i="43"/>
  <c r="B66" i="40" s="1"/>
  <c r="P25" i="43"/>
  <c r="P29" i="43"/>
  <c r="P27" i="43"/>
  <c r="B70" i="39" s="1"/>
  <c r="C49" i="15"/>
  <c r="C32" i="9"/>
  <c r="M11" i="67"/>
  <c r="J10" i="67" s="1"/>
  <c r="J5" i="67" s="1"/>
  <c r="F11" i="15"/>
  <c r="M11" i="15"/>
  <c r="J10" i="15" s="1"/>
  <c r="F11" i="67"/>
  <c r="J18" i="67"/>
  <c r="Q74" i="15"/>
  <c r="Q61" i="15"/>
  <c r="AE11" i="1"/>
  <c r="AE6" i="1"/>
  <c r="AE9" i="1"/>
  <c r="AE7" i="1"/>
  <c r="AE8" i="1"/>
  <c r="AE12" i="1"/>
  <c r="AE10" i="1"/>
  <c r="G1" i="73"/>
  <c r="F41" i="67"/>
  <c r="C16" i="15"/>
  <c r="C16" i="67"/>
  <c r="F27" i="69"/>
  <c r="U7" i="36" l="1"/>
  <c r="S7" i="36"/>
  <c r="F45" i="69"/>
  <c r="F27" i="11"/>
  <c r="F28" i="12"/>
  <c r="C29" i="12" s="1"/>
  <c r="D28" i="12" s="1"/>
  <c r="C29" i="69"/>
  <c r="D27" i="69" s="1"/>
  <c r="C47" i="69"/>
  <c r="D45" i="69" s="1"/>
  <c r="D26" i="43"/>
  <c r="C25" i="43" s="1"/>
  <c r="C33" i="43" s="1"/>
  <c r="F27" i="68"/>
  <c r="C47" i="68" s="1"/>
  <c r="D45" i="68" s="1"/>
  <c r="E131" i="3"/>
  <c r="E487" i="3"/>
  <c r="X6" i="3"/>
  <c r="E215" i="3"/>
  <c r="E526" i="3"/>
  <c r="E485" i="3"/>
  <c r="E587" i="3"/>
  <c r="E134" i="3"/>
  <c r="E555" i="3"/>
  <c r="E515" i="3"/>
  <c r="E573" i="3"/>
  <c r="E559" i="3"/>
  <c r="E366" i="3"/>
  <c r="E236" i="3"/>
  <c r="E262" i="3"/>
  <c r="E272" i="3"/>
  <c r="Y6" i="3"/>
  <c r="E342" i="3"/>
  <c r="E264" i="3"/>
  <c r="E510" i="3"/>
  <c r="E378" i="3"/>
  <c r="E118" i="3"/>
  <c r="AY6" i="3"/>
  <c r="AY87" i="3" s="1"/>
  <c r="E142" i="3"/>
  <c r="E296" i="3"/>
  <c r="E100" i="3"/>
  <c r="E423" i="3"/>
  <c r="E445" i="3"/>
  <c r="E189" i="3"/>
  <c r="M6" i="3"/>
  <c r="E431" i="3"/>
  <c r="E268" i="3"/>
  <c r="E211" i="3"/>
  <c r="E400" i="3"/>
  <c r="E227" i="3"/>
  <c r="E468" i="3"/>
  <c r="AK6" i="3"/>
  <c r="E301" i="3"/>
  <c r="E216" i="3"/>
  <c r="E410" i="3"/>
  <c r="E331" i="3"/>
  <c r="E414" i="3"/>
  <c r="E351" i="3"/>
  <c r="E458" i="3"/>
  <c r="E253" i="3"/>
  <c r="E550" i="3"/>
  <c r="E551" i="3"/>
  <c r="E282" i="3"/>
  <c r="E88" i="3"/>
  <c r="E252" i="3"/>
  <c r="E55" i="3"/>
  <c r="E120" i="3"/>
  <c r="E303" i="3"/>
  <c r="E153" i="3"/>
  <c r="E122" i="3"/>
  <c r="E398" i="3"/>
  <c r="E493" i="3"/>
  <c r="E129" i="3"/>
  <c r="I3" i="6"/>
  <c r="E132" i="3"/>
  <c r="E191" i="3"/>
  <c r="E172" i="3"/>
  <c r="E514" i="3"/>
  <c r="E579" i="3"/>
  <c r="E182" i="3"/>
  <c r="E74" i="3"/>
  <c r="E545" i="3"/>
  <c r="E380" i="3"/>
  <c r="E210" i="3"/>
  <c r="E279" i="3"/>
  <c r="E336" i="3"/>
  <c r="E260" i="3"/>
  <c r="E404" i="3"/>
  <c r="E429" i="3"/>
  <c r="E254" i="3"/>
  <c r="E147" i="3"/>
  <c r="E240" i="3"/>
  <c r="E483" i="3"/>
  <c r="E119" i="3"/>
  <c r="E385" i="3"/>
  <c r="E135" i="3"/>
  <c r="E563" i="3"/>
  <c r="E387" i="3"/>
  <c r="E311" i="3"/>
  <c r="E509" i="3"/>
  <c r="E109" i="3"/>
  <c r="E489" i="3"/>
  <c r="E327" i="3"/>
  <c r="E214" i="3"/>
  <c r="E560" i="3"/>
  <c r="E347" i="3"/>
  <c r="E361" i="3"/>
  <c r="AR6" i="3"/>
  <c r="E343" i="3"/>
  <c r="E447" i="3"/>
  <c r="E269" i="3"/>
  <c r="E433" i="3"/>
  <c r="E99" i="3"/>
  <c r="E382" i="3"/>
  <c r="E130" i="3"/>
  <c r="E396" i="3"/>
  <c r="E334" i="3"/>
  <c r="E443" i="3"/>
  <c r="E394" i="3"/>
  <c r="E481" i="3"/>
  <c r="E156" i="3"/>
  <c r="E169" i="3"/>
  <c r="E432" i="3"/>
  <c r="E582" i="3"/>
  <c r="E455" i="3"/>
  <c r="E452" i="3"/>
  <c r="E539" i="3"/>
  <c r="R6" i="3"/>
  <c r="E56" i="3"/>
  <c r="E425" i="3"/>
  <c r="E144" i="3"/>
  <c r="E332" i="3"/>
  <c r="E251" i="3"/>
  <c r="E469" i="3"/>
  <c r="E243" i="3"/>
  <c r="E83" i="3"/>
  <c r="E490" i="3"/>
  <c r="E333" i="3"/>
  <c r="E339" i="3"/>
  <c r="E218" i="3"/>
  <c r="E65" i="3"/>
  <c r="E209" i="3"/>
  <c r="E373" i="3"/>
  <c r="E167" i="3"/>
  <c r="E532" i="3"/>
  <c r="E397" i="3"/>
  <c r="E546" i="3"/>
  <c r="E29" i="3"/>
  <c r="E574" i="3"/>
  <c r="E418" i="3"/>
  <c r="E213" i="3"/>
  <c r="AN6" i="3"/>
  <c r="E238" i="3"/>
  <c r="E177" i="3"/>
  <c r="E344" i="3"/>
  <c r="E73" i="3"/>
  <c r="E580" i="3"/>
  <c r="E576" i="3"/>
  <c r="E558" i="3"/>
  <c r="E121" i="3"/>
  <c r="E480"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368" i="3"/>
  <c r="Z6" i="3"/>
  <c r="E345" i="3"/>
  <c r="E28" i="3"/>
  <c r="E273" i="3"/>
  <c r="E217" i="3"/>
  <c r="AJ6" i="3"/>
  <c r="E247" i="3"/>
  <c r="E570" i="3"/>
  <c r="E335" i="3"/>
  <c r="E278" i="3"/>
  <c r="E535" i="3"/>
  <c r="E263" i="3"/>
  <c r="E246" i="3"/>
  <c r="E148" i="3"/>
  <c r="E275" i="3"/>
  <c r="E219" i="3"/>
  <c r="E94" i="3"/>
  <c r="E369" i="3"/>
  <c r="E139" i="3"/>
  <c r="E91" i="3"/>
  <c r="E106" i="3"/>
  <c r="E89" i="3"/>
  <c r="E557" i="3"/>
  <c r="E377" i="3"/>
  <c r="E541" i="3"/>
  <c r="E192" i="3"/>
  <c r="E103" i="3"/>
  <c r="E381" i="3"/>
  <c r="E75" i="3"/>
  <c r="E287" i="3"/>
  <c r="E360" i="3"/>
  <c r="E78" i="3"/>
  <c r="E223" i="3"/>
  <c r="E498" i="3"/>
  <c r="E43" i="3"/>
  <c r="E52" i="3"/>
  <c r="E101" i="3"/>
  <c r="E51" i="3"/>
  <c r="E19" i="3"/>
  <c r="E259" i="3"/>
  <c r="E98" i="3"/>
  <c r="E288" i="3"/>
  <c r="E379" i="3"/>
  <c r="E92" i="3"/>
  <c r="E319" i="3"/>
  <c r="E285" i="3"/>
  <c r="E321" i="3"/>
  <c r="E302" i="3"/>
  <c r="E353" i="3"/>
  <c r="E434" i="3"/>
  <c r="Q6" i="3"/>
  <c r="AE6" i="3"/>
  <c r="E203" i="3"/>
  <c r="I6" i="3"/>
  <c r="AG6" i="3"/>
  <c r="E581" i="3"/>
  <c r="E295" i="3"/>
  <c r="E125" i="3"/>
  <c r="E239" i="3"/>
  <c r="E358" i="3"/>
  <c r="E320" i="3"/>
  <c r="E415" i="3"/>
  <c r="E61" i="3"/>
  <c r="E293" i="3"/>
  <c r="E85" i="3"/>
  <c r="E519" i="3"/>
  <c r="E562" i="3"/>
  <c r="E111" i="3"/>
  <c r="E567" i="3"/>
  <c r="E585" i="3"/>
  <c r="E505" i="3"/>
  <c r="E186" i="3"/>
  <c r="E441" i="3"/>
  <c r="E508" i="3"/>
  <c r="E270" i="3"/>
  <c r="E439" i="3"/>
  <c r="E261" i="3"/>
  <c r="E495" i="3"/>
  <c r="E568" i="3"/>
  <c r="E133" i="3"/>
  <c r="E465" i="3"/>
  <c r="E362" i="3"/>
  <c r="AO6" i="3"/>
  <c r="E70" i="3"/>
  <c r="E199" i="3"/>
  <c r="E435" i="3"/>
  <c r="E76" i="3"/>
  <c r="E23" i="3"/>
  <c r="E21" i="3"/>
  <c r="E522" i="3"/>
  <c r="E534" i="3"/>
  <c r="E104" i="3"/>
  <c r="E370" i="3"/>
  <c r="E486" i="3"/>
  <c r="E202" i="3"/>
  <c r="E137" i="3"/>
  <c r="E50" i="3"/>
  <c r="E155" i="3"/>
  <c r="E57" i="3"/>
  <c r="E47" i="3"/>
  <c r="E488" i="3"/>
  <c r="E306" i="3"/>
  <c r="E257" i="3"/>
  <c r="E547" i="3"/>
  <c r="E317" i="3"/>
  <c r="E328" i="3"/>
  <c r="E523" i="3"/>
  <c r="E304" i="3"/>
  <c r="E248" i="3"/>
  <c r="E242" i="3"/>
  <c r="E200" i="3"/>
  <c r="AI6" i="3"/>
  <c r="E161" i="3"/>
  <c r="E69" i="3"/>
  <c r="AB6" i="3"/>
  <c r="E201" i="3"/>
  <c r="E322" i="3"/>
  <c r="E572" i="3"/>
  <c r="E531" i="3"/>
  <c r="E204" i="3"/>
  <c r="E171" i="3"/>
  <c r="K6" i="3"/>
  <c r="E124" i="3"/>
  <c r="E183" i="3"/>
  <c r="E533" i="3"/>
  <c r="E175" i="3"/>
  <c r="E476" i="3"/>
  <c r="E549" i="3"/>
  <c r="E571" i="3"/>
  <c r="E511" i="3"/>
  <c r="E245" i="3"/>
  <c r="E294" i="3"/>
  <c r="E569" i="3"/>
  <c r="E316" i="3"/>
  <c r="E448" i="3"/>
  <c r="E274" i="3"/>
  <c r="E437" i="3"/>
  <c r="E280" i="3"/>
  <c r="E390" i="3"/>
  <c r="E475" i="3"/>
  <c r="E421" i="3"/>
  <c r="E40" i="3"/>
  <c r="E140" i="3"/>
  <c r="E363" i="3"/>
  <c r="Q60" i="15"/>
  <c r="Q52" i="15"/>
  <c r="Q52" i="67"/>
  <c r="J5" i="15"/>
  <c r="J24" i="15" s="1"/>
  <c r="Q61" i="67"/>
  <c r="S10" i="39"/>
  <c r="H10" i="40"/>
  <c r="AB10" i="40" s="1"/>
  <c r="F10" i="40"/>
  <c r="S10" i="40" s="1"/>
  <c r="H10" i="39"/>
  <c r="U10" i="39" s="1"/>
  <c r="J10" i="40"/>
  <c r="AC10" i="40" s="1"/>
  <c r="J10" i="39"/>
  <c r="W10" i="39" s="1"/>
  <c r="F1" i="15"/>
  <c r="Q60" i="67"/>
  <c r="C49" i="67"/>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Q66" i="71"/>
  <c r="Q65" i="71"/>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N65" i="71"/>
  <c r="N66" i="71"/>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36" i="71"/>
  <c r="T36" i="71"/>
  <c r="D44" i="71"/>
  <c r="T44"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C6" i="84" s="1"/>
  <c r="K21" i="6"/>
  <c r="S8" i="1" s="1"/>
  <c r="E8" i="70" s="1"/>
  <c r="K25" i="6"/>
  <c r="K20" i="6"/>
  <c r="K23" i="6"/>
  <c r="K22" i="6"/>
  <c r="E31" i="6"/>
  <c r="K24" i="6"/>
  <c r="K19" i="6"/>
  <c r="S6" i="1" s="1"/>
  <c r="O14" i="1"/>
  <c r="O16" i="1" s="1"/>
  <c r="M16" i="1"/>
  <c r="N16" i="1" s="1"/>
  <c r="F50" i="84" s="1"/>
  <c r="AY144" i="3"/>
  <c r="AY253" i="3"/>
  <c r="AY74" i="3"/>
  <c r="AY409" i="3"/>
  <c r="AY465" i="3"/>
  <c r="AY108" i="3"/>
  <c r="AY138" i="3"/>
  <c r="AY214" i="3"/>
  <c r="AY24" i="3"/>
  <c r="AY349" i="3"/>
  <c r="AY427" i="3"/>
  <c r="AY98" i="3"/>
  <c r="AY390" i="3"/>
  <c r="AY25" i="3"/>
  <c r="BI6" i="3"/>
  <c r="AY464" i="3"/>
  <c r="AY523" i="3"/>
  <c r="AY43" i="3"/>
  <c r="AY69" i="3"/>
  <c r="AY384" i="3"/>
  <c r="AY309" i="3"/>
  <c r="AY543" i="3"/>
  <c r="AY65" i="3"/>
  <c r="AY137" i="3"/>
  <c r="AY380" i="3"/>
  <c r="AY312" i="3"/>
  <c r="AY426" i="3"/>
  <c r="AY14" i="3"/>
  <c r="AY570" i="3"/>
  <c r="AY46" i="3"/>
  <c r="AY285" i="3"/>
  <c r="AY362" i="3"/>
  <c r="AY437" i="3"/>
  <c r="AY91" i="3"/>
  <c r="AY148" i="3"/>
  <c r="AY224" i="3"/>
  <c r="AY490" i="3"/>
  <c r="AY511" i="3"/>
  <c r="AY298" i="3"/>
  <c r="AY492" i="3"/>
  <c r="AY575" i="3"/>
  <c r="AY203" i="3"/>
  <c r="AY330" i="3"/>
  <c r="AY102" i="3"/>
  <c r="AY208" i="3"/>
  <c r="AY583" i="3"/>
  <c r="AY153" i="3"/>
  <c r="AY337" i="3"/>
  <c r="AY445" i="3"/>
  <c r="AY538" i="3"/>
  <c r="AY493" i="3"/>
  <c r="AY151" i="3"/>
  <c r="AY359" i="3"/>
  <c r="AY547" i="3"/>
  <c r="AY200" i="3"/>
  <c r="AY240" i="3"/>
  <c r="AY400" i="3"/>
  <c r="D3" i="21"/>
  <c r="E6" i="6"/>
  <c r="D37" i="11"/>
  <c r="D14" i="12"/>
  <c r="M18" i="9"/>
  <c r="B118" i="9" s="1"/>
  <c r="B1" i="74" s="1"/>
  <c r="D3" i="34"/>
  <c r="D19" i="11"/>
  <c r="C19" i="11" s="1"/>
  <c r="L18" i="9"/>
  <c r="C17" i="4"/>
  <c r="B4" i="52" s="1"/>
  <c r="B43" i="72" s="1"/>
  <c r="D3" i="33"/>
  <c r="D3" i="37"/>
  <c r="C39" i="43"/>
  <c r="C42" i="43"/>
  <c r="C38" i="43"/>
  <c r="U7" i="37"/>
  <c r="G67" i="39"/>
  <c r="F69" i="39"/>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C35" i="9"/>
  <c r="F41" i="15"/>
  <c r="M27" i="67"/>
  <c r="M27" i="15"/>
  <c r="C6" i="69" l="1"/>
  <c r="L36" i="43"/>
  <c r="L37" i="43" s="1"/>
  <c r="P37" i="43" s="1"/>
  <c r="F22" i="84"/>
  <c r="AA10" i="40"/>
  <c r="C29" i="11"/>
  <c r="D27" i="11" s="1"/>
  <c r="C47" i="11"/>
  <c r="D45" i="11" s="1"/>
  <c r="AY477" i="3"/>
  <c r="AY257" i="3"/>
  <c r="AY54" i="3"/>
  <c r="AY408" i="3"/>
  <c r="AY394" i="3"/>
  <c r="AY172" i="3"/>
  <c r="AY545" i="3"/>
  <c r="AY505" i="3"/>
  <c r="AY476" i="3"/>
  <c r="AY396" i="3"/>
  <c r="AY174" i="3"/>
  <c r="AY432" i="3"/>
  <c r="AY136" i="3"/>
  <c r="AY576" i="3"/>
  <c r="AY347" i="3"/>
  <c r="AY30" i="3"/>
  <c r="AY564" i="3"/>
  <c r="AY304" i="3"/>
  <c r="AY122" i="3"/>
  <c r="BC6" i="3"/>
  <c r="AY306" i="3"/>
  <c r="AY256" i="3"/>
  <c r="AY179" i="3"/>
  <c r="AY587" i="3"/>
  <c r="AY424" i="3"/>
  <c r="AY376" i="3"/>
  <c r="AY127" i="3"/>
  <c r="AY78" i="3"/>
  <c r="BR6" i="3"/>
  <c r="AY499" i="3"/>
  <c r="AY442" i="3"/>
  <c r="AY328" i="3"/>
  <c r="AY223" i="3"/>
  <c r="AY169" i="3"/>
  <c r="AY96" i="3"/>
  <c r="AY552" i="3"/>
  <c r="AY370" i="3"/>
  <c r="AY238" i="3"/>
  <c r="AY105" i="3"/>
  <c r="AY412" i="3"/>
  <c r="AY496" i="3"/>
  <c r="AY308" i="3"/>
  <c r="AY365" i="3"/>
  <c r="AY68" i="3"/>
  <c r="AY269" i="3"/>
  <c r="AY16" i="3"/>
  <c r="AY414" i="3"/>
  <c r="AY377" i="3"/>
  <c r="AY41" i="3"/>
  <c r="AY246" i="3"/>
  <c r="AY170" i="3"/>
  <c r="AY553" i="3"/>
  <c r="AY342" i="3"/>
  <c r="AY428" i="3"/>
  <c r="AY139" i="3"/>
  <c r="AY168" i="3"/>
  <c r="AY207" i="3"/>
  <c r="AY293" i="3"/>
  <c r="AY62" i="3"/>
  <c r="AY320" i="3"/>
  <c r="AY474" i="3"/>
  <c r="AY233" i="3"/>
  <c r="AY352" i="3"/>
  <c r="AY277" i="3"/>
  <c r="AY232" i="3"/>
  <c r="AY407" i="3"/>
  <c r="AY194" i="3"/>
  <c r="AY181" i="3"/>
  <c r="AY527" i="3"/>
  <c r="AY574" i="3"/>
  <c r="BF6" i="3"/>
  <c r="AY290" i="3"/>
  <c r="AY294" i="3"/>
  <c r="AY28" i="3"/>
  <c r="BK6" i="3"/>
  <c r="AY363" i="3"/>
  <c r="AY303" i="3"/>
  <c r="AY152"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95" i="3"/>
  <c r="AY381" i="3"/>
  <c r="AY210" i="3"/>
  <c r="AY446" i="3"/>
  <c r="BM6" i="3"/>
  <c r="AY163" i="3"/>
  <c r="AY526" i="3"/>
  <c r="AY447" i="3"/>
  <c r="AY157" i="3"/>
  <c r="AY211" i="3"/>
  <c r="AY186" i="3"/>
  <c r="AY325" i="3"/>
  <c r="AY532" i="3"/>
  <c r="AY82" i="3"/>
  <c r="AY489" i="3"/>
  <c r="AY540" i="3"/>
  <c r="AY198" i="3"/>
  <c r="AY255" i="3"/>
  <c r="BB6" i="3"/>
  <c r="AY258" i="3"/>
  <c r="AY520" i="3"/>
  <c r="AY494" i="3"/>
  <c r="AY101" i="3"/>
  <c r="AY48" i="3"/>
  <c r="AY158" i="3"/>
  <c r="AY234" i="3"/>
  <c r="AY364" i="3"/>
  <c r="AY344" i="3"/>
  <c r="AY471" i="3"/>
  <c r="AY458" i="3"/>
  <c r="AY439" i="3"/>
  <c r="AY524" i="3"/>
  <c r="AY542" i="3"/>
  <c r="AY578" i="3"/>
  <c r="AY63" i="3"/>
  <c r="AY192" i="3"/>
  <c r="AY135" i="3"/>
  <c r="AY249" i="3"/>
  <c r="AY346" i="3"/>
  <c r="AY456" i="3"/>
  <c r="AY558" i="3"/>
  <c r="BL6" i="3"/>
  <c r="AY55" i="3"/>
  <c r="AY184" i="3"/>
  <c r="AY128" i="3"/>
  <c r="AY391" i="3"/>
  <c r="AY338" i="3"/>
  <c r="AY448" i="3"/>
  <c r="BD6" i="3"/>
  <c r="AY586" i="3"/>
  <c r="AY142" i="3"/>
  <c r="AY218" i="3"/>
  <c r="AY450" i="3"/>
  <c r="AY17" i="3"/>
  <c r="AY530" i="3"/>
  <c r="AY47" i="3"/>
  <c r="AY120" i="3"/>
  <c r="AY383" i="3"/>
  <c r="AY440" i="3"/>
  <c r="AY195" i="3"/>
  <c r="AY272" i="3"/>
  <c r="AY322" i="3"/>
  <c r="AY15" i="3"/>
  <c r="AY34" i="3"/>
  <c r="AY111" i="3"/>
  <c r="AY382" i="3"/>
  <c r="AY196" i="3"/>
  <c r="AY204" i="3"/>
  <c r="AY470" i="3"/>
  <c r="AY180" i="3"/>
  <c r="AY358" i="3"/>
  <c r="AY433" i="3"/>
  <c r="AY541" i="3"/>
  <c r="AY45" i="3"/>
  <c r="AY201" i="3"/>
  <c r="AY118" i="3"/>
  <c r="AY231" i="3"/>
  <c r="AY104" i="3"/>
  <c r="AY177" i="3"/>
  <c r="AY332" i="3"/>
  <c r="AY510" i="3"/>
  <c r="AY85" i="3"/>
  <c r="AY403" i="3"/>
  <c r="AY379" i="3"/>
  <c r="AY449" i="3"/>
  <c r="AY287" i="3"/>
  <c r="AY506" i="3"/>
  <c r="AY378" i="3"/>
  <c r="AY241" i="3"/>
  <c r="AY336" i="3"/>
  <c r="AY566" i="3"/>
  <c r="AY307" i="3"/>
  <c r="AY107" i="3"/>
  <c r="AY451" i="3"/>
  <c r="AY248" i="3"/>
  <c r="AY551" i="3"/>
  <c r="AY415" i="3"/>
  <c r="AY250" i="3"/>
  <c r="AY21" i="3"/>
  <c r="AY175" i="3"/>
  <c r="AY13" i="3"/>
  <c r="AY563" i="3"/>
  <c r="AY431" i="3"/>
  <c r="AY32" i="3"/>
  <c r="AY429" i="3"/>
  <c r="AY354" i="3"/>
  <c r="AY38" i="3"/>
  <c r="AY560" i="3"/>
  <c r="AY469" i="3"/>
  <c r="AY156" i="3"/>
  <c r="AY99" i="3"/>
  <c r="AY565" i="3"/>
  <c r="AY468" i="3"/>
  <c r="AY329" i="3"/>
  <c r="AY251" i="3"/>
  <c r="AY582" i="3"/>
  <c r="AY503" i="3"/>
  <c r="AY141" i="3"/>
  <c r="AY436" i="3"/>
  <c r="AY292" i="3"/>
  <c r="AY243" i="3"/>
  <c r="AY271" i="3"/>
  <c r="AY334" i="3"/>
  <c r="AY488" i="3"/>
  <c r="AY554" i="3"/>
  <c r="AY228" i="3"/>
  <c r="AY521" i="3"/>
  <c r="AY351" i="3"/>
  <c r="AY164" i="3"/>
  <c r="AY568" i="3"/>
  <c r="AY485" i="3"/>
  <c r="AY301" i="3"/>
  <c r="AY79" i="3"/>
  <c r="AY515" i="3"/>
  <c r="AY434" i="3"/>
  <c r="AY305" i="3"/>
  <c r="AY267" i="3"/>
  <c r="AY567" i="3"/>
  <c r="AY375" i="3"/>
  <c r="AY39" i="3"/>
  <c r="AY421" i="3"/>
  <c r="AY296" i="3"/>
  <c r="AY548" i="3"/>
  <c r="AY418" i="3"/>
  <c r="AY385" i="3"/>
  <c r="AY498" i="3"/>
  <c r="AY416" i="3"/>
  <c r="AY367" i="3"/>
  <c r="AY119" i="3"/>
  <c r="AY70" i="3"/>
  <c r="AY517" i="3"/>
  <c r="AY314" i="3"/>
  <c r="AY264" i="3"/>
  <c r="AY187" i="3"/>
  <c r="BA6" i="3"/>
  <c r="AY502" i="3"/>
  <c r="AY423" i="3"/>
  <c r="AY484" i="3"/>
  <c r="AY345" i="3"/>
  <c r="AY282" i="3"/>
  <c r="AY37" i="3"/>
  <c r="AY514" i="3"/>
  <c r="AY406" i="3"/>
  <c r="AY72" i="3"/>
  <c r="AY162" i="3"/>
  <c r="AY326" i="3"/>
  <c r="AY132" i="3"/>
  <c r="AY516" i="3"/>
  <c r="AY130" i="3"/>
  <c r="AY117" i="3"/>
  <c r="AY535" i="3"/>
  <c r="AY237" i="3"/>
  <c r="AY561" i="3"/>
  <c r="AY491" i="3"/>
  <c r="AY114" i="3"/>
  <c r="AY357" i="3"/>
  <c r="AY299" i="3"/>
  <c r="AY60" i="3"/>
  <c r="AY513" i="3"/>
  <c r="AY245" i="3"/>
  <c r="AY252" i="3"/>
  <c r="AY366" i="3"/>
  <c r="AY42" i="3"/>
  <c r="W10" i="40"/>
  <c r="AC10" i="39"/>
  <c r="L16" i="1"/>
  <c r="E42" i="43"/>
  <c r="C7" i="69"/>
  <c r="C29" i="68"/>
  <c r="D27" i="68" s="1"/>
  <c r="C48" i="67"/>
  <c r="C66" i="67" s="1"/>
  <c r="F45" i="68"/>
  <c r="AC6" i="3"/>
  <c r="H6" i="3"/>
  <c r="U10" i="40"/>
  <c r="F25" i="12"/>
  <c r="C26" i="12" s="1"/>
  <c r="D25" i="12" s="1"/>
  <c r="AB10" i="39"/>
  <c r="D116" i="43"/>
  <c r="F22" i="68"/>
  <c r="F41" i="68" s="1"/>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8"/>
  <c r="C14" i="67"/>
  <c r="C34" i="69"/>
  <c r="C17" i="15"/>
  <c r="C17" i="67"/>
  <c r="D10" i="69"/>
  <c r="Q37" i="43" l="1"/>
  <c r="Q36" i="43"/>
  <c r="O37" i="43"/>
  <c r="N36" i="43"/>
  <c r="F41" i="84"/>
  <c r="C24" i="84"/>
  <c r="C26" i="84"/>
  <c r="D22" i="84" s="1"/>
  <c r="C44" i="84"/>
  <c r="D41" i="84" s="1"/>
  <c r="C42" i="84"/>
  <c r="C43" i="84"/>
  <c r="M37" i="43"/>
  <c r="P36" i="43"/>
  <c r="O36" i="43"/>
  <c r="N37" i="43"/>
  <c r="M36" i="43"/>
  <c r="C7" i="84"/>
  <c r="C5" i="84" s="1"/>
  <c r="H22" i="6"/>
  <c r="R22" i="6" s="1"/>
  <c r="R9" i="1" s="1"/>
  <c r="D30" i="6"/>
  <c r="C60" i="67"/>
  <c r="H24" i="6"/>
  <c r="R24" i="6" s="1"/>
  <c r="R11" i="1" s="1"/>
  <c r="H21" i="6"/>
  <c r="R21" i="6" s="1"/>
  <c r="R8" i="1" s="1"/>
  <c r="E6" i="3"/>
  <c r="H25" i="6"/>
  <c r="C44" i="11"/>
  <c r="D41" i="11" s="1"/>
  <c r="C26" i="11"/>
  <c r="D22" i="11" s="1"/>
  <c r="C23" i="68"/>
  <c r="C44" i="68"/>
  <c r="D41" i="68" s="1"/>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C5" i="69" s="1"/>
  <c r="D19" i="69"/>
  <c r="F50" i="69"/>
  <c r="I7" i="81" s="1"/>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3" i="84" l="1"/>
  <c r="C20" i="84"/>
  <c r="C25" i="84" s="1"/>
  <c r="C41" i="84"/>
  <c r="C49" i="84" s="1"/>
  <c r="C51" i="84" s="1"/>
  <c r="C8" i="81"/>
  <c r="C11" i="8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8" i="84" l="1"/>
  <c r="C27" i="84" s="1"/>
  <c r="C22" i="84"/>
  <c r="C12" i="81"/>
  <c r="C10" i="81"/>
  <c r="C9" i="8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1" i="84" l="1"/>
  <c r="C52" i="84" s="1"/>
  <c r="B2" i="84" s="1"/>
  <c r="C13" i="8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B3" i="84"/>
  <c r="M21" i="15"/>
  <c r="F35" i="15"/>
  <c r="K38" i="84" l="1"/>
  <c r="J30" i="84"/>
  <c r="J38" i="84"/>
  <c r="J39" i="84" s="1"/>
  <c r="C57" i="84"/>
  <c r="C56" i="84" s="1"/>
  <c r="C14" i="81"/>
  <c r="C20" i="81" s="1"/>
  <c r="C19" i="81" s="1"/>
  <c r="E48" i="21"/>
  <c r="E52" i="21" s="1"/>
  <c r="F52"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L69" i="39"/>
  <c r="M67" i="39"/>
  <c r="S7" i="35"/>
  <c r="AA7" i="35"/>
  <c r="R38" i="35" s="1"/>
  <c r="C49" i="21"/>
  <c r="C48" i="21"/>
  <c r="G42" i="35"/>
  <c r="H42" i="35" s="1"/>
  <c r="K65" i="40"/>
  <c r="L63" i="40"/>
  <c r="I42" i="35"/>
  <c r="J42" i="35" s="1"/>
  <c r="K39" i="84" l="1"/>
  <c r="C51" i="69"/>
  <c r="C7" i="81" s="1"/>
  <c r="C23" i="81"/>
  <c r="C17" i="81"/>
  <c r="C16" i="81" s="1"/>
  <c r="E53" i="21"/>
  <c r="F53" i="21" s="1"/>
  <c r="I53" i="21"/>
  <c r="J53" i="2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52" i="69" l="1"/>
  <c r="C3" i="81" s="1"/>
  <c r="C28"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B2" i="69" l="1"/>
  <c r="C57" i="69"/>
  <c r="C56" i="69" s="1"/>
  <c r="C27" i="81"/>
  <c r="C24"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L51" i="15"/>
  <c r="D2" i="37"/>
  <c r="B3" i="69"/>
  <c r="K38" i="69" l="1"/>
  <c r="J38" i="69"/>
  <c r="J39" i="69" s="1"/>
  <c r="C4" i="81"/>
  <c r="C30" i="81" s="1"/>
  <c r="C31" i="81"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12" i="1"/>
  <c r="AO10" i="1"/>
  <c r="AO7" i="1"/>
  <c r="AO9" i="1"/>
  <c r="AO8" i="1"/>
  <c r="K39" i="69" l="1"/>
  <c r="D37" i="81"/>
  <c r="D38" i="81" s="1"/>
  <c r="E39" i="81" s="1"/>
  <c r="E40" i="81"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J9" i="81" l="1"/>
  <c r="G34" i="81"/>
  <c r="C39" i="81"/>
  <c r="C40" i="81" s="1"/>
  <c r="J10" i="8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86" i="9" l="1"/>
  <c r="C93" i="9"/>
  <c r="E97" i="9"/>
  <c r="E96" i="9"/>
  <c r="C96" i="9"/>
  <c r="M55" i="9"/>
  <c r="D59" i="9"/>
  <c r="B52" i="72"/>
  <c r="G4" i="52"/>
  <c r="B30" i="72"/>
  <c r="B49" i="72"/>
  <c r="D5" i="52"/>
  <c r="D119" i="9"/>
  <c r="C81" i="9"/>
  <c r="B53" i="72"/>
  <c r="F5" i="52"/>
  <c r="F119" i="9"/>
  <c r="B31" i="72"/>
  <c r="D15" i="53"/>
  <c r="M54" i="9"/>
  <c r="C85" i="9"/>
  <c r="C95" i="9"/>
  <c r="C97" i="9"/>
  <c r="D58" i="9"/>
  <c r="D56" i="9"/>
  <c r="D54" i="9"/>
  <c r="C64" i="9"/>
  <c r="C63" i="9"/>
  <c r="C67" i="9"/>
  <c r="C68" i="9"/>
  <c r="B22" i="72"/>
  <c r="D6" i="53"/>
  <c r="N58" i="9"/>
  <c r="P57" i="9"/>
  <c r="C105" i="9"/>
  <c r="I4" i="52"/>
  <c r="E4" i="52"/>
  <c r="B48" i="72"/>
  <c r="C72" i="9"/>
  <c r="C79" i="9"/>
  <c r="C80" i="9"/>
  <c r="E80" i="9"/>
  <c r="E81" i="9"/>
  <c r="H5" i="52"/>
  <c r="H119" i="9"/>
  <c r="B21" i="72"/>
  <c r="D7" i="53"/>
  <c r="C73" i="9"/>
  <c r="C78" i="9"/>
  <c r="D8" i="52"/>
  <c r="H102" i="9"/>
  <c r="C5" i="74"/>
  <c r="H4" i="52"/>
  <c r="C104" i="9"/>
  <c r="M48" i="9"/>
  <c r="N61" i="9"/>
  <c r="D55" i="9"/>
  <c r="M53" i="9"/>
  <c r="N57" i="9"/>
  <c r="N59" i="9"/>
  <c r="N60" i="9"/>
  <c r="H108" i="9"/>
  <c r="C6" i="74"/>
  <c r="D122" i="9"/>
  <c r="D123" i="9"/>
  <c r="D9" i="52"/>
  <c r="H107" i="9"/>
  <c r="D13" i="53"/>
  <c r="D14" i="53"/>
  <c r="B32" i="72"/>
  <c r="D5" i="53"/>
  <c r="B20" i="72"/>
  <c r="G118" i="9"/>
  <c r="F118" i="9"/>
  <c r="F4" i="52"/>
  <c r="B51" i="72"/>
  <c r="E118" i="9"/>
  <c r="D118" i="9"/>
  <c r="D4" i="52"/>
  <c r="B47"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491B465E-2CC1-443B-B575-867906019388}">
      <text>
        <r>
          <rPr>
            <b/>
            <sz val="9"/>
            <color indexed="81"/>
            <rFont val="宋体"/>
            <family val="3"/>
            <charset val="134"/>
          </rPr>
          <t>权重验证</t>
        </r>
        <r>
          <rPr>
            <sz val="9"/>
            <color indexed="81"/>
            <rFont val="宋体"/>
            <family val="3"/>
            <charset val="134"/>
          </rPr>
          <t xml:space="preserve">
</t>
        </r>
      </text>
    </comment>
    <comment ref="C58" authorId="1" shapeId="0" xr:uid="{4D484508-FF6A-4854-9EB0-961648735F8A}">
      <text>
        <r>
          <rPr>
            <b/>
            <sz val="12"/>
            <color indexed="81"/>
            <rFont val="宋体"/>
            <family val="3"/>
            <charset val="134"/>
          </rPr>
          <t>价值时点所在月度</t>
        </r>
        <r>
          <rPr>
            <sz val="12"/>
            <color indexed="81"/>
            <rFont val="宋体"/>
            <family val="3"/>
            <charset val="134"/>
          </rPr>
          <t xml:space="preserve">
</t>
        </r>
      </text>
    </comment>
    <comment ref="B102" authorId="1" shapeId="0" xr:uid="{88AAC535-614A-4FD6-9EFF-95A52B78501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<sst xmlns="http://schemas.openxmlformats.org/spreadsheetml/2006/main" count="8802" uniqueCount="3709">
  <si>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</si>
  <si>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</si>
  <si>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</si>
  <si>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</si>
  <si>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</si>
  <si>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</si>
  <si>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</si>
  <si>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</si>
  <si>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</si>
  <si>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</si>
  <si>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</si>
  <si>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</si>
  <si>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</si>
  <si>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</si>
  <si>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</si>
  <si>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</si>
  <si>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</si>
  <si>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</si>
  <si>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</si>
  <si>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</si>
  <si>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</si>
  <si>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</si>
  <si>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</si>
  <si>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</si>
  <si>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</si>
  <si>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</si>
  <si>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</si>
  <si>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</si>
  <si>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</si>
  <si>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</si>
  <si>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</si>
  <si>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</si>
  <si>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</si>
  <si>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</si>
  <si>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</si>
  <si>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</si>
  <si>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</si>
  <si>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</si>
  <si>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</si>
  <si>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</si>
  <si>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</si>
  <si>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</si>
  <si>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</si>
  <si>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</si>
  <si>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</si>
  <si>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</si>
  <si>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</si>
  <si>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</si>
  <si>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</si>
  <si>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</si>
  <si>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</si>
  <si>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</si>
  <si>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</si>
  <si>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</si>
  <si>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</si>
  <si>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</si>
  <si>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</si>
  <si>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</si>
  <si>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</si>
  <si>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</si>
  <si>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</si>
  <si>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</si>
  <si>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</si>
  <si>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</si>
  <si>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</si>
  <si>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</si>
  <si>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</si>
  <si>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</si>
  <si>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</si>
  <si>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</si>
  <si>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</si>
  <si>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</si>
  <si>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</si>
  <si>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</si>
  <si>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</si>
  <si>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</si>
  <si>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</si>
  <si>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</si>
  <si>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</si>
  <si>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</si>
  <si>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</si>
  <si>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</si>
  <si>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</si>
  <si>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</si>
  <si>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</si>
  <si>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</si>
  <si>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</si>
  <si>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</si>
  <si>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</si>
  <si>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</si>
  <si>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</si>
  <si>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</si>
  <si>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</si>
  <si>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</si>
  <si>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</si>
  <si>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</si>
  <si>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</si>
  <si>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</si>
  <si>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</si>
  <si>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</si>
  <si>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</si>
  <si>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</si>
  <si>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</si>
  <si>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</si>
  <si>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</si>
  <si>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</si>
  <si>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</si>
  <si>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</si>
  <si>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</si>
  <si>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</si>
  <si>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</si>
  <si>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</si>
  <si>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</si>
  <si>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</si>
  <si>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</si>
  <si>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</si>
  <si>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</si>
  <si>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</si>
  <si>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</si>
  <si>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</si>
  <si>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</si>
  <si>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</si>
  <si>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</si>
  <si>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</si>
  <si>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</si>
  <si>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</si>
  <si>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</si>
  <si>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</si>
  <si>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</si>
  <si>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</si>
  <si>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</si>
  <si>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</si>
  <si>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</si>
  <si>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</si>
  <si>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</si>
  <si>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</si>
  <si>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</si>
  <si>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</si>
  <si>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</si>
  <si>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</si>
  <si>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</si>
  <si>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</si>
  <si>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</si>
  <si>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</si>
  <si>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</si>
  <si>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</si>
  <si>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</si>
  <si>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</si>
  <si>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</si>
  <si>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</si>
  <si>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</si>
  <si>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</si>
  <si>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</si>
  <si>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</si>
  <si>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</si>
  <si>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</si>
  <si>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</si>
  <si>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</si>
  <si>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</si>
  <si>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</si>
  <si>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</si>
  <si>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</si>
  <si>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</si>
  <si>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</si>
  <si>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</si>
  <si>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</si>
  <si>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</si>
  <si>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</si>
  <si>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</si>
  <si>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</si>
  <si>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</si>
  <si>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</si>
  <si>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</si>
  <si>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</si>
  <si>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</si>
  <si>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</si>
  <si>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</si>
  <si>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</si>
  <si>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</si>
  <si>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</si>
  <si>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</si>
  <si>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</si>
  <si>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</si>
  <si>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</si>
  <si>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</si>
  <si>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</si>
  <si>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</si>
  <si>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</si>
  <si>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</si>
  <si>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</si>
  <si>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</si>
  <si>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</si>
  <si>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</si>
  <si>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</si>
  <si>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</si>
  <si>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</si>
  <si>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</si>
  <si>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</si>
  <si>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</si>
  <si>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</si>
  <si>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</si>
  <si>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</si>
  <si>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</si>
  <si>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</si>
  <si>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</si>
  <si>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</si>
  <si>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</si>
  <si>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</si>
  <si>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</si>
  <si>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</si>
  <si>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</si>
  <si>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</si>
  <si>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</si>
  <si>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</si>
  <si>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</si>
  <si>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</si>
  <si>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</si>
  <si>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</si>
  <si>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</si>
  <si>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</si>
  <si>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</si>
  <si>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</si>
  <si>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</si>
  <si>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</si>
  <si>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</si>
  <si>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</si>
  <si>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</si>
  <si>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</si>
  <si>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</si>
  <si>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</si>
  <si>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</si>
  <si>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</si>
  <si>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</si>
  <si>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</si>
  <si>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</si>
  <si>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</si>
  <si>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</si>
  <si>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</si>
  <si>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</si>
  <si>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</si>
  <si>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</si>
  <si>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</si>
  <si>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</si>
  <si>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</si>
  <si>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</si>
  <si>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</si>
  <si>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</si>
  <si>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</si>
  <si>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</si>
  <si>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</si>
  <si>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</si>
  <si>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</si>
  <si>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</si>
  <si>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</si>
  <si>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</si>
  <si>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</si>
  <si>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</si>
  <si>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</si>
  <si>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</si>
  <si>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</si>
  <si>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</si>
  <si>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</si>
  <si>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</si>
  <si>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</si>
  <si>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</si>
  <si>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</si>
  <si>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</si>
  <si>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</si>
  <si>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</si>
  <si>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</si>
  <si>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</si>
  <si>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</si>
  <si>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</si>
  <si>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</si>
  <si>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</si>
  <si>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</si>
  <si>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</si>
  <si>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</si>
  <si>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</si>
  <si>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</si>
  <si>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</si>
  <si>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</si>
  <si>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</si>
  <si>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</si>
  <si>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</si>
  <si>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</si>
  <si>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</si>
  <si>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</si>
  <si>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</si>
  <si>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</si>
  <si>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</si>
  <si>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</si>
  <si>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</si>
  <si>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</si>
  <si>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</si>
  <si>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</si>
  <si>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</si>
  <si>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</si>
  <si>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</si>
  <si>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</si>
  <si>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</si>
  <si>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</si>
  <si>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</si>
  <si>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</si>
  <si>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</si>
  <si>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</si>
  <si>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</si>
  <si>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</si>
  <si>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</si>
  <si>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</si>
  <si>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</si>
  <si>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</si>
  <si>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</si>
  <si>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</si>
  <si>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</si>
  <si>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</si>
  <si>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</si>
  <si>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</si>
  <si>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</si>
  <si>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</si>
  <si>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</si>
  <si>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</si>
  <si>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</si>
  <si>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</si>
  <si>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</si>
  <si>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</si>
  <si>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</si>
  <si>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</si>
  <si>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</si>
  <si>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</si>
  <si>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</si>
  <si>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</si>
  <si>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</si>
  <si>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</si>
  <si>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</si>
  <si>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</si>
  <si>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</si>
  <si>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</si>
  <si>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</si>
  <si>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</si>
  <si>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</si>
  <si>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</si>
  <si>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</si>
  <si>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</si>
  <si>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</si>
  <si>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</si>
  <si>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</si>
  <si>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</si>
  <si>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</si>
  <si>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</si>
  <si>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</si>
  <si>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</si>
  <si>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</si>
  <si>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</si>
  <si>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</si>
  <si>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</si>
  <si>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</si>
  <si>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</si>
  <si>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</si>
  <si>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</si>
  <si>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</si>
  <si>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</si>
  <si>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</si>
  <si>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</si>
  <si>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</si>
  <si>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</si>
  <si>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</si>
  <si>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</si>
  <si>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</si>
  <si>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</si>
  <si>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</si>
  <si>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</si>
  <si>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</si>
  <si>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</si>
  <si>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</si>
  <si>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</si>
  <si>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</si>
  <si>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</si>
  <si>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</si>
  <si>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</si>
  <si>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</si>
  <si>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</si>
  <si>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</si>
  <si>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</si>
  <si>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</si>
  <si>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</si>
  <si>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</si>
  <si>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</si>
  <si>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</si>
  <si>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</si>
  <si>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</si>
  <si>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</si>
  <si>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</si>
  <si>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</si>
  <si>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</si>
  <si>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</si>
  <si>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</si>
  <si>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</si>
  <si>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</si>
  <si>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</si>
  <si>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</si>
  <si>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</si>
  <si>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</si>
  <si>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</si>
  <si>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</si>
  <si>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</si>
  <si>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</si>
  <si>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</si>
  <si>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</si>
  <si>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</si>
  <si>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</si>
  <si>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</si>
  <si>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</si>
  <si>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</si>
  <si>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</si>
  <si>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</si>
  <si>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</si>
  <si>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</si>
  <si>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</si>
  <si>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</si>
  <si>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</si>
  <si>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</si>
  <si>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</si>
  <si>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</si>
  <si>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</si>
  <si>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</si>
  <si>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</si>
  <si>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</si>
  <si>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</si>
  <si>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</si>
  <si>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</si>
  <si>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</si>
  <si>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</si>
  <si>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</si>
  <si>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</si>
  <si>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</si>
  <si>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</si>
  <si>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</si>
  <si>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</si>
  <si>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</si>
  <si>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</si>
  <si>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</si>
  <si>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</si>
  <si>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</si>
  <si>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</si>
  <si>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</si>
  <si>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</si>
  <si>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</si>
  <si>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</si>
  <si>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</si>
  <si>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</si>
  <si>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</si>
  <si>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</si>
  <si>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</si>
  <si>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</si>
  <si>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</si>
  <si>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</si>
  <si>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</si>
  <si>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</si>
  <si>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</si>
  <si>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</si>
  <si>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</si>
  <si>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</si>
  <si>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</si>
  <si>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</si>
  <si>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</si>
  <si>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</si>
  <si>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</si>
  <si>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</si>
  <si>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</si>
  <si>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</si>
  <si>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</si>
  <si>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</si>
  <si>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</si>
  <si>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</si>
  <si>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</si>
  <si>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</si>
  <si>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</si>
  <si>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</si>
  <si>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</si>
  <si>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</si>
  <si>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</si>
  <si>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</si>
  <si>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</si>
  <si>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</si>
  <si>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</si>
  <si>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</si>
  <si>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</si>
  <si>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</si>
  <si>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</si>
  <si>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</si>
  <si>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</si>
  <si>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</si>
  <si>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</si>
  <si>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</si>
  <si>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</si>
  <si>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</si>
  <si>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</si>
  <si>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</si>
  <si>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</si>
  <si>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</si>
  <si>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</si>
  <si>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</si>
  <si>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</si>
  <si>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</si>
  <si>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</si>
  <si>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</si>
  <si>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</si>
  <si>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</si>
  <si>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</si>
  <si>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</si>
  <si>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</si>
  <si>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</si>
  <si>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</si>
  <si>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</si>
  <si>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</si>
  <si>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</si>
  <si>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</si>
  <si>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</si>
  <si>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</si>
  <si>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</si>
  <si>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</si>
  <si>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</si>
  <si>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</si>
  <si>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</si>
  <si>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</si>
  <si>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</si>
  <si>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</si>
  <si>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</si>
  <si>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</si>
  <si>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</si>
  <si>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</si>
  <si>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</si>
  <si>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</si>
  <si>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</si>
  <si>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</si>
  <si>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</si>
  <si>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</si>
  <si>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</si>
  <si>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</si>
  <si>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</si>
  <si>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</si>
  <si>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</si>
  <si>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</si>
  <si>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</si>
  <si>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</si>
  <si>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</si>
  <si>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</si>
  <si>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</si>
  <si>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</si>
  <si>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</si>
  <si>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</si>
  <si>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</si>
  <si>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</si>
  <si>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</si>
  <si>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</si>
  <si>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</si>
  <si>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</si>
  <si>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</si>
  <si>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</si>
  <si>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</si>
  <si>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</si>
  <si>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</si>
  <si>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</si>
  <si>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</si>
  <si>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</si>
  <si>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</si>
  <si>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</si>
  <si>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</si>
  <si>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</si>
  <si>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</si>
  <si>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</si>
  <si>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</si>
  <si>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</si>
  <si>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</si>
  <si>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</si>
  <si>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</si>
  <si>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</si>
  <si>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</si>
  <si>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</si>
  <si>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</si>
  <si>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</si>
  <si>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</si>
  <si>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</si>
  <si>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</si>
  <si>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</si>
  <si>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</si>
  <si>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</si>
  <si>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</si>
  <si>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</si>
  <si>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</si>
  <si>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</si>
  <si>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</si>
  <si>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</si>
  <si>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</si>
  <si>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</si>
  <si>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</si>
  <si>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</si>
  <si>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</si>
  <si>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</si>
  <si>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</si>
  <si>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</si>
  <si>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</si>
  <si>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</si>
  <si>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</si>
  <si>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</si>
  <si>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</si>
  <si>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</si>
  <si>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</si>
  <si>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</si>
  <si>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</si>
  <si>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</si>
  <si>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</si>
  <si>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</si>
  <si>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</si>
  <si>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</si>
  <si>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</si>
  <si>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</si>
  <si>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</si>
  <si>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</si>
  <si>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</si>
  <si>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</si>
  <si>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</si>
  <si>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</si>
  <si>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</si>
  <si>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</si>
  <si>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</si>
  <si>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</si>
  <si>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</si>
  <si>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</si>
  <si>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</si>
  <si>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</si>
  <si>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</si>
  <si>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</si>
  <si>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</si>
  <si>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</si>
  <si>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</si>
  <si>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</si>
  <si>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</si>
  <si>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</si>
  <si>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</si>
  <si>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</si>
  <si>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</si>
  <si>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</si>
  <si>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</si>
  <si>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</si>
  <si>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</si>
  <si>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</si>
  <si>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</si>
  <si>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</si>
  <si>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</si>
  <si>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</si>
  <si>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</si>
  <si>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</si>
  <si>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</si>
  <si>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</si>
  <si>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</si>
  <si>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</si>
  <si>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</si>
  <si>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</si>
  <si>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</si>
  <si>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</si>
  <si>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</si>
  <si>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</si>
  <si>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</si>
  <si>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</si>
  <si>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</si>
  <si>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</si>
  <si>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</si>
  <si>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</si>
  <si>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</si>
  <si>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</si>
  <si>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</si>
  <si>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</si>
  <si>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</si>
  <si>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</si>
  <si>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</si>
  <si>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</si>
  <si>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</si>
  <si>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</si>
  <si>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</si>
  <si>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</si>
  <si>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</si>
  <si>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</si>
  <si>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</si>
  <si>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</si>
  <si>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</si>
  <si>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</si>
  <si>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</si>
  <si>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</si>
  <si>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</si>
  <si>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</si>
  <si>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</si>
  <si>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</si>
  <si>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</si>
  <si>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</si>
  <si>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</si>
  <si>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</si>
  <si>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</si>
  <si>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</si>
  <si>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</si>
  <si>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</si>
  <si>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</si>
  <si>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</si>
  <si>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</si>
  <si>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</si>
  <si>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</si>
  <si>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</si>
  <si>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</si>
  <si>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</si>
  <si>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</si>
  <si>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</si>
  <si>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</si>
  <si>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</si>
  <si>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</si>
  <si>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</si>
  <si>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</si>
  <si>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</si>
  <si>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</si>
  <si>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</si>
  <si>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</si>
  <si>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</si>
  <si>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</si>
  <si>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</si>
  <si>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</si>
  <si>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</si>
  <si>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</si>
  <si>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</si>
  <si>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</si>
  <si>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</si>
  <si>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</si>
  <si>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</si>
  <si>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</si>
  <si>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</si>
  <si>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</si>
  <si>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</si>
  <si>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</si>
  <si>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</si>
  <si>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</si>
  <si>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</si>
  <si>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</si>
  <si>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</si>
  <si>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</si>
  <si>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</si>
  <si>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</si>
  <si>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</si>
  <si>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</si>
  <si>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</si>
  <si>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</si>
  <si>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</si>
  <si>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</si>
  <si>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</si>
  <si>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</si>
  <si>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</si>
  <si>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</si>
  <si>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</si>
  <si>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</si>
  <si>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</si>
  <si>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</si>
  <si>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</si>
  <si>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</si>
  <si>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</si>
  <si>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</si>
  <si>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</si>
  <si>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</si>
  <si>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</si>
  <si>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</si>
  <si>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</si>
  <si>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</si>
  <si>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</si>
  <si>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</si>
  <si>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</si>
  <si>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</si>
  <si>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</si>
  <si>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</si>
  <si>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</si>
  <si>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</si>
  <si>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</si>
  <si>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</si>
  <si>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</si>
  <si>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</si>
  <si>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</si>
  <si>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</si>
  <si>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</si>
  <si>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</si>
  <si>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</si>
  <si>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</si>
  <si>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</si>
  <si>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</si>
  <si>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</si>
  <si>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</si>
  <si>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</si>
  <si>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</si>
  <si>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</si>
  <si>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</si>
  <si>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</si>
  <si>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</si>
  <si>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</si>
  <si>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</si>
  <si>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</si>
  <si>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</si>
  <si>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</si>
  <si>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</si>
  <si>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</si>
  <si>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</si>
  <si>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</si>
  <si>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</si>
  <si>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</si>
  <si>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</si>
  <si>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</si>
  <si>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</si>
  <si>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</si>
  <si>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</si>
  <si>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</si>
  <si>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</si>
  <si>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</si>
  <si>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</si>
  <si>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</si>
  <si>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</si>
  <si>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</si>
  <si>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</si>
  <si>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</si>
  <si>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</si>
  <si>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</si>
  <si>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</si>
  <si>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</si>
  <si>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</si>
  <si>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</si>
  <si>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</si>
  <si>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</si>
  <si>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</si>
  <si>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</si>
  <si>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</si>
  <si>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</si>
  <si>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</si>
  <si>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</si>
  <si>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</si>
  <si>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</si>
  <si>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</si>
  <si>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</si>
  <si>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</si>
  <si>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</si>
  <si>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</si>
  <si>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</si>
  <si>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</si>
  <si>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</si>
  <si>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</si>
  <si>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</si>
  <si>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</si>
  <si>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</si>
  <si>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</si>
  <si>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</si>
  <si>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</si>
  <si>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</si>
  <si>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</si>
  <si>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</si>
  <si>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</si>
  <si>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</si>
  <si>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</si>
  <si>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</si>
  <si>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</si>
  <si>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</si>
  <si>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</si>
  <si>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</si>
  <si>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</si>
  <si>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</si>
  <si>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</si>
  <si>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</si>
  <si>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</si>
  <si>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</si>
  <si>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</si>
  <si>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</si>
  <si>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</si>
  <si>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</si>
  <si>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</si>
  <si>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</si>
  <si>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</si>
  <si>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</si>
  <si>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</si>
  <si>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</si>
  <si>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</si>
  <si>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</si>
  <si>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</si>
  <si>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</si>
  <si>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</si>
  <si>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</si>
  <si>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</si>
  <si>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</si>
  <si>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</si>
  <si>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</si>
  <si>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</si>
  <si>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</si>
  <si>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</si>
  <si>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</si>
  <si>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</si>
  <si>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</si>
  <si>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</si>
  <si>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</si>
  <si>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</si>
  <si>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</si>
  <si>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</si>
  <si>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</si>
  <si>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</si>
  <si>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</si>
  <si>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</si>
  <si>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</si>
  <si>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</si>
  <si>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</si>
  <si>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</si>
  <si>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</si>
  <si>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</si>
  <si>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</si>
  <si>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</si>
  <si>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</si>
  <si>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</si>
  <si>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</si>
  <si>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</si>
  <si>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</si>
  <si>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</si>
  <si>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</si>
  <si>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</si>
  <si>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</si>
  <si>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</si>
  <si>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</si>
  <si>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</si>
  <si>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</si>
  <si>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</si>
  <si>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</si>
  <si>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</si>
  <si>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</si>
  <si>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</si>
  <si>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</si>
  <si>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</si>
  <si>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</si>
  <si>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</si>
  <si>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</si>
  <si>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</si>
  <si>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</si>
  <si>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</si>
  <si>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</si>
  <si>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</si>
  <si>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</si>
  <si>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</si>
  <si>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</si>
  <si>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</si>
  <si>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</si>
  <si>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</si>
  <si>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</si>
  <si>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</si>
  <si>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</si>
  <si>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</si>
  <si>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</si>
  <si>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</si>
  <si>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</si>
  <si>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</si>
  <si>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</si>
  <si>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</si>
  <si>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</si>
  <si>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</si>
  <si>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</si>
  <si>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</si>
  <si>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</si>
  <si>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</si>
  <si>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</si>
  <si>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</si>
  <si>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</si>
  <si>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</si>
  <si>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</si>
  <si>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</si>
  <si>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</si>
  <si>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</si>
  <si>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</si>
  <si>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</si>
  <si>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</si>
  <si>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</si>
  <si>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</si>
  <si>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</si>
  <si>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</si>
  <si>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</si>
  <si>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</si>
  <si>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</si>
  <si>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</si>
  <si>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</si>
  <si>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</si>
  <si>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</si>
  <si>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</si>
  <si>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</si>
  <si>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</si>
  <si>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</si>
  <si>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</si>
  <si>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</si>
  <si>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</si>
  <si>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</si>
  <si>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</si>
  <si>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</si>
  <si>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</si>
  <si>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</si>
  <si>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</si>
  <si>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</si>
  <si>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</si>
  <si>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</si>
  <si>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</si>
  <si>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</si>
  <si>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</si>
  <si>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</si>
  <si>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</si>
  <si>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</si>
  <si>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</si>
  <si>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</si>
  <si>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</si>
  <si>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</si>
  <si>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</si>
  <si>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</si>
  <si>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</si>
  <si>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</si>
  <si>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</si>
  <si>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</si>
  <si>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</si>
  <si>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</si>
  <si>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</si>
  <si>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</si>
  <si>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</si>
  <si>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</si>
  <si>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</si>
  <si>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</si>
  <si>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</si>
  <si>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</si>
  <si>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</si>
  <si>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</si>
  <si>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</si>
  <si>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</si>
  <si>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</si>
  <si>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</si>
  <si>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</si>
  <si>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</si>
  <si>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</si>
  <si>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</si>
  <si>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</si>
  <si>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</si>
  <si>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</si>
  <si>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</si>
  <si>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</si>
  <si>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</si>
  <si>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</si>
  <si>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</si>
  <si>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</si>
  <si>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</si>
  <si>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</si>
  <si>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</si>
  <si>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</si>
  <si>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</si>
  <si>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</si>
  <si>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</si>
  <si>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</si>
  <si>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</si>
  <si>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</si>
  <si>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</si>
  <si>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</si>
  <si>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</si>
  <si>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</si>
  <si>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</si>
  <si>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</si>
  <si>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</si>
  <si>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</si>
  <si>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</si>
  <si>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</si>
  <si>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</si>
  <si>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</si>
  <si>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</si>
  <si>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</si>
  <si>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</si>
  <si>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</si>
  <si>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</si>
  <si>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</si>
  <si>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</si>
  <si>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</si>
  <si>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</si>
  <si>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</si>
  <si>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</si>
  <si>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</si>
  <si>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</si>
  <si>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</si>
  <si>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</si>
  <si>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</si>
  <si>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</si>
  <si>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</si>
  <si>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</si>
  <si>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</si>
  <si>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</si>
  <si>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</si>
  <si>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</si>
  <si>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</si>
  <si>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</si>
  <si>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</si>
  <si>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</si>
  <si>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</si>
  <si>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</si>
  <si>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</si>
  <si>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</si>
  <si>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</si>
  <si>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</si>
  <si>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</si>
  <si>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</si>
  <si>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</si>
  <si>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</si>
  <si>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</si>
  <si>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</si>
  <si>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</si>
  <si>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</si>
  <si>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</si>
  <si>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</si>
  <si>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</si>
  <si>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</si>
  <si>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</si>
  <si>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</si>
  <si>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</si>
  <si>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</si>
  <si>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</si>
  <si>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</si>
  <si>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</si>
  <si>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</si>
  <si>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</si>
  <si>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</si>
  <si>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</si>
  <si>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</si>
  <si>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</si>
  <si>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</si>
  <si>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</si>
  <si>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</si>
  <si>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</si>
  <si>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</si>
  <si>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</si>
  <si>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</si>
  <si>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</si>
  <si>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</si>
  <si>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</si>
  <si>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</si>
  <si>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</si>
  <si>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</si>
  <si>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</si>
  <si>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</si>
  <si>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</si>
  <si>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</si>
  <si>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</si>
  <si>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</si>
  <si>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</si>
  <si>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</si>
  <si>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</si>
  <si>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</si>
  <si>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</si>
  <si>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</si>
  <si>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</si>
  <si>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</si>
  <si>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</si>
  <si>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</si>
  <si>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</si>
  <si>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</si>
  <si>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</si>
  <si>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</si>
  <si>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</si>
  <si>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</si>
  <si>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</si>
  <si>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</si>
  <si>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</si>
  <si>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</si>
  <si>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</si>
  <si>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</si>
  <si>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</si>
  <si>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</si>
  <si>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</si>
  <si>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</si>
  <si>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</si>
  <si>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</si>
  <si>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</si>
  <si>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</si>
  <si>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</si>
  <si>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</si>
  <si>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</si>
  <si>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</si>
  <si>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</si>
  <si>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</si>
  <si>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</si>
  <si>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</si>
  <si>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</si>
  <si>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</si>
  <si>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</si>
  <si>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</si>
  <si>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</si>
  <si>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</si>
  <si>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</si>
  <si>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</si>
  <si>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</si>
  <si>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</si>
  <si>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</si>
  <si>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</si>
  <si>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</si>
  <si>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</si>
  <si>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</si>
  <si>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</si>
  <si>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</si>
  <si>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</si>
  <si>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</si>
  <si>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</si>
  <si>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</si>
  <si>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</si>
  <si>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</si>
  <si>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</si>
  <si>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</si>
  <si>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</si>
  <si>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</si>
  <si>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</si>
  <si>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</si>
  <si>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</si>
  <si>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</si>
  <si>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</si>
  <si>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</si>
  <si>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</si>
  <si>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</si>
  <si>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</si>
  <si>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</si>
  <si>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</si>
  <si>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</si>
  <si>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</si>
  <si>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</si>
  <si>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</si>
  <si>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</si>
  <si>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</si>
  <si>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</si>
  <si>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</si>
  <si>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</si>
  <si>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</si>
  <si>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</si>
  <si>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</si>
  <si>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</si>
  <si>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</si>
  <si>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</si>
  <si>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</si>
  <si>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</si>
  <si>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</si>
  <si>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</si>
  <si>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</si>
  <si>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</si>
  <si>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</si>
  <si>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</si>
  <si>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</si>
  <si>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</si>
  <si>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</si>
  <si>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</si>
  <si>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</si>
  <si>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</si>
  <si>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</si>
  <si>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</si>
  <si>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</si>
  <si>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</si>
  <si>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</si>
  <si>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</si>
  <si>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</si>
  <si>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</si>
  <si>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</si>
  <si>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</si>
  <si>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</si>
  <si>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</si>
  <si>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</si>
  <si>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</si>
  <si>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</si>
  <si>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</si>
  <si>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</si>
  <si>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</si>
  <si>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</si>
  <si>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</si>
  <si>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</si>
  <si>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</si>
  <si>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</si>
  <si>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</si>
  <si>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</si>
  <si>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</si>
  <si>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</si>
  <si>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</si>
  <si>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</si>
  <si>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</si>
  <si>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</si>
  <si>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</si>
  <si>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</si>
  <si>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</si>
  <si>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</si>
  <si>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</si>
  <si>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</si>
  <si>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</si>
  <si>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</si>
  <si>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</si>
  <si>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</si>
  <si>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</si>
  <si>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</si>
  <si>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</si>
  <si>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</si>
  <si>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</si>
  <si>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</si>
  <si>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</si>
  <si>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</si>
  <si>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</si>
  <si>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</si>
  <si>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</si>
  <si>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</si>
  <si>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</si>
  <si>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</si>
  <si>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</si>
  <si>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</si>
  <si>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</si>
  <si>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</si>
  <si>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</si>
  <si>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</si>
  <si>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</si>
  <si>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</si>
  <si>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</si>
  <si>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</si>
  <si>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</si>
  <si>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</si>
  <si>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</si>
  <si>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</si>
  <si>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</si>
  <si>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</si>
  <si>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</si>
  <si>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</si>
  <si>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</si>
  <si>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</si>
  <si>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</si>
  <si>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</si>
  <si>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</si>
  <si>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</si>
  <si>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</si>
  <si>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</si>
  <si>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</si>
  <si>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</si>
  <si>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</si>
  <si>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</si>
  <si>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</si>
  <si>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</si>
  <si>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</si>
  <si>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</si>
  <si>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</si>
  <si>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</si>
  <si>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</si>
  <si>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</si>
  <si>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</si>
  <si>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</si>
  <si>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</si>
  <si>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</si>
  <si>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</si>
  <si>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</si>
  <si>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</si>
  <si>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</si>
  <si>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</si>
  <si>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</si>
  <si>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</si>
  <si>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</si>
  <si>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</si>
  <si>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</si>
  <si>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</si>
  <si>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</si>
  <si>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</si>
  <si>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</si>
  <si>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</si>
  <si>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</si>
  <si>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</si>
  <si>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</si>
  <si>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</si>
  <si>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</si>
  <si>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</si>
  <si>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</si>
  <si>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</si>
  <si>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</si>
  <si>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</si>
  <si>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</si>
  <si>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</si>
  <si>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</si>
  <si>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</si>
  <si>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</si>
  <si>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</si>
  <si>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</si>
  <si>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</si>
  <si>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</si>
  <si>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</si>
  <si>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</si>
  <si>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</si>
  <si>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</si>
  <si>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</si>
  <si>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</si>
  <si>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</si>
  <si>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</si>
  <si>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</si>
  <si>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</si>
  <si>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</si>
  <si>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</si>
  <si>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</si>
  <si>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</si>
  <si>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</si>
  <si>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</si>
  <si>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</si>
  <si>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</si>
  <si>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</si>
  <si>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</si>
  <si>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</si>
  <si>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</si>
  <si>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</si>
  <si>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</si>
  <si>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</si>
  <si>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</si>
  <si>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</si>
  <si>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</si>
  <si>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</si>
  <si>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</si>
  <si>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</si>
  <si>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</si>
  <si>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</si>
  <si>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</si>
  <si>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</si>
  <si>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</si>
  <si>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</si>
  <si>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</si>
  <si>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</si>
  <si>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</si>
  <si>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</si>
  <si>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</si>
  <si>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</si>
  <si>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</si>
  <si>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</si>
  <si>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</si>
  <si>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</si>
  <si>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</si>
  <si>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</si>
  <si>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</si>
  <si>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</si>
  <si>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</si>
  <si>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</si>
  <si>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</si>
  <si>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</si>
  <si>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</si>
  <si>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</si>
  <si>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</si>
  <si>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</si>
  <si>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</si>
  <si>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</si>
  <si>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</si>
  <si>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</si>
  <si>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</si>
  <si>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</si>
  <si>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</si>
  <si>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</si>
  <si>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</si>
  <si>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</si>
  <si>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</si>
  <si>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</si>
  <si>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</si>
  <si>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</si>
  <si>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</si>
  <si>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</si>
  <si>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</si>
  <si>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</si>
  <si>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</si>
  <si>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</si>
  <si>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</si>
  <si>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</si>
  <si>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</si>
  <si>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</si>
  <si>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</si>
  <si>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</si>
  <si>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</si>
  <si>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</si>
  <si>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</si>
  <si>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</si>
  <si>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</si>
  <si>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</si>
  <si>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</si>
  <si>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</si>
  <si>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</si>
  <si>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</si>
  <si>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</si>
  <si>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</si>
  <si>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</si>
  <si>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</si>
  <si>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</si>
  <si>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</si>
  <si>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</si>
  <si>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</si>
  <si>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</si>
  <si>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</si>
  <si>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</si>
  <si>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</si>
  <si>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</si>
  <si>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</si>
  <si>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</si>
  <si>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</si>
  <si>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</si>
  <si>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</si>
  <si>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</si>
  <si>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</si>
  <si>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</si>
  <si>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</si>
  <si>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</si>
  <si>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</si>
  <si>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</si>
  <si>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</si>
  <si>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</si>
  <si>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</si>
  <si>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</si>
  <si>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</si>
  <si>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</si>
  <si>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</si>
  <si>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</si>
  <si>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</si>
  <si>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</si>
  <si>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</si>
  <si>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</si>
  <si>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</si>
  <si>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</si>
  <si>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</si>
  <si>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</si>
  <si>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</si>
  <si>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</si>
  <si>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</si>
  <si>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</si>
  <si>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</si>
  <si>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</si>
  <si>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</si>
  <si>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</si>
  <si>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</si>
  <si>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</si>
  <si>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</si>
  <si>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</si>
  <si>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</si>
  <si>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</si>
  <si>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</si>
  <si>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</si>
  <si>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</si>
  <si>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</si>
  <si>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</si>
  <si>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</si>
  <si>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</si>
  <si>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</si>
  <si>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</si>
  <si>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</si>
  <si>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</si>
  <si>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</si>
  <si>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</si>
  <si>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</si>
  <si>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</si>
  <si>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</si>
  <si>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</si>
  <si>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</si>
  <si>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</si>
  <si>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</si>
  <si>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</si>
  <si>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</si>
  <si>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</si>
  <si>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</si>
  <si>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</si>
  <si>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</si>
  <si>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</si>
  <si>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</si>
  <si>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</si>
  <si>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</si>
  <si>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</si>
  <si>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</si>
  <si>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</si>
  <si>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</si>
  <si>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</si>
  <si>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</si>
  <si>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</si>
  <si>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</si>
  <si>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</si>
  <si>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</si>
  <si>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</si>
  <si>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</si>
  <si>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</si>
  <si>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</si>
  <si>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</si>
  <si>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</si>
  <si>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</si>
  <si>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</si>
  <si>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</si>
  <si>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</si>
  <si>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</si>
  <si>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</si>
  <si>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</si>
  <si>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</si>
  <si>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</si>
  <si>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</si>
  <si>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</si>
  <si>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</si>
  <si>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</si>
  <si>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</si>
  <si>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</si>
  <si>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</si>
  <si>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</si>
  <si>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</si>
  <si>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</si>
  <si>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</si>
  <si>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</si>
  <si>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</si>
  <si>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</si>
  <si>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</si>
  <si>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</si>
  <si>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</si>
  <si>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</si>
  <si>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</si>
  <si>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</si>
  <si>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</si>
  <si>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</si>
  <si>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</si>
  <si>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</si>
  <si>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</si>
  <si>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</si>
  <si>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</si>
  <si>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</si>
  <si>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</si>
  <si>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</si>
  <si>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</si>
  <si>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</si>
  <si>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</si>
  <si>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</si>
  <si>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</si>
  <si>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</si>
  <si>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</si>
  <si>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</si>
  <si>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</si>
  <si>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</si>
  <si>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</si>
  <si>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</si>
  <si>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</si>
  <si>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</si>
  <si>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</si>
  <si>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</si>
  <si>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</si>
  <si>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</si>
  <si>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</si>
  <si>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</si>
  <si>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</si>
  <si>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</si>
  <si>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</si>
  <si>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</si>
  <si>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</si>
  <si>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</si>
  <si>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</si>
  <si>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</si>
  <si>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</si>
  <si>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</si>
  <si>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</si>
  <si>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</si>
  <si>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</si>
  <si>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</si>
  <si>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</si>
  <si>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</si>
  <si>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</si>
  <si>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</si>
  <si>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</si>
  <si>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</si>
  <si>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</si>
  <si>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</si>
  <si>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</si>
  <si>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</si>
  <si>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</si>
  <si>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</si>
  <si>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</si>
  <si>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</si>
  <si>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</si>
  <si>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</si>
  <si>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</si>
  <si>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</si>
  <si>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</si>
  <si>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</si>
  <si>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</si>
  <si>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</si>
  <si>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</si>
  <si>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</si>
  <si>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</si>
  <si>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</si>
  <si>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</si>
  <si>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</si>
  <si>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</si>
  <si>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</si>
  <si>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</si>
  <si>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</si>
  <si>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</si>
  <si>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</si>
  <si>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</si>
  <si>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</si>
  <si>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</si>
  <si>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</si>
  <si>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</si>
  <si>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</si>
  <si>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</si>
  <si>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</si>
  <si>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</si>
  <si>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</si>
  <si>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</si>
  <si>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</si>
  <si>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</si>
  <si>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</si>
  <si>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</si>
  <si>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</si>
  <si>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</si>
  <si>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</si>
  <si>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</si>
  <si>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</si>
  <si>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</si>
  <si>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</si>
  <si>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</si>
  <si>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</si>
  <si>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</si>
  <si>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</si>
  <si>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</si>
  <si>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</si>
  <si>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</si>
  <si>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</si>
  <si>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</si>
  <si>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</si>
  <si>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</si>
  <si>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</si>
  <si>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</si>
  <si>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</si>
  <si>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</si>
  <si>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</si>
  <si>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</si>
  <si>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</si>
  <si>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</si>
  <si>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</si>
  <si>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</si>
  <si>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</si>
  <si>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</si>
  <si>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</si>
  <si>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</si>
  <si>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</si>
  <si>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</si>
  <si>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</si>
  <si>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</si>
  <si>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</si>
  <si>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</si>
  <si>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</si>
  <si>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</si>
  <si>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</si>
  <si>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</si>
  <si>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</si>
  <si>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</si>
  <si>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</si>
  <si>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</si>
  <si>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</si>
  <si>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</si>
  <si>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</si>
  <si>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</si>
  <si>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</si>
  <si>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</si>
  <si>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</si>
  <si>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</si>
  <si>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</si>
  <si>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</si>
  <si>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</si>
  <si>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</si>
  <si>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</si>
  <si>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</si>
  <si>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</si>
  <si>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</si>
  <si>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</si>
  <si>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</si>
  <si>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</si>
  <si>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</si>
  <si>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</si>
  <si>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</si>
  <si>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</si>
  <si>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</si>
  <si>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</si>
  <si>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</si>
  <si>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</si>
  <si>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</si>
  <si>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</si>
  <si>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</si>
  <si>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</si>
  <si>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</si>
  <si>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</si>
  <si>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</si>
  <si>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</si>
  <si>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</si>
  <si>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</si>
  <si>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</si>
  <si>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</si>
  <si>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</si>
  <si>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</si>
  <si>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</si>
  <si>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</si>
  <si>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</si>
  <si>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</si>
  <si>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</si>
  <si>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</si>
  <si>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</si>
  <si>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</si>
  <si>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</si>
  <si>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</si>
  <si>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</si>
  <si>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</si>
  <si>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</si>
  <si>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</si>
  <si>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</si>
  <si>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</si>
  <si>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</si>
  <si>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</si>
  <si>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</si>
  <si>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</si>
  <si>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</si>
  <si>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</si>
  <si>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</si>
  <si>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</si>
  <si>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</si>
  <si>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</si>
  <si>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</si>
  <si>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</si>
  <si>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</si>
  <si>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</si>
  <si>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</si>
  <si>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</si>
  <si>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</si>
  <si>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</si>
  <si>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</si>
  <si>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</si>
  <si>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</si>
  <si>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</si>
  <si>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</si>
  <si>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</si>
  <si>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</si>
  <si>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</si>
  <si>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</si>
  <si>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</si>
  <si>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</si>
  <si>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</si>
  <si>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</si>
  <si>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</si>
  <si>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</si>
  <si>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</si>
  <si>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</si>
  <si>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</si>
  <si>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</si>
  <si>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</si>
  <si>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</si>
  <si>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</si>
  <si>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</si>
  <si>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</si>
  <si>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</si>
  <si>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</si>
  <si>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</si>
  <si>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</si>
  <si>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</si>
  <si>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</si>
  <si>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</si>
  <si>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</si>
  <si>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</si>
  <si>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</si>
  <si>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</si>
  <si>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</si>
  <si>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</si>
  <si>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</si>
  <si>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</si>
  <si>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</si>
  <si>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</si>
  <si>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</si>
  <si>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</si>
  <si>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</si>
  <si>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</si>
  <si>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</si>
  <si>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</si>
  <si>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</si>
  <si>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</si>
  <si>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</si>
  <si>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</si>
  <si>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</si>
  <si>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</si>
  <si>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</si>
  <si>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</si>
  <si>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</si>
  <si>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</si>
  <si>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</si>
  <si>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</si>
  <si>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</si>
  <si>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</si>
  <si>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</si>
  <si>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</si>
  <si>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</si>
  <si>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</si>
  <si>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</si>
  <si>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</si>
  <si>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</si>
  <si>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</si>
  <si>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</si>
  <si>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</si>
  <si>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</si>
  <si>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</si>
  <si>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</si>
  <si>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</si>
  <si>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</si>
  <si>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</si>
  <si>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</si>
  <si>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</si>
  <si>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</si>
  <si>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</si>
  <si>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</si>
  <si>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</si>
  <si>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</si>
  <si>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</si>
  <si>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</si>
  <si>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</si>
  <si>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</si>
  <si>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</si>
  <si>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</si>
  <si>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</si>
  <si>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</si>
  <si>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</si>
  <si>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</si>
  <si>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</si>
  <si>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</si>
  <si>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</si>
  <si>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</si>
  <si>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</si>
  <si>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</si>
  <si>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</si>
  <si>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</si>
  <si>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</si>
  <si>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</si>
  <si>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</si>
  <si>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</si>
  <si>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</si>
  <si>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</si>
  <si>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</si>
  <si>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</si>
  <si>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</si>
  <si>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</si>
  <si>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</si>
  <si>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</si>
  <si>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</si>
  <si>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</si>
  <si>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</si>
  <si>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</si>
  <si>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</si>
  <si>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</si>
  <si>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</si>
  <si>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</si>
  <si>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</si>
  <si>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</si>
  <si>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</si>
  <si>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</si>
  <si>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</si>
  <si>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</si>
  <si>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</si>
  <si>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</si>
  <si>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</si>
  <si>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</si>
  <si>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</si>
  <si>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</si>
  <si>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</si>
  <si>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</si>
  <si>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</si>
  <si>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</si>
  <si>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</si>
  <si>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</si>
  <si>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</si>
  <si>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</si>
  <si>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</si>
  <si>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</si>
  <si>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</si>
  <si>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</si>
  <si>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</si>
  <si>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</si>
  <si>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</si>
  <si>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</si>
  <si>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</si>
  <si>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</si>
  <si>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</si>
  <si>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</si>
  <si>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</si>
  <si>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</si>
  <si>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</si>
  <si>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</si>
  <si>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</si>
  <si>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</si>
  <si>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</si>
  <si>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</si>
  <si>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</si>
  <si>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</si>
  <si>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</si>
  <si>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</si>
  <si>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</si>
  <si>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</si>
  <si>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</si>
  <si>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</si>
  <si>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</si>
  <si>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</si>
  <si>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</si>
  <si>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</si>
  <si>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</si>
  <si>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</si>
  <si>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</si>
  <si>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</si>
  <si>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</si>
  <si>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</si>
  <si>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</si>
  <si>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</si>
  <si>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</si>
  <si>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</si>
  <si>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</si>
  <si>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</si>
  <si>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</si>
  <si>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</si>
  <si>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</si>
  <si>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</si>
  <si>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</si>
  <si>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</si>
  <si>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</si>
  <si>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</si>
  <si>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</si>
  <si>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</si>
  <si>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</si>
  <si>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</si>
  <si>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</si>
  <si>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</si>
  <si>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</si>
  <si>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</si>
  <si>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</si>
  <si>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</si>
  <si>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</si>
  <si>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</si>
  <si>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</si>
  <si>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</si>
  <si>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</si>
  <si>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</si>
  <si>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</si>
  <si>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</si>
  <si>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</si>
  <si>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</si>
  <si>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</si>
  <si>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</si>
  <si>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</si>
  <si>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</si>
  <si>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</si>
  <si>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</si>
  <si>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</si>
  <si>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</si>
  <si>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</si>
  <si>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</si>
  <si>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</si>
  <si>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</si>
  <si>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</si>
  <si>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</si>
  <si>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</si>
  <si>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</si>
  <si>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</si>
  <si>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</si>
  <si>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</si>
  <si>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</si>
  <si>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</si>
  <si>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</si>
  <si>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</si>
  <si>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</si>
  <si>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</si>
  <si>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</si>
  <si>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</si>
  <si>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</si>
  <si>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</si>
  <si>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</si>
  <si>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</si>
  <si>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</si>
  <si>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</si>
  <si>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</si>
  <si>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</si>
  <si>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</si>
  <si>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</si>
  <si>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</si>
  <si>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</si>
  <si>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</si>
  <si>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</si>
  <si>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</si>
  <si>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</si>
  <si>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</si>
  <si>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</si>
  <si>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</si>
  <si>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</si>
  <si>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</si>
  <si>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</si>
  <si>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</si>
  <si>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</si>
  <si>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</si>
  <si>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</si>
  <si>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</si>
  <si>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</si>
  <si>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</si>
  <si>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</si>
  <si>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</si>
  <si>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</si>
  <si>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</si>
  <si>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</si>
  <si>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</si>
  <si>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</si>
  <si>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</si>
  <si>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</si>
  <si>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</si>
  <si>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</si>
  <si>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</si>
  <si>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</si>
  <si>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</si>
  <si>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</si>
  <si>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</si>
  <si>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</si>
  <si>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</si>
  <si>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</si>
  <si>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</si>
  <si>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</si>
  <si>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</si>
  <si>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</si>
  <si>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</si>
  <si>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</si>
  <si>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</si>
  <si>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</si>
  <si>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</si>
  <si>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</si>
  <si>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</si>
  <si>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</si>
  <si>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</si>
  <si>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</si>
  <si>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</si>
  <si>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</si>
  <si>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</si>
  <si>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</si>
  <si>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</si>
  <si>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</si>
  <si>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</si>
  <si>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</si>
  <si>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</si>
  <si>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</si>
  <si>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</si>
  <si>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</si>
  <si>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</si>
  <si>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</si>
  <si>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</si>
  <si>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</si>
  <si>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</si>
  <si>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</si>
  <si>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</si>
  <si>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</si>
  <si>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</si>
  <si>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</si>
  <si>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</si>
  <si>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</si>
  <si>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</si>
  <si>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</si>
  <si>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</si>
  <si>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</si>
  <si>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</si>
  <si>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</si>
  <si>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</si>
  <si>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</si>
  <si>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</si>
  <si>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</si>
  <si>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</si>
  <si>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</si>
  <si>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</si>
  <si>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</si>
  <si>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</si>
  <si>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</si>
  <si>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</si>
  <si>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</si>
  <si>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</si>
  <si>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</si>
  <si>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</si>
  <si>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</si>
  <si>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</si>
  <si>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</si>
  <si>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</si>
  <si>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</si>
  <si>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</si>
  <si>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</si>
  <si>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</si>
  <si>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</si>
  <si>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</si>
  <si>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</si>
  <si>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</si>
  <si>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</si>
  <si>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</si>
  <si>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</si>
  <si>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</si>
  <si>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</si>
  <si>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</si>
  <si>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</si>
  <si>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</si>
  <si>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</si>
  <si>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</si>
  <si>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</si>
  <si>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</si>
  <si>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</si>
  <si>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</si>
  <si>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</si>
  <si>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</si>
  <si>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</si>
  <si>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</si>
  <si>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</si>
  <si>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</si>
  <si>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</si>
  <si>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</si>
  <si>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</si>
  <si>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</si>
  <si>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</si>
  <si>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</si>
  <si>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</si>
  <si>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</si>
  <si>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</si>
  <si>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</si>
  <si>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</si>
  <si>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</si>
  <si>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</si>
  <si>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</si>
  <si>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</si>
  <si>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</si>
  <si>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</si>
  <si>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</si>
  <si>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</si>
  <si>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</si>
  <si>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</si>
  <si>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</si>
  <si>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</si>
  <si>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</si>
  <si>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</si>
  <si>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</si>
  <si>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</si>
  <si>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</si>
  <si>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</si>
  <si>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</si>
  <si>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</si>
  <si>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</si>
  <si>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</si>
  <si>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</si>
  <si>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</si>
  <si>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</si>
  <si>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</si>
  <si>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</si>
  <si>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</si>
  <si>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</si>
  <si>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</si>
  <si>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</si>
  <si>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</si>
  <si>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</si>
  <si>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</si>
  <si>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</si>
  <si>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</si>
  <si>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</si>
  <si>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</si>
  <si>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</si>
  <si>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</si>
  <si>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</si>
  <si>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</si>
  <si>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</si>
  <si>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</si>
  <si>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</si>
  <si>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</si>
  <si>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</si>
  <si>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</si>
  <si>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</si>
  <si>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</si>
  <si>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</si>
  <si>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</si>
  <si>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</si>
  <si>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</si>
  <si>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</si>
  <si>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</si>
  <si>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</si>
  <si>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</si>
  <si>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</si>
  <si>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</si>
  <si>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</si>
  <si>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</si>
  <si>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</si>
  <si>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</si>
  <si>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</si>
  <si>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</si>
  <si>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</si>
  <si>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</si>
  <si>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</si>
  <si>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</si>
  <si>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</si>
  <si>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</si>
  <si>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</si>
  <si>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</si>
  <si>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</si>
  <si>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</si>
  <si>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</si>
  <si>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</si>
  <si>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</si>
  <si>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</si>
  <si>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</si>
  <si>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</si>
  <si>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</si>
  <si>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</si>
  <si>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</si>
  <si>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</si>
  <si>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</si>
  <si>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</si>
  <si>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</si>
  <si>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</si>
  <si>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</si>
  <si>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</si>
  <si>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</si>
  <si>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</si>
  <si>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</si>
  <si>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</si>
  <si>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</si>
  <si>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</si>
  <si>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</si>
  <si>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</si>
  <si>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</si>
  <si>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</si>
  <si>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</si>
  <si>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</si>
  <si>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</si>
  <si>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</si>
  <si>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</si>
  <si>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</si>
  <si>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</si>
  <si>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</si>
  <si>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</si>
  <si>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</si>
  <si>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</si>
  <si>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</si>
  <si>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</si>
  <si>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</si>
  <si>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</si>
  <si>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</si>
  <si>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</si>
  <si>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</si>
  <si>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</si>
  <si>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</si>
  <si>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</si>
  <si>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</si>
  <si>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</si>
  <si>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</si>
  <si>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</si>
  <si>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</si>
  <si>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</si>
  <si>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</si>
  <si>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</si>
  <si>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</si>
  <si>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</si>
  <si>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</si>
  <si>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</si>
  <si>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</si>
  <si>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</si>
  <si>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</si>
  <si>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</si>
  <si>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</si>
  <si>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</si>
  <si>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</si>
  <si>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</si>
  <si>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</si>
  <si>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</si>
  <si>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</si>
  <si>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</si>
  <si>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</si>
  <si>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</si>
  <si>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</si>
  <si>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</si>
  <si>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</si>
  <si>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</si>
  <si>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</si>
  <si>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</si>
  <si>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</si>
  <si>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</si>
  <si>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</si>
  <si>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</si>
  <si>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</si>
  <si>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</si>
  <si>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</si>
  <si>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</si>
  <si>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</si>
  <si>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</si>
  <si>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</si>
  <si>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</si>
  <si>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</si>
  <si>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</si>
  <si>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</si>
  <si>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</si>
  <si>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</si>
  <si>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</si>
  <si>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</si>
  <si>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</si>
  <si>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</si>
  <si>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</si>
  <si>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</si>
  <si>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</si>
  <si>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</si>
  <si>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</si>
  <si>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</si>
  <si>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</si>
  <si>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</si>
  <si>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</si>
  <si>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</si>
  <si>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</si>
  <si>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</si>
  <si>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</si>
  <si>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</si>
  <si>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</si>
  <si>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</si>
  <si>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</si>
  <si>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</si>
  <si>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</si>
  <si>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</si>
  <si>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</si>
  <si>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</si>
  <si>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</si>
  <si>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</si>
  <si>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</si>
  <si>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</si>
  <si>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</si>
  <si>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</si>
  <si>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</si>
  <si>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</si>
  <si>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</si>
  <si>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</si>
  <si>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</si>
  <si>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</si>
  <si>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</si>
  <si>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</si>
  <si>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</si>
  <si>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</si>
  <si>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</si>
  <si>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</si>
  <si>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</si>
  <si>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</si>
  <si>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</si>
  <si>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</si>
  <si>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</si>
  <si>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</si>
  <si>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</si>
  <si>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</si>
  <si>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</si>
  <si>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</si>
  <si>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</si>
  <si>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</si>
  <si>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</si>
  <si>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</si>
  <si>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</si>
  <si>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</si>
  <si>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</si>
  <si>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</si>
  <si>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</si>
  <si>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</si>
  <si>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</si>
  <si>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</si>
  <si>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</si>
  <si>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</si>
  <si>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</si>
  <si>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</si>
  <si>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</si>
  <si>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</si>
  <si>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</si>
  <si>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</si>
  <si>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</si>
  <si>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</si>
  <si>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</si>
  <si>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</si>
  <si>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</si>
  <si>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</si>
  <si>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</si>
  <si>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</si>
  <si>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</si>
  <si>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</si>
  <si>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</si>
  <si>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</si>
  <si>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</si>
  <si>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</si>
  <si>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</si>
  <si>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</si>
  <si>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</si>
  <si>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</si>
  <si>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</si>
  <si>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</si>
  <si>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</si>
  <si>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</si>
  <si>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</si>
  <si>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</si>
  <si>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</si>
  <si>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</si>
  <si>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</si>
  <si>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</si>
  <si>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</si>
  <si>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</si>
  <si>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</si>
  <si>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</si>
  <si>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</si>
  <si>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</si>
  <si>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</si>
  <si>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</si>
  <si>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</si>
  <si>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</si>
  <si>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</si>
  <si>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</si>
  <si>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</si>
  <si>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</si>
  <si>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</si>
  <si>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</si>
  <si>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</si>
  <si>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</si>
  <si>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</si>
  <si>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</si>
  <si>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</si>
  <si>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</si>
  <si>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</si>
  <si>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</si>
  <si>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</si>
  <si>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</si>
  <si>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</si>
  <si>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</si>
  <si>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</si>
  <si>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</si>
  <si>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</si>
  <si>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</si>
  <si>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</si>
  <si>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</si>
  <si>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</si>
  <si>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</si>
  <si>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</si>
  <si>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</si>
  <si>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</si>
  <si>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</si>
  <si>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</si>
  <si>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</si>
  <si>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</si>
  <si>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</si>
  <si>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</si>
  <si>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</si>
  <si>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</si>
  <si>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</si>
  <si>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</si>
  <si>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</si>
  <si>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</si>
  <si>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</si>
  <si>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</si>
  <si>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</si>
  <si>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</si>
  <si>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</si>
  <si>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</si>
  <si>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</si>
  <si>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</si>
  <si>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</si>
  <si>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</si>
  <si>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</si>
  <si>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</si>
  <si>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</si>
  <si>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</si>
  <si>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</si>
  <si>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</si>
  <si>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</si>
  <si>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</si>
  <si>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</si>
  <si>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</si>
  <si>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</si>
  <si>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</si>
  <si>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</si>
  <si>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</si>
  <si>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</si>
  <si>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</si>
  <si>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</si>
  <si>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</si>
  <si>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</si>
  <si>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</si>
  <si>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</si>
  <si>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</si>
  <si>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</si>
  <si>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</si>
  <si>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</si>
  <si>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</si>
  <si>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</si>
  <si>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</si>
  <si>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</si>
  <si>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</si>
  <si>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</si>
  <si>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</si>
  <si>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</si>
  <si>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</si>
  <si>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</si>
  <si>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</si>
  <si>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</si>
  <si>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</si>
  <si>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</si>
  <si>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</si>
  <si>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</si>
  <si>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</si>
  <si>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</si>
  <si>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</si>
  <si>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</si>
  <si>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</si>
  <si>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</si>
  <si>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</si>
  <si>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</si>
  <si>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</si>
  <si>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</si>
  <si>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</si>
  <si>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</si>
  <si>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</si>
  <si>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</si>
  <si>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</si>
  <si>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</si>
  <si>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</si>
  <si>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</si>
  <si>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</si>
  <si>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</si>
  <si>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</si>
  <si>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</si>
  <si>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</si>
  <si>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</si>
  <si>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</si>
  <si>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</si>
  <si>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</si>
  <si>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</si>
  <si>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</si>
  <si>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</si>
  <si>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</si>
  <si>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</si>
  <si>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</si>
  <si>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</si>
  <si>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</si>
  <si>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</si>
  <si>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</si>
  <si>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</si>
  <si>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</si>
  <si>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</si>
  <si>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</si>
  <si>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</si>
  <si>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</si>
  <si>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</si>
  <si>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</si>
  <si>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</si>
  <si>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</si>
  <si>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</si>
  <si>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</si>
  <si>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</si>
  <si>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</si>
  <si>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</si>
  <si>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</si>
  <si>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</si>
  <si>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</si>
  <si>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</si>
  <si>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</si>
  <si>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</si>
  <si>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</si>
  <si>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</si>
  <si>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</si>
  <si>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</si>
  <si>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</si>
  <si>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</si>
  <si>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</si>
  <si>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</si>
  <si>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</si>
  <si>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</si>
  <si>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</si>
  <si>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</si>
  <si>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</si>
  <si>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</si>
  <si>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</si>
  <si>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</si>
  <si>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</si>
  <si>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</si>
  <si>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</si>
  <si>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</si>
  <si>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</si>
  <si>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</si>
  <si>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</si>
  <si>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</si>
  <si>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</si>
  <si>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</si>
  <si>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</si>
  <si>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</si>
  <si>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</si>
  <si>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</si>
  <si>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</si>
  <si>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</si>
  <si>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</si>
  <si>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</si>
  <si>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</si>
  <si>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</si>
  <si>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</si>
  <si>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</si>
  <si>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</si>
  <si>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</si>
  <si>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</si>
  <si>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</si>
  <si>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</si>
  <si>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</si>
  <si>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</si>
  <si>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</si>
  <si>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</si>
  <si>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</si>
  <si>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</si>
  <si>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</si>
  <si>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</si>
  <si>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</si>
  <si>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</si>
  <si>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</si>
  <si>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</si>
  <si>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</si>
  <si>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</si>
  <si>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</si>
  <si>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</si>
  <si>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</si>
  <si>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</si>
  <si>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</si>
  <si>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</si>
  <si>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</si>
  <si>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</si>
  <si>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</si>
  <si>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</si>
  <si>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</si>
  <si>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</si>
  <si>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</si>
  <si>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</si>
  <si>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</si>
  <si>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</si>
  <si>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</si>
  <si>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</si>
  <si>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</si>
  <si>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</si>
  <si>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</si>
  <si>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</si>
  <si>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</si>
  <si>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</si>
  <si>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</si>
  <si>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</si>
  <si>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</si>
  <si>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</si>
  <si>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</si>
  <si>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</si>
  <si>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</si>
  <si>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</si>
  <si>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</si>
  <si>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</si>
  <si>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</si>
  <si>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</si>
  <si>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</si>
  <si>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</si>
  <si>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</si>
  <si>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</si>
  <si>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</si>
  <si>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</si>
  <si>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</si>
  <si>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</si>
  <si>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</si>
  <si>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</si>
  <si>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</si>
  <si>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</si>
  <si>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</si>
  <si>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</si>
  <si>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</si>
  <si>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</si>
  <si>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</si>
  <si>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</si>
  <si>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</si>
  <si>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</si>
  <si>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</si>
  <si>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</si>
  <si>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</si>
  <si>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</si>
  <si>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</si>
  <si>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</si>
  <si>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</si>
  <si>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</si>
  <si>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</si>
  <si>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</si>
  <si>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</si>
  <si>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</si>
  <si>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</si>
  <si>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</si>
  <si>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</si>
  <si>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</si>
  <si>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</si>
  <si>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</si>
  <si>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</si>
  <si>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</si>
  <si>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</si>
  <si>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</si>
  <si>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</si>
  <si>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</si>
  <si>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</si>
  <si>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</si>
  <si>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</si>
  <si>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</si>
  <si>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</si>
  <si>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</si>
  <si>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</si>
  <si>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</si>
  <si>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</si>
  <si>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</si>
  <si>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</si>
  <si>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</si>
  <si>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</si>
  <si>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</si>
  <si>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</si>
  <si>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</si>
  <si>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</si>
  <si>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</si>
  <si>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</si>
  <si>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</si>
  <si>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</si>
  <si>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</si>
  <si>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</si>
  <si>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</si>
  <si>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</si>
  <si>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</si>
  <si>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</si>
  <si>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</si>
  <si>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</si>
  <si>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</si>
  <si>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</si>
  <si>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</si>
  <si>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</si>
  <si>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</si>
  <si>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</si>
  <si>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</si>
  <si>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</si>
  <si>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</si>
  <si>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</si>
  <si>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</si>
  <si>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</si>
  <si>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</si>
  <si>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</si>
  <si>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</si>
  <si>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</si>
  <si>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</si>
  <si>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</si>
  <si>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</si>
  <si>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</si>
  <si>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</si>
  <si>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</si>
  <si>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</si>
  <si>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</si>
  <si>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</si>
  <si>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</si>
  <si>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</si>
  <si>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</si>
  <si>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</si>
  <si>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</si>
  <si>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</si>
  <si>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</si>
  <si>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</si>
  <si>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</si>
  <si>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</si>
  <si>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</si>
  <si>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</si>
  <si>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</si>
  <si>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</si>
  <si>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</si>
  <si>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</si>
  <si>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</si>
  <si>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</si>
  <si>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</si>
  <si>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</si>
  <si>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</si>
  <si>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</si>
  <si>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</si>
  <si>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</si>
  <si>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</si>
  <si>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</si>
  <si>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</si>
  <si>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</si>
  <si>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</si>
  <si>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</si>
  <si>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</si>
  <si>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</si>
  <si>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</si>
  <si>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</si>
  <si>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</si>
  <si>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</si>
  <si>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</si>
  <si>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</si>
  <si>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</si>
  <si>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</si>
  <si>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</si>
  <si>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</si>
  <si>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</si>
  <si>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</si>
  <si>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</si>
  <si>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</si>
  <si>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</si>
  <si>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</si>
  <si>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</si>
  <si>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</si>
  <si>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</si>
  <si>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</si>
  <si>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</si>
  <si>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</si>
  <si>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</si>
  <si>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</si>
  <si>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</si>
  <si>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</si>
  <si>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</si>
  <si>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</si>
  <si>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</si>
  <si>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</si>
  <si>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</si>
  <si>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</si>
  <si>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</si>
  <si>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</si>
  <si>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</si>
  <si>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</si>
  <si>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</si>
  <si>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</si>
  <si>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</si>
  <si>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</si>
  <si>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</si>
  <si>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</si>
  <si>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</si>
  <si>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</si>
  <si>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</si>
  <si>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</si>
  <si>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</si>
  <si>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</si>
  <si>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</si>
  <si>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</si>
  <si>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</si>
  <si>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</si>
  <si>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</si>
  <si>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</si>
  <si>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</si>
  <si>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</si>
  <si>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</si>
  <si>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</si>
  <si>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</si>
  <si>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</si>
  <si>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</si>
  <si>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</si>
  <si>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</si>
  <si>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</si>
  <si>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</si>
  <si>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</si>
  <si>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</si>
  <si>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</si>
  <si>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</si>
  <si>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</si>
  <si>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</si>
  <si>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</si>
  <si>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</si>
  <si>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</si>
  <si>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</si>
  <si>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</si>
  <si>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</si>
  <si>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</si>
  <si>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</si>
  <si>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</si>
  <si>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</si>
  <si>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</si>
  <si>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</si>
  <si>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</si>
  <si>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</si>
  <si>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</si>
  <si>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</si>
  <si>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</si>
  <si>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</si>
  <si>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</si>
  <si>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</si>
  <si>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</si>
  <si>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</si>
  <si>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</si>
  <si>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</si>
  <si>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</si>
  <si>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</si>
  <si>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</si>
  <si>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</si>
  <si>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</si>
  <si>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</si>
  <si>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</si>
  <si>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</si>
  <si>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</si>
  <si>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</si>
  <si>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</si>
  <si>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</si>
  <si>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</si>
  <si>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</si>
  <si>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</si>
  <si>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</si>
  <si>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</si>
  <si>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</si>
  <si>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</si>
  <si>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</si>
  <si>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</si>
  <si>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</si>
  <si>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</si>
  <si>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</si>
  <si>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</si>
  <si>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</si>
  <si>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</si>
  <si>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</si>
  <si>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</si>
  <si>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</si>
  <si>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</si>
  <si>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</si>
  <si>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</si>
  <si>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</si>
  <si>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</si>
  <si>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</si>
  <si>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</si>
  <si>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</si>
  <si>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</si>
  <si>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</si>
  <si>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</si>
  <si>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</si>
  <si>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</si>
  <si>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</si>
  <si>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</si>
  <si>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</si>
  <si>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</si>
  <si>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</si>
  <si>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</si>
  <si>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</si>
  <si>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</si>
  <si>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</si>
  <si>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</si>
  <si>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</si>
  <si>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</si>
  <si>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</si>
  <si>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</si>
  <si>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</si>
  <si>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</si>
  <si>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</si>
  <si>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</si>
  <si>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</si>
  <si>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</si>
  <si>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</si>
  <si>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</si>
  <si>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</si>
  <si>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</si>
  <si>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</si>
  <si>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</si>
  <si>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</si>
  <si>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</si>
  <si>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</si>
  <si>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</si>
  <si>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</si>
  <si>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</si>
  <si>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</si>
  <si>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</si>
  <si>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</si>
  <si>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</si>
  <si>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</si>
  <si>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</si>
  <si>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</si>
  <si>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</si>
  <si>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</si>
  <si>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</si>
  <si>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</si>
  <si>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</si>
  <si>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</si>
  <si>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</si>
  <si>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</si>
  <si>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</si>
  <si>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</si>
  <si>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</si>
  <si>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</si>
  <si>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</si>
  <si>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</si>
  <si>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</si>
  <si>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</si>
  <si>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</si>
  <si>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</si>
  <si>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</si>
  <si>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</si>
  <si>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</si>
  <si>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</si>
  <si>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</si>
  <si>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</si>
  <si>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</si>
  <si>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</si>
  <si>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</si>
  <si>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</si>
  <si>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</si>
  <si>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</si>
  <si>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</si>
  <si>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</si>
  <si>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</si>
  <si>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</si>
  <si>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</si>
  <si>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</si>
  <si>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</si>
  <si>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</si>
  <si>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</si>
  <si>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</si>
  <si>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</si>
  <si>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</si>
  <si>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</si>
  <si>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</si>
  <si>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</si>
  <si>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</si>
  <si>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</si>
  <si>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</si>
  <si>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</si>
  <si>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</si>
  <si>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</si>
  <si>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</si>
  <si>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</si>
  <si>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</si>
  <si>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</si>
  <si>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</si>
  <si>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</si>
  <si>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</si>
  <si>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</si>
  <si>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</si>
  <si>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</si>
  <si>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</si>
  <si>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</si>
  <si>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</si>
  <si>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</si>
  <si>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</si>
  <si>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</si>
  <si>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</si>
  <si>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</si>
  <si>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</si>
  <si>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</si>
  <si>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</si>
  <si>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</si>
  <si>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</si>
  <si>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</si>
  <si>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</si>
  <si>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</si>
  <si>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</si>
  <si>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</si>
  <si>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</si>
  <si>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</si>
  <si>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</si>
  <si>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</si>
  <si>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</si>
  <si>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</si>
  <si>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</si>
  <si>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</si>
  <si>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</si>
  <si>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</si>
  <si>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</si>
  <si>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</si>
  <si>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</si>
  <si>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</si>
  <si>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</si>
  <si>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</si>
  <si>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</si>
  <si>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</si>
  <si>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</si>
  <si>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</si>
  <si>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</si>
  <si>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</si>
  <si>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</si>
  <si>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</si>
  <si>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</si>
  <si>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</si>
  <si>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</si>
  <si>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</si>
  <si>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</si>
  <si>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</si>
  <si>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</si>
  <si>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</si>
  <si>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</si>
  <si>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</si>
  <si>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</si>
  <si>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</si>
  <si>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</si>
  <si>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</si>
  <si>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</si>
  <si>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</si>
  <si>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</si>
  <si>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</si>
  <si>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</si>
  <si>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</si>
  <si>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</si>
  <si>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</si>
  <si>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</si>
  <si>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</si>
  <si>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</si>
  <si>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</si>
  <si>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</si>
  <si>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</si>
  <si>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</si>
  <si>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</si>
  <si>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</si>
  <si>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</si>
  <si>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</si>
  <si>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</si>
  <si>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</si>
  <si>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</si>
  <si>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</si>
  <si>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</si>
  <si>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</si>
  <si>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</si>
  <si>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</si>
  <si>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</si>
  <si>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</si>
  <si>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</si>
  <si>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</si>
  <si>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</si>
  <si>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</si>
  <si>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</si>
  <si>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</si>
  <si>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</si>
  <si>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</si>
  <si>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</si>
  <si>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</si>
  <si>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</si>
  <si>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</si>
  <si>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</si>
  <si>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</si>
  <si>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</si>
  <si>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</si>
  <si>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</si>
  <si>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</si>
  <si>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</si>
  <si>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</si>
  <si>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</si>
  <si>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</si>
  <si>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</si>
  <si>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</si>
  <si>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</si>
  <si>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</si>
  <si>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</si>
  <si>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</si>
  <si>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</si>
  <si>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</si>
  <si>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</si>
  <si>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</si>
  <si>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</si>
  <si>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</si>
  <si>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</si>
  <si>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</si>
  <si>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</si>
  <si>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</si>
  <si>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</si>
  <si>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</si>
  <si>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</si>
  <si>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</si>
  <si>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</si>
  <si>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</si>
  <si>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</si>
  <si>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</si>
  <si>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</si>
  <si>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</si>
  <si>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</si>
  <si>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</si>
  <si>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</si>
  <si>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</si>
  <si>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</si>
  <si>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</si>
  <si>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</si>
  <si>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</si>
  <si>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</si>
  <si>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</si>
  <si>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</si>
  <si>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</si>
  <si>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</si>
  <si>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</si>
  <si>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</si>
  <si>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</si>
  <si>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</si>
  <si>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</si>
  <si>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</si>
  <si>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</si>
  <si>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</si>
  <si>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</si>
  <si>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</si>
  <si>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</si>
  <si>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</si>
  <si>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</si>
  <si>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</si>
  <si>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</si>
  <si>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</si>
  <si>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</si>
  <si>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</si>
  <si>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</si>
  <si>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</si>
  <si>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</si>
  <si>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</si>
  <si>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</si>
  <si>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</si>
  <si>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</si>
  <si>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</si>
  <si>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</si>
  <si>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</si>
  <si>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</si>
  <si>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</si>
  <si>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</si>
  <si>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</si>
  <si>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</si>
  <si>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</si>
  <si>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</si>
  <si>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</si>
  <si>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</si>
  <si>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</si>
  <si>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</si>
  <si>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</si>
  <si>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</si>
  <si>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</si>
  <si>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</si>
  <si>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</si>
  <si>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</si>
  <si>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</si>
  <si>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</si>
  <si>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</si>
  <si>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</si>
  <si>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</si>
  <si>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</si>
  <si>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</si>
  <si>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</si>
  <si>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</si>
  <si>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</si>
  <si>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</si>
  <si>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</si>
  <si>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</si>
  <si>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</si>
  <si>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</si>
  <si>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</si>
  <si>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</si>
  <si>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</si>
  <si>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</si>
  <si>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</si>
  <si>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</si>
  <si>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</si>
  <si>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</si>
  <si>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</si>
  <si>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</si>
  <si>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</si>
  <si>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</si>
  <si>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</si>
  <si>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</si>
  <si>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</si>
  <si>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</si>
  <si>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</si>
  <si>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</si>
  <si>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</si>
  <si>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</si>
  <si>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</si>
  <si>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</si>
  <si>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</si>
  <si>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</si>
  <si>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</si>
  <si>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</si>
  <si>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</si>
  <si>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</si>
  <si>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</si>
  <si>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</si>
  <si>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</si>
  <si>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</si>
  <si>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</si>
  <si>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</si>
  <si>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</si>
  <si>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</si>
  <si>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</si>
  <si>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</si>
  <si>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</si>
  <si>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</si>
  <si>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</si>
  <si>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</si>
  <si>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</si>
  <si>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</si>
  <si>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</si>
  <si>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</si>
  <si>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</si>
  <si>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</si>
  <si>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</si>
  <si>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</si>
  <si>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</si>
  <si>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</si>
  <si>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</si>
  <si>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</si>
  <si>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</si>
  <si>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</si>
  <si>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</si>
  <si>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</si>
  <si>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</si>
  <si>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</si>
  <si>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</si>
  <si>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</si>
  <si>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</si>
  <si>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</si>
  <si>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</si>
  <si>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</si>
  <si>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</si>
  <si>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</si>
  <si>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</si>
  <si>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</si>
  <si>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</si>
  <si>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</si>
  <si>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</si>
  <si>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</si>
  <si>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</si>
  <si>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</si>
  <si>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</si>
  <si>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</si>
  <si>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</si>
  <si>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</si>
  <si>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</si>
  <si>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</si>
  <si>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</si>
  <si>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</si>
  <si>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</si>
  <si>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</si>
  <si>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</si>
  <si>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</si>
  <si>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</si>
  <si>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</si>
  <si>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</si>
  <si>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</si>
  <si>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</si>
  <si>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</si>
  <si>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</si>
  <si>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</si>
  <si>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</si>
  <si>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</si>
  <si>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</si>
  <si>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</si>
  <si>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</si>
  <si>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</si>
  <si>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</si>
  <si>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</si>
  <si>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北京市</t>
  </si>
  <si>
    <t>企业</t>
  </si>
  <si>
    <t>2012</t>
    <phoneticPr fontId="6" type="noConversion"/>
  </si>
  <si>
    <r>
      <rPr>
        <b/>
        <sz val="16"/>
        <rFont val="宋体"/>
        <family val="3"/>
        <charset val="134"/>
      </rPr>
      <t>─</t>
    </r>
    <phoneticPr fontId="3" type="noConversion"/>
  </si>
  <si>
    <t>单套模式</t>
  </si>
  <si>
    <t>租金</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</si>
  <si>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</si>
  <si>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建筑面积</t>
    </r>
    <phoneticPr fontId="3" type="noConversion"/>
  </si>
  <si>
    <t>先锋家园</t>
    <phoneticPr fontId="3" type="noConversion"/>
  </si>
  <si>
    <t>正常</t>
  </si>
  <si>
    <t>较好</t>
  </si>
  <si>
    <r>
      <rPr>
        <sz val="11"/>
        <color indexed="8"/>
        <rFont val="宋体"/>
        <family val="3"/>
        <charset val="134"/>
      </rPr>
      <t>基础设施水平</t>
    </r>
    <phoneticPr fontId="3" type="noConversion"/>
  </si>
  <si>
    <t>七通</t>
  </si>
  <si>
    <t>南北</t>
  </si>
  <si>
    <t>物业公司管理</t>
  </si>
  <si>
    <t>普通装修</t>
  </si>
  <si>
    <t>家具家电</t>
    <phoneticPr fontId="134" type="noConversion"/>
  </si>
  <si>
    <t>不含</t>
    <phoneticPr fontId="134" type="noConversion"/>
  </si>
  <si>
    <t>含</t>
    <phoneticPr fontId="13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</si>
  <si>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</si>
  <si>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</si>
  <si>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</si>
  <si>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</si>
  <si>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</si>
  <si>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</si>
  <si>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</si>
  <si>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t>南北</t>
    <phoneticPr fontId="3" type="noConversion"/>
  </si>
  <si>
    <t>钢混</t>
    <phoneticPr fontId="3" type="noConversion"/>
  </si>
  <si>
    <t>物业公司管理</t>
    <phoneticPr fontId="3" type="noConversion"/>
  </si>
  <si>
    <t>精装修</t>
    <phoneticPr fontId="3" type="noConversion"/>
  </si>
  <si>
    <t>普通装修</t>
    <phoneticPr fontId="3" type="noConversion"/>
  </si>
  <si>
    <t>自定义容积率</t>
  </si>
  <si>
    <t>无</t>
  </si>
  <si>
    <t>1000米以外</t>
  </si>
  <si>
    <t>与级别开发程度不一致</t>
  </si>
  <si>
    <t>通路</t>
  </si>
  <si>
    <t>通电</t>
  </si>
  <si>
    <t>通讯</t>
  </si>
  <si>
    <t>通上水</t>
  </si>
  <si>
    <t>通热</t>
  </si>
  <si>
    <t>燃气</t>
  </si>
  <si>
    <t>平整</t>
  </si>
  <si>
    <t>通下水</t>
  </si>
  <si>
    <t>按公示增长率计算</t>
  </si>
  <si>
    <t>中心城区以外</t>
  </si>
  <si>
    <t>住宅</t>
    <phoneticPr fontId="7" type="noConversion"/>
  </si>
  <si>
    <t>是</t>
  </si>
  <si>
    <t>地上</t>
  </si>
  <si>
    <t>成新度</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</si>
  <si>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</si>
  <si>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</si>
  <si>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</si>
  <si>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</si>
  <si>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</si>
  <si>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</si>
  <si>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</si>
  <si>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</si>
  <si>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</si>
  <si>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</si>
  <si>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</si>
  <si>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</si>
  <si>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</si>
  <si>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</si>
  <si>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</si>
  <si>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</si>
  <si>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</si>
  <si>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</si>
  <si>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</si>
  <si>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</si>
  <si>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</si>
  <si>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</si>
  <si>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</si>
  <si>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</si>
  <si>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</si>
  <si>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</si>
  <si>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</si>
  <si>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</si>
  <si>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</si>
  <si>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</si>
  <si>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</si>
  <si>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</si>
  <si>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</si>
  <si>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</si>
  <si>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</si>
  <si>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</si>
  <si>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</si>
  <si>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</si>
  <si>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</si>
  <si>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</si>
  <si>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</si>
  <si>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</si>
  <si>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</si>
  <si>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</si>
  <si>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</si>
  <si>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</si>
  <si>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</si>
  <si>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</si>
  <si>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</si>
  <si>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</si>
  <si>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</si>
  <si>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</si>
  <si>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</si>
  <si>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</si>
  <si>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</si>
  <si>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</si>
  <si>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</si>
  <si>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</si>
  <si>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</si>
  <si>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</si>
  <si>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</si>
  <si>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</si>
  <si>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</si>
  <si>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</si>
  <si>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</si>
  <si>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</si>
  <si>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</si>
  <si>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</si>
  <si>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</si>
  <si>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</si>
  <si>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</si>
  <si>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</si>
  <si>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</si>
  <si>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</si>
  <si>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</si>
  <si>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</si>
  <si>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</si>
  <si>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</si>
  <si>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</si>
  <si>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</si>
  <si>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</si>
  <si>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</si>
  <si>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</si>
  <si>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</si>
  <si>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</si>
  <si>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</si>
  <si>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</si>
  <si>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</si>
  <si>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</si>
  <si>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</si>
  <si>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</si>
  <si>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</si>
  <si>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</si>
  <si>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</si>
  <si>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</si>
  <si>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</si>
  <si>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</si>
  <si>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</si>
  <si>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</si>
  <si>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</si>
  <si>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</si>
  <si>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</si>
  <si>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</si>
  <si>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</si>
  <si>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</si>
  <si>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</si>
  <si>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</si>
  <si>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</si>
  <si>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</si>
  <si>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</si>
  <si>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</si>
  <si>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</si>
  <si>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1-2层商业用房</t>
    </r>
    <r>
      <rPr>
        <b/>
        <sz val="9"/>
        <rFont val="宋体"/>
        <family val="3"/>
        <charset val="134"/>
      </rPr>
      <t>结果一览表</t>
    </r>
    <phoneticPr fontId="3" type="noConversion"/>
  </si>
  <si>
    <t>估价方法</t>
  </si>
  <si>
    <t>租金（元/㎡·天）</t>
    <phoneticPr fontId="3" type="noConversion"/>
  </si>
  <si>
    <t>使用面积</t>
    <phoneticPr fontId="3" type="noConversion"/>
  </si>
  <si>
    <t>比较法</t>
    <phoneticPr fontId="3" type="noConversion"/>
  </si>
  <si>
    <t>比例</t>
    <phoneticPr fontId="3" type="noConversion"/>
  </si>
  <si>
    <t>收益法</t>
  </si>
  <si>
    <t>权重单价</t>
    <phoneticPr fontId="3" type="noConversion"/>
  </si>
  <si>
    <t>市场租金水平</t>
    <phoneticPr fontId="3" type="noConversion"/>
  </si>
  <si>
    <t>~</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</si>
  <si>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</si>
  <si>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</si>
  <si>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</si>
  <si>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</si>
  <si>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</si>
  <si>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未包含在土地购买价格中</t>
  </si>
  <si>
    <t>已包含在土地取得成本中</t>
  </si>
  <si>
    <t>小区</t>
  </si>
  <si>
    <t>平米租金(元/㎡·月)</t>
  </si>
  <si>
    <t>南厂住宅东区</t>
  </si>
  <si>
    <t>南口中学教师楼</t>
  </si>
  <si>
    <t/>
  </si>
  <si>
    <t>丁字街16号小区</t>
  </si>
  <si>
    <t>南口村住房</t>
  </si>
  <si>
    <t>龙虎台村住房</t>
  </si>
  <si>
    <t>南口兴隆小区</t>
  </si>
  <si>
    <t>东升小区</t>
  </si>
  <si>
    <t>红泥沟村住房</t>
  </si>
  <si>
    <t>知春苑</t>
  </si>
  <si>
    <t>南口镇粮食局宿舍楼</t>
  </si>
  <si>
    <t>太平庄村住房(昌平)</t>
  </si>
  <si>
    <t>工商所宿舍楼</t>
  </si>
  <si>
    <t>丰景高苑</t>
  </si>
  <si>
    <t>南口小学教师楼</t>
  </si>
  <si>
    <t>马坊村检测场小区</t>
  </si>
  <si>
    <t>旺和家园</t>
  </si>
  <si>
    <t>辛力庄村住房</t>
  </si>
  <si>
    <t>南辛路供销社宿舍楼</t>
  </si>
  <si>
    <t>检测厂宿舍楼</t>
  </si>
  <si>
    <t>鹿牌家园小区</t>
  </si>
  <si>
    <t>水厂路小区</t>
  </si>
  <si>
    <t>水泥机械厂宿舍</t>
  </si>
  <si>
    <t>供销社宿舍</t>
  </si>
  <si>
    <t>游览路7号院</t>
  </si>
  <si>
    <t>南农家园</t>
  </si>
  <si>
    <t>曹庄村住房</t>
  </si>
  <si>
    <t>南厂北区</t>
  </si>
  <si>
    <t>南辛路7号院</t>
  </si>
  <si>
    <t>南厂住宅中区</t>
  </si>
  <si>
    <t>玻璃厂宿舍</t>
  </si>
  <si>
    <t>南口镇村住房</t>
  </si>
  <si>
    <t>南口镇南大街</t>
  </si>
  <si>
    <t>东昇街甲1号楼</t>
  </si>
  <si>
    <t>新西广街小区</t>
  </si>
  <si>
    <t>简单装修</t>
  </si>
  <si>
    <t>简单装修</t>
    <phoneticPr fontId="134" type="noConversion"/>
  </si>
  <si>
    <t>玉龙嘉苑(南辛路)</t>
    <phoneticPr fontId="134" type="noConversion"/>
  </si>
  <si>
    <t>多层板楼</t>
  </si>
  <si>
    <t>多层板楼</t>
    <phoneticPr fontId="3" type="noConversion"/>
  </si>
  <si>
    <t>https://map.tianditu.gov.cn/share/41bc750e1d5241c3bc779b29abe9bc36</t>
    <phoneticPr fontId="134" type="noConversion"/>
  </si>
  <si>
    <t>一般</t>
  </si>
  <si>
    <t>一般</t>
    <phoneticPr fontId="134" type="noConversion"/>
  </si>
  <si>
    <t>混合</t>
  </si>
  <si>
    <t>混合</t>
    <phoneticPr fontId="134" type="noConversion"/>
  </si>
  <si>
    <t>1号楼</t>
    <phoneticPr fontId="134" type="noConversion"/>
  </si>
  <si>
    <t>仓储</t>
    <phoneticPr fontId="134" type="noConversion"/>
  </si>
  <si>
    <t>2号楼</t>
    <phoneticPr fontId="134" type="noConversion"/>
  </si>
  <si>
    <t>3号楼</t>
    <phoneticPr fontId="134" type="noConversion"/>
  </si>
  <si>
    <t>南厂西社区</t>
    <phoneticPr fontId="3" type="noConversion"/>
  </si>
  <si>
    <t>南口站</t>
    <phoneticPr fontId="3" type="noConversion"/>
  </si>
  <si>
    <t>划拨</t>
  </si>
  <si>
    <t>好</t>
  </si>
  <si>
    <t>较差</t>
  </si>
  <si>
    <t>车位</t>
    <phoneticPr fontId="134" type="noConversion"/>
  </si>
  <si>
    <t>地下</t>
  </si>
  <si>
    <t>车库</t>
    <phoneticPr fontId="7" type="noConversion"/>
  </si>
  <si>
    <t>仓储</t>
    <phoneticPr fontId="7" type="noConversion"/>
  </si>
  <si>
    <t>车位投资回报率调查：一线城市平均需58年回本，还值得买吗？</t>
  </si>
  <si>
    <t>沙河</t>
    <phoneticPr fontId="3" type="noConversion"/>
  </si>
  <si>
    <t>按年限折旧</t>
    <phoneticPr fontId="134" type="noConversion"/>
  </si>
  <si>
    <t>按收益率折</t>
    <phoneticPr fontId="134" type="noConversion"/>
  </si>
  <si>
    <t>日租金</t>
    <phoneticPr fontId="134" type="noConversion"/>
  </si>
  <si>
    <t>月租金</t>
    <phoneticPr fontId="134" type="noConversion"/>
  </si>
  <si>
    <t>租金水平</t>
    <phoneticPr fontId="134" type="noConversion"/>
  </si>
  <si>
    <t>序号</t>
  </si>
  <si>
    <t>项目</t>
  </si>
  <si>
    <t>测算值</t>
  </si>
  <si>
    <t>说明</t>
  </si>
  <si>
    <t>折旧及摊销成本（万元）</t>
    <phoneticPr fontId="297" type="noConversion"/>
  </si>
  <si>
    <t>运营费用（万元）</t>
    <phoneticPr fontId="297" type="noConversion"/>
  </si>
  <si>
    <t>2=2.1+2.2+2.3</t>
  </si>
  <si>
    <t>维修费（万元）</t>
    <phoneticPr fontId="297" type="noConversion"/>
  </si>
  <si>
    <t>保险费（万元）</t>
    <phoneticPr fontId="297" type="noConversion"/>
  </si>
  <si>
    <t>物业费（万元）</t>
    <phoneticPr fontId="297" type="noConversion"/>
  </si>
  <si>
    <t>管理成本（万元）</t>
    <phoneticPr fontId="297" type="noConversion"/>
  </si>
  <si>
    <t>3=3.1+3.2+3.3</t>
  </si>
  <si>
    <t>管理费（万元）</t>
    <phoneticPr fontId="297" type="noConversion"/>
  </si>
  <si>
    <t>利息（万元）</t>
    <phoneticPr fontId="297" type="noConversion"/>
  </si>
  <si>
    <t>利润（万元）</t>
    <phoneticPr fontId="297" type="noConversion"/>
  </si>
  <si>
    <t>基数为折旧摊销成本、没有其他费用和利息</t>
    <phoneticPr fontId="297" type="noConversion"/>
  </si>
  <si>
    <t>年成本收益（万元）</t>
    <phoneticPr fontId="297" type="noConversion"/>
  </si>
  <si>
    <t>4=1+2+3</t>
  </si>
  <si>
    <t>竣工决算总成本</t>
    <phoneticPr fontId="134" type="noConversion"/>
  </si>
  <si>
    <t>军用土地使用费或征地拆迁补偿费</t>
    <phoneticPr fontId="134" type="noConversion"/>
  </si>
  <si>
    <t>地下车库</t>
    <phoneticPr fontId="134" type="noConversion"/>
  </si>
  <si>
    <t>地下仓储</t>
    <phoneticPr fontId="134" type="noConversion"/>
  </si>
  <si>
    <t>锅炉房</t>
    <phoneticPr fontId="134" type="noConversion"/>
  </si>
  <si>
    <t>门卫室</t>
    <phoneticPr fontId="134" type="noConversion"/>
  </si>
  <si>
    <t>燃气站</t>
    <phoneticPr fontId="134" type="noConversion"/>
  </si>
  <si>
    <t>配电室</t>
    <phoneticPr fontId="134" type="noConversion"/>
  </si>
  <si>
    <t>水泵房</t>
    <phoneticPr fontId="134" type="noConversion"/>
  </si>
  <si>
    <t>办证预计费用</t>
    <phoneticPr fontId="134" type="noConversion"/>
  </si>
  <si>
    <t>尚未结清的尾款</t>
    <phoneticPr fontId="134" type="noConversion"/>
  </si>
  <si>
    <t>公共维修基金</t>
    <phoneticPr fontId="134" type="noConversion"/>
  </si>
  <si>
    <t>前期工程费</t>
    <phoneticPr fontId="134" type="noConversion"/>
  </si>
  <si>
    <t>基础设施费</t>
    <phoneticPr fontId="134" type="noConversion"/>
  </si>
  <si>
    <t>建安工程费</t>
    <phoneticPr fontId="134" type="noConversion"/>
  </si>
  <si>
    <t>公共配套设施费</t>
    <phoneticPr fontId="134" type="noConversion"/>
  </si>
  <si>
    <t>管理费用</t>
    <phoneticPr fontId="134" type="noConversion"/>
  </si>
  <si>
    <t>总建筑面积</t>
    <phoneticPr fontId="134" type="noConversion"/>
  </si>
  <si>
    <t>地下其他</t>
    <phoneticPr fontId="134" type="noConversion"/>
  </si>
  <si>
    <r>
      <t>该项目总成本约为</t>
    </r>
    <r>
      <rPr>
        <sz val="10"/>
        <rFont val="Arial"/>
        <family val="2"/>
      </rPr>
      <t>167459128.35</t>
    </r>
    <r>
      <rPr>
        <sz val="10"/>
        <rFont val="宋体"/>
        <family val="3"/>
        <charset val="134"/>
      </rPr>
      <t>万元。该项目为钢混结构，非生产用房经济耐用年限为</t>
    </r>
    <r>
      <rPr>
        <sz val="10"/>
        <rFont val="Arial"/>
        <family val="2"/>
      </rPr>
      <t xml:space="preserve"> 60 </t>
    </r>
    <r>
      <rPr>
        <sz val="10"/>
        <rFont val="宋体"/>
        <family val="3"/>
        <charset val="134"/>
      </rPr>
      <t>年，根据项目剩余经济耐用年限，将购置成本按直线法折算至每年。</t>
    </r>
    <phoneticPr fontId="134" type="noConversion"/>
  </si>
  <si>
    <t>该项目为经济适用房，根据委托人介绍，物业公司为业主委员会自行聘请，军队方面不承担物业费。</t>
    <phoneticPr fontId="134" type="noConversion"/>
  </si>
  <si>
    <t>管理费已包含在总成本中，不单独计算</t>
    <phoneticPr fontId="297" type="noConversion"/>
  </si>
  <si>
    <t>根据委托人介绍，该项目无借款，本次利息不计取。</t>
    <phoneticPr fontId="134" type="noConversion"/>
  </si>
  <si>
    <t>指房屋产权人为使自己的房产避免意外损失而向保险公司支付的费用，根据委托方介绍，估价对象无保险费事项，本次保险费不计取。</t>
    <phoneticPr fontId="134"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</si>
  <si>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公共维修基金已包含在总成本中，不单独计算。</t>
    </r>
    <phoneticPr fontId="134" type="noConversion"/>
  </si>
  <si>
    <r>
      <t>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天</t>
    </r>
    <r>
      <rPr>
        <sz val="10"/>
        <color rgb="FF000000"/>
        <rFont val="Arial"/>
        <family val="2"/>
      </rPr>
      <t>)</t>
    </r>
    <phoneticPr fontId="134" type="noConversion"/>
  </si>
  <si>
    <r>
      <t>5=4÷</t>
    </r>
    <r>
      <rPr>
        <sz val="10"/>
        <color rgb="FF000000"/>
        <rFont val="宋体"/>
        <family val="3"/>
        <charset val="134"/>
      </rPr>
      <t>建筑面积</t>
    </r>
    <r>
      <rPr>
        <sz val="10"/>
        <color rgb="FF000000"/>
        <rFont val="Arial"/>
        <family val="2"/>
      </rPr>
      <t>÷365</t>
    </r>
    <r>
      <rPr>
        <sz val="10"/>
        <color rgb="FF000000"/>
        <rFont val="宋体"/>
        <family val="3"/>
        <charset val="134"/>
      </rPr>
      <t>天</t>
    </r>
    <phoneticPr fontId="134" type="noConversion"/>
  </si>
  <si>
    <t>该项目属于军队经济适用住房，不以获取利润为目的，本次评估未计取。</t>
    <phoneticPr fontId="134" type="noConversion"/>
  </si>
  <si>
    <t>高层板楼</t>
  </si>
  <si>
    <t>高层板楼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</si>
</sst>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9"/>
      <color rgb="FFFF0000"/>
      <name val="宋体"/>
      <family val="4"/>
      <charset val="134"/>
      <scheme val="minor"/>
    </font>
    <font>
      <sz val="11"/>
      <color rgb="FFFF0000"/>
      <name val="宋体"/>
      <family val="4"/>
      <charset val="134"/>
      <scheme val="minor"/>
    </font>
    <font>
      <sz val="11"/>
      <color theme="9" tint="0.79998168889431442"/>
      <name val="宋体"/>
      <family val="3"/>
      <charset val="134"/>
      <scheme val="minor"/>
    </font>
    <font>
      <b/>
      <sz val="10"/>
      <color theme="9" tint="0.79998168889431442"/>
      <name val="Arial"/>
      <family val="2"/>
    </font>
    <font>
      <sz val="12"/>
      <color theme="1"/>
      <name val="宋体"/>
      <family val="2"/>
      <scheme val="minor"/>
    </font>
    <font>
      <sz val="12"/>
      <color rgb="FFFF0000"/>
      <name val="宋体"/>
      <family val="2"/>
      <scheme val="minor"/>
    </font>
    <font>
      <sz val="12"/>
      <name val="宋体"/>
      <family val="2"/>
      <scheme val="minor"/>
    </font>
    <font>
      <sz val="11"/>
      <color theme="9" tint="0.79998168889431442"/>
      <name val="Arial"/>
      <family val="2"/>
    </font>
    <font>
      <u/>
      <sz val="11"/>
      <color theme="10"/>
      <name val="宋体"/>
      <family val="3"/>
      <charset val="134"/>
      <scheme val="minor"/>
    </font>
    <font>
      <sz val="10"/>
      <color theme="9" tint="0.79998168889431442"/>
      <name val="Arial"/>
      <family val="2"/>
    </font>
    <font>
      <sz val="10"/>
      <color theme="3" tint="0.79998168889431442"/>
      <name val="Arial"/>
      <family val="2"/>
    </font>
    <font>
      <sz val="9"/>
      <name val="等线"/>
      <family val="3"/>
      <charset val="134"/>
    </font>
    <font>
      <sz val="10"/>
      <name val="Arial"/>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90" fillId="0" borderId="0"/>
    <xf numFmtId="0" fontId="294" fillId="0" borderId="0" applyNumberFormat="0" applyFill="0" applyBorder="0" applyAlignment="0" applyProtection="0">
      <alignment vertical="center"/>
    </xf>
    <xf numFmtId="0" fontId="95" fillId="0" borderId="0">
      <alignment vertical="center"/>
    </xf>
  </cellStyleXfs>
  <cellXfs count="40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01" fillId="6" borderId="85" xfId="1" applyFont="1" applyFill="1" applyBorder="1">
      <alignment vertical="center"/>
    </xf>
    <xf numFmtId="0" fontId="62" fillId="6" borderId="85" xfId="1" applyFont="1" applyFill="1" applyBorder="1" applyAlignment="1">
      <alignment horizontal="right" vertical="center"/>
    </xf>
    <xf numFmtId="0" fontId="62" fillId="6" borderId="88" xfId="1" applyFont="1" applyFill="1" applyBorder="1" applyAlignment="1">
      <alignment horizontal="center" vertical="center"/>
    </xf>
    <xf numFmtId="0" fontId="62" fillId="2" borderId="88" xfId="1" applyFont="1" applyFill="1" applyBorder="1" applyProtection="1">
      <alignment vertical="center"/>
      <protection locked="0"/>
    </xf>
    <xf numFmtId="0" fontId="62" fillId="5" borderId="118" xfId="1" applyFont="1" applyFill="1" applyBorder="1" applyProtection="1">
      <alignment vertical="center"/>
      <protection locked="0"/>
    </xf>
    <xf numFmtId="0" fontId="62" fillId="5" borderId="78" xfId="1" applyFont="1" applyFill="1" applyBorder="1" applyAlignment="1" applyProtection="1">
      <alignment horizontal="center" vertical="center"/>
      <protection locked="0"/>
    </xf>
    <xf numFmtId="0" fontId="65" fillId="6" borderId="88" xfId="1" applyFont="1" applyFill="1" applyBorder="1">
      <alignment vertical="center"/>
    </xf>
    <xf numFmtId="0" fontId="62" fillId="6" borderId="88" xfId="1" applyFont="1" applyFill="1" applyBorder="1">
      <alignment vertical="center"/>
    </xf>
    <xf numFmtId="188" fontId="62" fillId="6" borderId="88" xfId="1" applyNumberFormat="1" applyFont="1" applyFill="1" applyBorder="1" applyAlignment="1">
      <alignment horizontal="center" vertical="center"/>
    </xf>
    <xf numFmtId="181" fontId="62" fillId="6" borderId="88" xfId="1" applyNumberFormat="1" applyFont="1" applyFill="1" applyBorder="1">
      <alignment vertical="center"/>
    </xf>
    <xf numFmtId="0" fontId="62" fillId="6" borderId="89" xfId="1" applyFont="1" applyFill="1" applyBorder="1" applyAlignment="1">
      <alignment horizontal="center" vertical="center"/>
    </xf>
    <xf numFmtId="0" fontId="62" fillId="6" borderId="87" xfId="1" applyFont="1" applyFill="1" applyBorder="1" applyAlignment="1">
      <alignment horizontal="center" vertical="center"/>
    </xf>
    <xf numFmtId="0" fontId="63" fillId="6" borderId="87" xfId="1" applyFont="1" applyFill="1" applyBorder="1" applyAlignment="1">
      <alignment horizontal="center" vertical="center"/>
    </xf>
    <xf numFmtId="0" fontId="63" fillId="0" borderId="87" xfId="1" applyFont="1" applyBorder="1" applyAlignment="1" applyProtection="1">
      <alignment horizontal="center" vertical="center"/>
      <protection locked="0"/>
    </xf>
    <xf numFmtId="186" fontId="57" fillId="6" borderId="2" xfId="1" applyNumberFormat="1" applyFont="1" applyFill="1" applyBorder="1" applyAlignment="1">
      <alignment horizontal="right" vertical="center"/>
    </xf>
    <xf numFmtId="0" fontId="57" fillId="6" borderId="0" xfId="1" applyFont="1" applyFill="1" applyProtection="1">
      <alignment vertical="center"/>
      <protection locked="0"/>
    </xf>
    <xf numFmtId="188" fontId="57" fillId="6" borderId="0" xfId="1" applyNumberFormat="1" applyFont="1" applyFill="1" applyAlignment="1" applyProtection="1">
      <alignment horizontal="center" vertical="center"/>
      <protection locked="0"/>
    </xf>
    <xf numFmtId="181" fontId="57" fillId="12" borderId="0" xfId="1" applyNumberFormat="1" applyFont="1" applyFill="1" applyProtection="1">
      <alignment vertical="center"/>
      <protection locked="0"/>
    </xf>
    <xf numFmtId="0" fontId="57" fillId="12" borderId="0" xfId="1" applyFont="1" applyFill="1" applyAlignment="1" applyProtection="1">
      <alignment horizontal="center" vertical="center"/>
      <protection locked="0"/>
    </xf>
    <xf numFmtId="0" fontId="57" fillId="6" borderId="18" xfId="1" applyFont="1" applyFill="1" applyBorder="1" applyAlignment="1">
      <alignment horizontal="center" vertical="center"/>
    </xf>
    <xf numFmtId="0" fontId="57" fillId="6" borderId="0" xfId="1" applyFont="1" applyFill="1" applyAlignment="1">
      <alignment horizontal="center" vertical="center"/>
    </xf>
    <xf numFmtId="0" fontId="58" fillId="6" borderId="0" xfId="1" applyFont="1" applyFill="1" applyAlignment="1">
      <alignment horizontal="center" vertical="center"/>
    </xf>
    <xf numFmtId="0" fontId="58" fillId="0" borderId="0" xfId="1" applyFont="1" applyAlignment="1" applyProtection="1">
      <alignment horizontal="center" vertical="center"/>
      <protection locked="0"/>
    </xf>
    <xf numFmtId="0" fontId="57" fillId="6" borderId="13" xfId="1" applyFont="1" applyFill="1" applyBorder="1" applyAlignment="1">
      <alignment horizontal="center" vertical="center"/>
    </xf>
    <xf numFmtId="0" fontId="230" fillId="6" borderId="0" xfId="1" applyFont="1" applyFill="1" applyProtection="1">
      <alignment vertical="center"/>
      <protection locked="0"/>
    </xf>
    <xf numFmtId="0" fontId="50" fillId="6" borderId="16" xfId="1" applyFont="1" applyFill="1" applyBorder="1" applyAlignment="1">
      <alignment vertical="center" wrapText="1"/>
    </xf>
    <xf numFmtId="0" fontId="50" fillId="6" borderId="19" xfId="1" applyFont="1" applyFill="1" applyBorder="1" applyAlignment="1">
      <alignment vertical="center" wrapText="1"/>
    </xf>
    <xf numFmtId="0" fontId="51" fillId="6" borderId="10" xfId="1" applyFont="1" applyFill="1" applyBorder="1" applyAlignment="1">
      <alignment horizontal="center" vertical="center" wrapText="1"/>
    </xf>
    <xf numFmtId="188" fontId="44" fillId="6" borderId="21" xfId="1" applyNumberFormat="1" applyFont="1" applyFill="1" applyBorder="1" applyAlignment="1">
      <alignment horizontal="center" vertical="center" wrapText="1"/>
    </xf>
    <xf numFmtId="181" fontId="44" fillId="12" borderId="0" xfId="1" applyNumberFormat="1" applyFont="1" applyFill="1" applyAlignment="1" applyProtection="1">
      <alignment vertical="center" wrapText="1"/>
      <protection locked="0"/>
    </xf>
    <xf numFmtId="0" fontId="51" fillId="12" borderId="0" xfId="1" applyFont="1" applyFill="1" applyAlignment="1" applyProtection="1">
      <alignment horizontal="center" vertical="center"/>
      <protection locked="0"/>
    </xf>
    <xf numFmtId="0" fontId="51" fillId="6" borderId="1" xfId="1" applyFont="1" applyFill="1" applyBorder="1" applyAlignment="1">
      <alignment horizontal="center" vertical="center"/>
    </xf>
    <xf numFmtId="0" fontId="51" fillId="6" borderId="15" xfId="1" applyFont="1" applyFill="1" applyBorder="1" applyAlignment="1">
      <alignment horizontal="center" vertical="center"/>
    </xf>
    <xf numFmtId="0" fontId="51" fillId="0" borderId="0" xfId="1" applyFont="1" applyAlignment="1" applyProtection="1">
      <alignment horizontal="center" vertical="center"/>
      <protection locked="0"/>
    </xf>
    <xf numFmtId="0" fontId="50" fillId="6" borderId="18" xfId="1" applyFont="1" applyFill="1" applyBorder="1" applyAlignment="1">
      <alignment vertical="center" wrapText="1"/>
    </xf>
    <xf numFmtId="0" fontId="50" fillId="6" borderId="0" xfId="1" applyFont="1" applyFill="1" applyAlignment="1">
      <alignment vertical="center" wrapText="1"/>
    </xf>
    <xf numFmtId="188" fontId="44" fillId="6" borderId="48" xfId="1" applyNumberFormat="1" applyFont="1" applyFill="1" applyBorder="1" applyAlignment="1">
      <alignment horizontal="center" vertical="center" wrapText="1"/>
    </xf>
    <xf numFmtId="0" fontId="50" fillId="6" borderId="42" xfId="1" applyFont="1" applyFill="1" applyBorder="1" applyAlignment="1">
      <alignment vertical="center" wrapText="1"/>
    </xf>
    <xf numFmtId="0" fontId="50" fillId="6" borderId="47" xfId="1" applyFont="1" applyFill="1" applyBorder="1" applyAlignment="1">
      <alignment vertical="center" wrapText="1"/>
    </xf>
    <xf numFmtId="0" fontId="46" fillId="6" borderId="63" xfId="1" applyFont="1" applyFill="1" applyBorder="1" applyAlignment="1">
      <alignment vertical="center" wrapText="1"/>
    </xf>
    <xf numFmtId="0" fontId="46" fillId="6" borderId="64" xfId="1" applyFont="1" applyFill="1" applyBorder="1" applyAlignment="1">
      <alignment vertical="center" wrapText="1"/>
    </xf>
    <xf numFmtId="183" fontId="44" fillId="6" borderId="26" xfId="1" applyNumberFormat="1" applyFont="1" applyFill="1" applyBorder="1" applyAlignment="1">
      <alignment horizontal="center" vertical="center" wrapText="1"/>
    </xf>
    <xf numFmtId="0" fontId="44" fillId="6" borderId="67" xfId="1" applyFont="1" applyFill="1" applyBorder="1" applyAlignment="1">
      <alignment horizontal="center" vertical="center" wrapText="1"/>
    </xf>
    <xf numFmtId="183" fontId="44" fillId="0" borderId="70" xfId="1" applyNumberFormat="1" applyFont="1" applyBorder="1" applyAlignment="1" applyProtection="1">
      <alignment horizontal="center" vertical="center" wrapText="1"/>
      <protection locked="0"/>
    </xf>
    <xf numFmtId="0" fontId="44" fillId="6" borderId="34" xfId="1" applyFont="1" applyFill="1" applyBorder="1" applyAlignment="1">
      <alignment horizontal="center" vertical="center" wrapText="1"/>
    </xf>
    <xf numFmtId="0" fontId="44" fillId="6" borderId="48" xfId="1" applyFont="1" applyFill="1" applyBorder="1" applyAlignment="1">
      <alignment horizontal="center" vertical="center" wrapText="1"/>
    </xf>
    <xf numFmtId="181" fontId="44" fillId="12" borderId="0" xfId="1" applyNumberFormat="1" applyFont="1" applyFill="1" applyAlignment="1" applyProtection="1">
      <alignment horizontal="center" vertical="center" wrapText="1"/>
      <protection locked="0"/>
    </xf>
    <xf numFmtId="0" fontId="44" fillId="12" borderId="0" xfId="1" applyFont="1" applyFill="1" applyAlignment="1" applyProtection="1">
      <alignment horizontal="center" vertical="center"/>
      <protection locked="0"/>
    </xf>
    <xf numFmtId="187" fontId="44" fillId="6" borderId="5" xfId="1" applyNumberFormat="1" applyFont="1" applyFill="1" applyBorder="1" applyAlignment="1">
      <alignment horizontal="center" vertical="center"/>
    </xf>
    <xf numFmtId="49" fontId="44" fillId="6" borderId="3" xfId="1" applyNumberFormat="1" applyFont="1" applyFill="1" applyBorder="1" applyAlignment="1">
      <alignment horizontal="center" vertical="center"/>
    </xf>
    <xf numFmtId="0" fontId="44" fillId="6" borderId="15" xfId="1" applyFont="1" applyFill="1" applyBorder="1" applyAlignment="1">
      <alignment horizontal="center" vertical="center"/>
    </xf>
    <xf numFmtId="0" fontId="44" fillId="0" borderId="0" xfId="1" applyFont="1" applyAlignment="1" applyProtection="1">
      <alignment horizontal="center" vertical="center"/>
      <protection locked="0"/>
    </xf>
    <xf numFmtId="49" fontId="44" fillId="2" borderId="26" xfId="1" applyNumberFormat="1" applyFont="1" applyFill="1" applyBorder="1" applyAlignment="1" applyProtection="1">
      <alignment horizontal="center" vertical="center" wrapText="1"/>
      <protection locked="0"/>
    </xf>
    <xf numFmtId="49" fontId="44" fillId="2" borderId="70" xfId="1" applyNumberFormat="1" applyFont="1" applyFill="1" applyBorder="1" applyAlignment="1" applyProtection="1">
      <alignment horizontal="center" vertical="center" wrapText="1"/>
      <protection locked="0"/>
    </xf>
    <xf numFmtId="0" fontId="46" fillId="6" borderId="40" xfId="1" applyFont="1" applyFill="1" applyBorder="1" applyAlignment="1">
      <alignment vertical="center" wrapText="1"/>
    </xf>
    <xf numFmtId="0" fontId="128" fillId="0" borderId="51" xfId="1" applyFont="1" applyBorder="1" applyAlignment="1" applyProtection="1">
      <alignment horizontal="center" vertical="center" wrapText="1"/>
      <protection locked="0"/>
    </xf>
    <xf numFmtId="0" fontId="44" fillId="6" borderId="10" xfId="1" applyFont="1" applyFill="1" applyBorder="1" applyAlignment="1">
      <alignment horizontal="center" vertical="center" wrapText="1"/>
    </xf>
    <xf numFmtId="49" fontId="44" fillId="2" borderId="30" xfId="1" applyNumberFormat="1" applyFont="1" applyFill="1" applyBorder="1" applyAlignment="1" applyProtection="1">
      <alignment horizontal="center" vertical="center" wrapText="1"/>
      <protection locked="0"/>
    </xf>
    <xf numFmtId="0" fontId="66" fillId="6" borderId="14" xfId="1" applyFont="1" applyFill="1" applyBorder="1" applyAlignment="1">
      <alignment vertical="center" wrapText="1"/>
    </xf>
    <xf numFmtId="0" fontId="44" fillId="6" borderId="5" xfId="1" applyFont="1" applyFill="1" applyBorder="1" applyAlignment="1">
      <alignment horizontal="center" vertical="center" wrapText="1"/>
    </xf>
    <xf numFmtId="176" fontId="44" fillId="0" borderId="23" xfId="1" applyNumberFormat="1" applyFont="1" applyBorder="1" applyAlignment="1" applyProtection="1">
      <alignment horizontal="center" vertical="center" wrapText="1"/>
      <protection locked="0"/>
    </xf>
    <xf numFmtId="0" fontId="44" fillId="6" borderId="24" xfId="1" applyFont="1" applyFill="1" applyBorder="1" applyAlignment="1">
      <alignment horizontal="center" vertical="center" wrapText="1"/>
    </xf>
    <xf numFmtId="176" fontId="44" fillId="0" borderId="3" xfId="1" applyNumberFormat="1" applyFont="1" applyBorder="1" applyAlignment="1" applyProtection="1">
      <alignment horizontal="center" vertical="center" wrapText="1"/>
      <protection locked="0"/>
    </xf>
    <xf numFmtId="181" fontId="67" fillId="12" borderId="0" xfId="1" applyNumberFormat="1" applyFont="1" applyFill="1" applyAlignment="1" applyProtection="1">
      <alignment horizontal="center" vertical="center" wrapText="1"/>
      <protection locked="0"/>
    </xf>
    <xf numFmtId="0" fontId="67" fillId="12" borderId="0" xfId="1" applyFont="1" applyFill="1" applyAlignment="1" applyProtection="1">
      <alignment horizontal="center" vertical="center"/>
      <protection locked="0"/>
    </xf>
    <xf numFmtId="0" fontId="67" fillId="0" borderId="0" xfId="1" applyFont="1" applyAlignment="1" applyProtection="1">
      <alignment horizontal="center" vertical="center"/>
      <protection locked="0"/>
    </xf>
    <xf numFmtId="0" fontId="50" fillId="6" borderId="14" xfId="1" applyFont="1" applyFill="1" applyBorder="1" applyAlignment="1">
      <alignment vertical="center" wrapText="1"/>
    </xf>
    <xf numFmtId="0" fontId="44" fillId="0" borderId="23" xfId="1" applyFont="1" applyBorder="1" applyAlignment="1" applyProtection="1">
      <alignment horizontal="center" vertical="center" wrapText="1"/>
      <protection locked="0"/>
    </xf>
    <xf numFmtId="0" fontId="44" fillId="0" borderId="3" xfId="1" applyFont="1" applyBorder="1" applyAlignment="1" applyProtection="1">
      <alignment horizontal="center" vertical="center" wrapText="1"/>
      <protection locked="0"/>
    </xf>
    <xf numFmtId="0" fontId="58" fillId="0" borderId="48" xfId="1" applyFont="1" applyBorder="1" applyAlignment="1" applyProtection="1">
      <alignment horizontal="center" vertical="center" wrapText="1"/>
      <protection locked="0"/>
    </xf>
    <xf numFmtId="181" fontId="49" fillId="12" borderId="0" xfId="1" applyNumberFormat="1" applyFont="1" applyFill="1" applyAlignment="1" applyProtection="1">
      <alignment horizontal="center" vertical="center" wrapText="1"/>
      <protection locked="0"/>
    </xf>
    <xf numFmtId="0" fontId="46" fillId="6" borderId="14" xfId="1" applyFont="1" applyFill="1" applyBorder="1" applyAlignment="1">
      <alignment vertical="center" wrapText="1"/>
    </xf>
    <xf numFmtId="0" fontId="44" fillId="0" borderId="46" xfId="1" applyFont="1" applyBorder="1" applyAlignment="1" applyProtection="1">
      <alignment horizontal="center" vertical="center" wrapText="1"/>
      <protection locked="0"/>
    </xf>
    <xf numFmtId="0" fontId="44" fillId="0" borderId="41" xfId="1" applyFont="1" applyBorder="1" applyAlignment="1" applyProtection="1">
      <alignment horizontal="center" vertical="center" wrapText="1"/>
      <protection locked="0"/>
    </xf>
    <xf numFmtId="0" fontId="44" fillId="6" borderId="71" xfId="1" applyFont="1" applyFill="1" applyBorder="1" applyAlignment="1">
      <alignment horizontal="center" vertical="center" wrapText="1"/>
    </xf>
    <xf numFmtId="0" fontId="58" fillId="6" borderId="48" xfId="1" applyFont="1" applyFill="1" applyBorder="1" applyAlignment="1">
      <alignment horizontal="center" vertical="center" wrapText="1"/>
    </xf>
    <xf numFmtId="0" fontId="51" fillId="0" borderId="37" xfId="1" applyFont="1" applyBorder="1" applyAlignment="1" applyProtection="1">
      <alignment horizontal="center" vertical="center" wrapText="1"/>
      <protection locked="0"/>
    </xf>
    <xf numFmtId="0" fontId="51" fillId="6" borderId="24" xfId="1" applyFont="1" applyFill="1" applyBorder="1" applyAlignment="1">
      <alignment horizontal="center" vertical="center" wrapText="1"/>
    </xf>
    <xf numFmtId="181" fontId="68" fillId="12" borderId="0" xfId="1" applyNumberFormat="1" applyFont="1" applyFill="1" applyAlignment="1" applyProtection="1">
      <alignment horizontal="center" vertical="center" wrapText="1"/>
      <protection locked="0"/>
    </xf>
    <xf numFmtId="0" fontId="50" fillId="6" borderId="12" xfId="1" applyFont="1" applyFill="1" applyBorder="1" applyAlignment="1">
      <alignment vertical="center" wrapText="1"/>
    </xf>
    <xf numFmtId="0" fontId="44" fillId="0" borderId="33" xfId="1" applyFont="1" applyBorder="1" applyAlignment="1" applyProtection="1">
      <alignment horizontal="center" vertical="center" wrapText="1"/>
      <protection locked="0"/>
    </xf>
    <xf numFmtId="0" fontId="51" fillId="0" borderId="38" xfId="1" applyFont="1" applyBorder="1" applyAlignment="1" applyProtection="1">
      <alignment horizontal="center" vertical="center" wrapText="1"/>
      <protection locked="0"/>
    </xf>
    <xf numFmtId="0" fontId="51" fillId="6" borderId="49" xfId="1" applyFont="1" applyFill="1" applyBorder="1" applyAlignment="1">
      <alignment horizontal="center" vertical="center" wrapText="1"/>
    </xf>
    <xf numFmtId="0" fontId="51" fillId="6" borderId="33" xfId="1" applyFont="1" applyFill="1" applyBorder="1" applyAlignment="1">
      <alignment horizontal="center" vertical="center" wrapText="1"/>
    </xf>
    <xf numFmtId="0" fontId="50" fillId="6" borderId="40" xfId="1" applyFont="1" applyFill="1" applyBorder="1" applyAlignment="1">
      <alignment vertical="center" wrapText="1"/>
    </xf>
    <xf numFmtId="0" fontId="44" fillId="6" borderId="29" xfId="1" applyFont="1" applyFill="1" applyBorder="1" applyAlignment="1">
      <alignment horizontal="center" vertical="center" wrapText="1"/>
    </xf>
    <xf numFmtId="49" fontId="51" fillId="6" borderId="40" xfId="1" applyNumberFormat="1" applyFont="1" applyFill="1" applyBorder="1" applyAlignment="1">
      <alignment horizontal="center" vertical="center" wrapText="1"/>
    </xf>
    <xf numFmtId="0" fontId="51" fillId="6" borderId="62" xfId="1" applyFont="1" applyFill="1" applyBorder="1" applyAlignment="1">
      <alignment horizontal="center" vertical="center" wrapText="1"/>
    </xf>
    <xf numFmtId="49" fontId="51" fillId="0" borderId="40" xfId="1" applyNumberFormat="1" applyFont="1" applyBorder="1" applyAlignment="1" applyProtection="1">
      <alignment horizontal="center" vertical="center" wrapText="1"/>
      <protection locked="0"/>
    </xf>
    <xf numFmtId="49" fontId="51" fillId="0" borderId="39" xfId="1" applyNumberFormat="1" applyFont="1" applyBorder="1" applyAlignment="1" applyProtection="1">
      <alignment horizontal="center" vertical="center" wrapText="1"/>
      <protection locked="0"/>
    </xf>
    <xf numFmtId="0" fontId="58" fillId="0" borderId="72" xfId="1" applyFont="1" applyBorder="1" applyAlignment="1" applyProtection="1">
      <alignment horizontal="center" vertical="center" wrapText="1"/>
      <protection locked="0"/>
    </xf>
    <xf numFmtId="0" fontId="51" fillId="6" borderId="11" xfId="1" applyFont="1" applyFill="1" applyBorder="1" applyAlignment="1">
      <alignment horizontal="center" vertical="center" wrapText="1"/>
    </xf>
    <xf numFmtId="0" fontId="51" fillId="6" borderId="1" xfId="1" applyFont="1" applyFill="1" applyBorder="1" applyAlignment="1">
      <alignment horizontal="center" vertical="center" wrapText="1"/>
    </xf>
    <xf numFmtId="187" fontId="51" fillId="6" borderId="5" xfId="1" applyNumberFormat="1" applyFont="1" applyFill="1" applyBorder="1" applyAlignment="1">
      <alignment horizontal="center" vertical="center"/>
    </xf>
    <xf numFmtId="49" fontId="51" fillId="6" borderId="3" xfId="1" applyNumberFormat="1" applyFont="1" applyFill="1" applyBorder="1" applyAlignment="1">
      <alignment horizontal="center" vertical="center"/>
    </xf>
    <xf numFmtId="0" fontId="51" fillId="6" borderId="0" xfId="1" applyFont="1" applyFill="1" applyAlignment="1">
      <alignment horizontal="center" vertical="center"/>
    </xf>
    <xf numFmtId="0" fontId="51" fillId="6" borderId="8" xfId="1" applyFont="1" applyFill="1" applyBorder="1" applyAlignment="1">
      <alignment horizontal="center" vertical="center" wrapText="1"/>
    </xf>
    <xf numFmtId="0" fontId="51" fillId="6" borderId="53" xfId="1" applyFont="1" applyFill="1" applyBorder="1" applyAlignment="1">
      <alignment horizontal="center" vertical="center" wrapText="1"/>
    </xf>
    <xf numFmtId="0" fontId="58" fillId="6" borderId="50" xfId="1" applyFont="1" applyFill="1" applyBorder="1" applyAlignment="1">
      <alignment horizontal="center" vertical="center" wrapText="1"/>
    </xf>
    <xf numFmtId="0" fontId="51" fillId="6" borderId="15" xfId="1" applyFont="1" applyFill="1" applyBorder="1" applyAlignment="1">
      <alignment horizontal="center" vertical="center" wrapText="1"/>
    </xf>
    <xf numFmtId="0" fontId="44" fillId="6" borderId="46" xfId="1" applyFont="1" applyFill="1" applyBorder="1" applyAlignment="1">
      <alignment horizontal="center" vertical="center" wrapText="1"/>
    </xf>
    <xf numFmtId="49" fontId="51" fillId="0" borderId="14" xfId="1" applyNumberFormat="1" applyFont="1" applyBorder="1" applyAlignment="1" applyProtection="1">
      <alignment horizontal="center" vertical="center" wrapText="1"/>
      <protection locked="0"/>
    </xf>
    <xf numFmtId="49" fontId="51" fillId="0" borderId="35" xfId="1" applyNumberFormat="1" applyFont="1" applyBorder="1" applyAlignment="1" applyProtection="1">
      <alignment horizontal="center" vertical="center" wrapText="1"/>
      <protection locked="0"/>
    </xf>
    <xf numFmtId="0" fontId="51" fillId="6" borderId="61" xfId="1" applyFont="1" applyFill="1" applyBorder="1" applyAlignment="1">
      <alignment horizontal="center" vertical="center" wrapText="1"/>
    </xf>
    <xf numFmtId="0" fontId="44" fillId="6" borderId="4" xfId="1" applyFont="1" applyFill="1" applyBorder="1" applyAlignment="1">
      <alignment horizontal="center" vertical="center" wrapText="1"/>
    </xf>
    <xf numFmtId="0" fontId="51" fillId="2" borderId="14" xfId="1" applyFont="1" applyFill="1" applyBorder="1" applyAlignment="1" applyProtection="1">
      <alignment horizontal="center" vertical="center" wrapText="1"/>
      <protection locked="0"/>
    </xf>
    <xf numFmtId="49" fontId="51" fillId="0" borderId="11" xfId="1" applyNumberFormat="1" applyFont="1" applyBorder="1" applyAlignment="1" applyProtection="1">
      <alignment horizontal="center" vertical="center" wrapText="1"/>
      <protection locked="0"/>
    </xf>
    <xf numFmtId="49" fontId="51" fillId="0" borderId="22" xfId="1" applyNumberFormat="1" applyFont="1" applyBorder="1" applyAlignment="1" applyProtection="1">
      <alignment horizontal="center" vertical="center" wrapText="1"/>
      <protection locked="0"/>
    </xf>
    <xf numFmtId="0" fontId="44" fillId="6" borderId="58" xfId="1" applyFont="1" applyFill="1" applyBorder="1" applyAlignment="1">
      <alignment horizontal="center" vertical="center" wrapText="1"/>
    </xf>
    <xf numFmtId="0" fontId="58" fillId="6" borderId="80" xfId="1" applyFont="1" applyFill="1" applyBorder="1" applyAlignment="1">
      <alignment horizontal="center" vertical="center" wrapText="1"/>
    </xf>
    <xf numFmtId="0" fontId="51" fillId="2" borderId="23" xfId="1" applyFont="1" applyFill="1" applyBorder="1" applyAlignment="1" applyProtection="1">
      <alignment horizontal="center" vertical="center" wrapText="1"/>
      <protection locked="0"/>
    </xf>
    <xf numFmtId="49" fontId="51" fillId="2" borderId="23" xfId="1" applyNumberFormat="1" applyFont="1" applyFill="1" applyBorder="1" applyAlignment="1" applyProtection="1">
      <alignment horizontal="center" vertical="center" wrapText="1"/>
      <protection locked="0"/>
    </xf>
    <xf numFmtId="49" fontId="51" fillId="2" borderId="3" xfId="1" applyNumberFormat="1" applyFont="1" applyFill="1" applyBorder="1" applyAlignment="1" applyProtection="1">
      <alignment horizontal="center" vertical="center" wrapText="1"/>
      <protection locked="0"/>
    </xf>
    <xf numFmtId="0" fontId="44" fillId="0" borderId="5" xfId="1" applyFont="1" applyBorder="1" applyAlignment="1" applyProtection="1">
      <alignment horizontal="center" vertical="center" wrapText="1"/>
      <protection locked="0"/>
    </xf>
    <xf numFmtId="0" fontId="44" fillId="6" borderId="8" xfId="1" applyFont="1" applyFill="1" applyBorder="1" applyAlignment="1">
      <alignment horizontal="center" vertical="center" wrapText="1"/>
    </xf>
    <xf numFmtId="49" fontId="44" fillId="0" borderId="41" xfId="1" applyNumberFormat="1" applyFont="1" applyBorder="1" applyAlignment="1" applyProtection="1">
      <alignment horizontal="center" vertical="center" wrapText="1"/>
      <protection locked="0"/>
    </xf>
    <xf numFmtId="49" fontId="44" fillId="0" borderId="7" xfId="1" applyNumberFormat="1" applyFont="1" applyBorder="1" applyAlignment="1" applyProtection="1">
      <alignment horizontal="center" vertical="center" wrapText="1"/>
      <protection locked="0"/>
    </xf>
    <xf numFmtId="0" fontId="51" fillId="0" borderId="54" xfId="1" applyFont="1" applyBorder="1" applyAlignment="1" applyProtection="1">
      <alignment horizontal="center" vertical="center" wrapText="1"/>
      <protection locked="0"/>
    </xf>
    <xf numFmtId="0" fontId="51" fillId="0" borderId="52" xfId="1" applyFont="1" applyBorder="1" applyAlignment="1" applyProtection="1">
      <alignment horizontal="center" vertical="center" wrapText="1"/>
      <protection locked="0"/>
    </xf>
    <xf numFmtId="0" fontId="51" fillId="2" borderId="6" xfId="1" applyFont="1" applyFill="1" applyBorder="1" applyAlignment="1" applyProtection="1">
      <alignment horizontal="center" vertical="center" wrapText="1"/>
      <protection locked="0"/>
    </xf>
    <xf numFmtId="0" fontId="51" fillId="6" borderId="5" xfId="1" applyFont="1" applyFill="1" applyBorder="1" applyAlignment="1">
      <alignment horizontal="center" vertical="center" wrapText="1"/>
    </xf>
    <xf numFmtId="0" fontId="69" fillId="6" borderId="14" xfId="1" applyFont="1" applyFill="1" applyBorder="1" applyAlignment="1">
      <alignment vertical="center" textRotation="255" wrapText="1"/>
    </xf>
    <xf numFmtId="0" fontId="44" fillId="0" borderId="37" xfId="1" applyFont="1" applyBorder="1" applyAlignment="1" applyProtection="1">
      <alignment horizontal="center" vertical="center" wrapText="1"/>
      <protection locked="0"/>
    </xf>
    <xf numFmtId="0" fontId="49" fillId="12" borderId="0" xfId="1" applyFont="1" applyFill="1" applyAlignment="1" applyProtection="1">
      <alignment horizontal="center" vertical="center"/>
      <protection locked="0"/>
    </xf>
    <xf numFmtId="0" fontId="49" fillId="6" borderId="1" xfId="1" applyFont="1" applyFill="1" applyBorder="1" applyAlignment="1">
      <alignment horizontal="center" vertical="center" wrapText="1"/>
    </xf>
    <xf numFmtId="187" fontId="49" fillId="6" borderId="5" xfId="1" applyNumberFormat="1" applyFont="1" applyFill="1" applyBorder="1" applyAlignment="1">
      <alignment horizontal="center" vertical="center"/>
    </xf>
    <xf numFmtId="49" fontId="49" fillId="6" borderId="3" xfId="1" applyNumberFormat="1" applyFont="1" applyFill="1" applyBorder="1" applyAlignment="1">
      <alignment horizontal="center" vertical="center"/>
    </xf>
    <xf numFmtId="0" fontId="49" fillId="6" borderId="15" xfId="1" applyFont="1" applyFill="1" applyBorder="1" applyAlignment="1">
      <alignment horizontal="center" vertical="center"/>
    </xf>
    <xf numFmtId="0" fontId="49" fillId="6" borderId="1" xfId="1" applyFont="1" applyFill="1" applyBorder="1" applyAlignment="1">
      <alignment horizontal="center" vertical="center"/>
    </xf>
    <xf numFmtId="0" fontId="49" fillId="0" borderId="0" xfId="1" applyFont="1" applyAlignment="1" applyProtection="1">
      <alignment horizontal="center" vertical="center"/>
      <protection locked="0"/>
    </xf>
    <xf numFmtId="0" fontId="50" fillId="6" borderId="14" xfId="1" applyFont="1" applyFill="1" applyBorder="1" applyAlignment="1">
      <alignment vertical="center" textRotation="255" wrapText="1"/>
    </xf>
    <xf numFmtId="0" fontId="46" fillId="6" borderId="14" xfId="1" applyFont="1" applyFill="1" applyBorder="1" applyAlignment="1">
      <alignment vertical="center" textRotation="255" wrapText="1"/>
    </xf>
    <xf numFmtId="9" fontId="44" fillId="0" borderId="37" xfId="1" applyNumberFormat="1" applyFont="1" applyBorder="1" applyAlignment="1" applyProtection="1">
      <alignment horizontal="center" vertical="center" wrapText="1"/>
      <protection locked="0"/>
    </xf>
    <xf numFmtId="9" fontId="44" fillId="0" borderId="23" xfId="1" applyNumberFormat="1" applyFont="1" applyBorder="1" applyAlignment="1" applyProtection="1">
      <alignment horizontal="center" vertical="center" wrapText="1"/>
      <protection locked="0"/>
    </xf>
    <xf numFmtId="9" fontId="44" fillId="0" borderId="3" xfId="1" applyNumberFormat="1" applyFont="1" applyBorder="1" applyAlignment="1" applyProtection="1">
      <alignment horizontal="center" vertical="center" wrapText="1"/>
      <protection locked="0"/>
    </xf>
    <xf numFmtId="0" fontId="51" fillId="0" borderId="3" xfId="1" applyFont="1" applyBorder="1" applyAlignment="1" applyProtection="1">
      <alignment horizontal="center" vertical="center" wrapText="1"/>
      <protection locked="0"/>
    </xf>
    <xf numFmtId="0" fontId="128" fillId="0" borderId="5" xfId="1" applyFont="1" applyBorder="1" applyAlignment="1" applyProtection="1">
      <alignment horizontal="center" vertical="center" wrapText="1"/>
      <protection locked="0"/>
    </xf>
    <xf numFmtId="0" fontId="128" fillId="0" borderId="37" xfId="1" applyFont="1" applyBorder="1" applyAlignment="1" applyProtection="1">
      <alignment horizontal="center" vertical="center" wrapText="1"/>
      <protection locked="0"/>
    </xf>
    <xf numFmtId="0" fontId="50" fillId="6" borderId="12" xfId="1" applyFont="1" applyFill="1" applyBorder="1" applyAlignment="1">
      <alignment vertical="center" textRotation="255" wrapText="1"/>
    </xf>
    <xf numFmtId="49" fontId="50" fillId="6" borderId="51" xfId="1" applyNumberFormat="1" applyFont="1" applyFill="1" applyBorder="1">
      <alignment vertical="center"/>
    </xf>
    <xf numFmtId="49" fontId="50" fillId="6" borderId="20" xfId="1" applyNumberFormat="1" applyFont="1" applyFill="1" applyBorder="1">
      <alignment vertical="center"/>
    </xf>
    <xf numFmtId="0" fontId="50" fillId="6" borderId="51" xfId="1" applyFont="1" applyFill="1" applyBorder="1" applyAlignment="1">
      <alignment horizontal="right" vertical="center" wrapText="1"/>
    </xf>
    <xf numFmtId="0" fontId="50" fillId="6" borderId="21" xfId="1" applyFont="1" applyFill="1" applyBorder="1" applyAlignment="1">
      <alignment vertical="center" wrapText="1"/>
    </xf>
    <xf numFmtId="0" fontId="70" fillId="3" borderId="20" xfId="1" applyFont="1" applyFill="1" applyBorder="1" applyAlignment="1" applyProtection="1">
      <alignment vertical="center" wrapText="1"/>
      <protection locked="0"/>
    </xf>
    <xf numFmtId="0" fontId="70" fillId="6" borderId="20" xfId="1" applyFont="1" applyFill="1" applyBorder="1" applyAlignment="1">
      <alignment vertical="center" wrapText="1"/>
    </xf>
    <xf numFmtId="0" fontId="70" fillId="3" borderId="51" xfId="1" applyFont="1" applyFill="1" applyBorder="1" applyAlignment="1" applyProtection="1">
      <alignment vertical="center" wrapText="1"/>
      <protection locked="0"/>
    </xf>
    <xf numFmtId="0" fontId="70" fillId="6" borderId="21" xfId="1" applyFont="1" applyFill="1" applyBorder="1" applyAlignment="1">
      <alignment vertical="center" wrapText="1"/>
    </xf>
    <xf numFmtId="188" fontId="51" fillId="6" borderId="48" xfId="1" applyNumberFormat="1" applyFont="1" applyFill="1" applyBorder="1" applyAlignment="1">
      <alignment horizontal="center" vertical="center"/>
    </xf>
    <xf numFmtId="181" fontId="51" fillId="12" borderId="0" xfId="1" applyNumberFormat="1" applyFont="1" applyFill="1" applyAlignment="1" applyProtection="1">
      <alignment vertical="center" wrapText="1"/>
      <protection locked="0"/>
    </xf>
    <xf numFmtId="0" fontId="51" fillId="6" borderId="2" xfId="1" applyFont="1" applyFill="1" applyBorder="1" applyAlignment="1">
      <alignment vertical="center" textRotation="255" wrapText="1"/>
    </xf>
    <xf numFmtId="49" fontId="50" fillId="6" borderId="38" xfId="1" applyNumberFormat="1" applyFont="1" applyFill="1" applyBorder="1">
      <alignment vertical="center"/>
    </xf>
    <xf numFmtId="49" fontId="50" fillId="6" borderId="52" xfId="1" applyNumberFormat="1" applyFont="1" applyFill="1" applyBorder="1">
      <alignment vertical="center"/>
    </xf>
    <xf numFmtId="0" fontId="50" fillId="6" borderId="38" xfId="1" applyFont="1" applyFill="1" applyBorder="1" applyAlignment="1">
      <alignment vertical="center" wrapText="1"/>
    </xf>
    <xf numFmtId="0" fontId="54" fillId="18" borderId="68" xfId="1" applyFont="1" applyFill="1" applyBorder="1" applyAlignment="1" applyProtection="1">
      <alignment horizontal="left" vertical="center" wrapText="1"/>
      <protection locked="0"/>
    </xf>
    <xf numFmtId="0" fontId="50" fillId="6" borderId="52" xfId="1" applyFont="1" applyFill="1" applyBorder="1" applyAlignment="1">
      <alignment vertical="center" wrapText="1"/>
    </xf>
    <xf numFmtId="181" fontId="50" fillId="18" borderId="68" xfId="1" applyNumberFormat="1" applyFont="1" applyFill="1" applyBorder="1" applyAlignment="1" applyProtection="1">
      <alignment horizontal="left" vertical="center" wrapText="1"/>
      <protection locked="0"/>
    </xf>
    <xf numFmtId="176" fontId="51" fillId="18" borderId="48" xfId="1" applyNumberFormat="1" applyFont="1" applyFill="1" applyBorder="1" applyAlignment="1">
      <alignment horizontal="left" vertical="center" wrapText="1"/>
    </xf>
    <xf numFmtId="49" fontId="50" fillId="0" borderId="42" xfId="1" applyNumberFormat="1" applyFont="1" applyBorder="1" applyProtection="1">
      <alignment vertical="center"/>
      <protection locked="0"/>
    </xf>
    <xf numFmtId="49" fontId="50" fillId="0" borderId="43" xfId="1" applyNumberFormat="1" applyFont="1" applyBorder="1" applyProtection="1">
      <alignment vertical="center"/>
      <protection locked="0"/>
    </xf>
    <xf numFmtId="0" fontId="50" fillId="6" borderId="47" xfId="1" applyFont="1" applyFill="1" applyBorder="1" applyAlignment="1" applyProtection="1">
      <alignment vertical="center" wrapText="1"/>
      <protection locked="0"/>
    </xf>
    <xf numFmtId="188" fontId="51" fillId="6" borderId="49" xfId="1" applyNumberFormat="1" applyFont="1" applyFill="1" applyBorder="1" applyAlignment="1">
      <alignment horizontal="center" vertical="center" wrapText="1"/>
    </xf>
    <xf numFmtId="9" fontId="51" fillId="12" borderId="0" xfId="1" applyNumberFormat="1" applyFont="1" applyFill="1" applyAlignment="1" applyProtection="1">
      <alignment horizontal="center" vertical="center"/>
      <protection locked="0"/>
    </xf>
    <xf numFmtId="188" fontId="51" fillId="12" borderId="0" xfId="1" applyNumberFormat="1" applyFont="1" applyFill="1" applyAlignment="1" applyProtection="1">
      <alignment horizontal="center" vertical="center"/>
      <protection locked="0"/>
    </xf>
    <xf numFmtId="181" fontId="51" fillId="12" borderId="0" xfId="1" applyNumberFormat="1" applyFont="1" applyFill="1" applyAlignment="1" applyProtection="1">
      <alignment horizontal="center" vertical="center"/>
      <protection locked="0"/>
    </xf>
    <xf numFmtId="0" fontId="51" fillId="0" borderId="18" xfId="1" applyFont="1" applyBorder="1" applyAlignment="1" applyProtection="1">
      <alignment horizontal="center" vertical="center"/>
      <protection locked="0"/>
    </xf>
    <xf numFmtId="0" fontId="50" fillId="6" borderId="1" xfId="1" applyFont="1" applyFill="1" applyBorder="1" applyAlignment="1">
      <alignment horizontal="left" vertical="center"/>
    </xf>
    <xf numFmtId="0" fontId="50" fillId="6" borderId="1" xfId="1" applyFont="1" applyFill="1" applyBorder="1" applyAlignment="1">
      <alignment horizontal="center" vertical="center" wrapText="1"/>
    </xf>
    <xf numFmtId="181" fontId="51" fillId="6" borderId="5" xfId="1" applyNumberFormat="1" applyFont="1" applyFill="1" applyBorder="1" applyAlignment="1">
      <alignment horizontal="center" vertical="center"/>
    </xf>
    <xf numFmtId="181" fontId="51" fillId="6" borderId="3" xfId="1" applyNumberFormat="1" applyFont="1" applyFill="1" applyBorder="1">
      <alignment vertical="center"/>
    </xf>
    <xf numFmtId="0" fontId="50" fillId="6" borderId="3" xfId="1" applyFont="1" applyFill="1" applyBorder="1" applyAlignment="1">
      <alignment horizontal="center" vertical="center" wrapText="1"/>
    </xf>
    <xf numFmtId="0" fontId="68" fillId="12" borderId="0" xfId="1" applyFont="1" applyFill="1" applyAlignment="1" applyProtection="1">
      <alignment horizontal="center" vertical="center"/>
      <protection locked="0"/>
    </xf>
    <xf numFmtId="188" fontId="68" fillId="12" borderId="0" xfId="1" applyNumberFormat="1" applyFont="1" applyFill="1" applyAlignment="1" applyProtection="1">
      <alignment horizontal="center" vertical="center"/>
      <protection locked="0"/>
    </xf>
    <xf numFmtId="181" fontId="68" fillId="12" borderId="0" xfId="1" applyNumberFormat="1" applyFont="1" applyFill="1" applyAlignment="1" applyProtection="1">
      <alignment horizontal="center" vertical="center"/>
      <protection locked="0"/>
    </xf>
    <xf numFmtId="0" fontId="68" fillId="0" borderId="18" xfId="1" applyFont="1" applyBorder="1" applyAlignment="1" applyProtection="1">
      <alignment horizontal="center" vertical="center"/>
      <protection locked="0"/>
    </xf>
    <xf numFmtId="0" fontId="68" fillId="0" borderId="0" xfId="1" applyFont="1" applyAlignment="1" applyProtection="1">
      <alignment horizontal="center" vertical="center"/>
      <protection locked="0"/>
    </xf>
    <xf numFmtId="14" fontId="51" fillId="12" borderId="0" xfId="1" applyNumberFormat="1" applyFont="1" applyFill="1" applyAlignment="1" applyProtection="1">
      <alignment horizontal="center" vertical="center"/>
      <protection locked="0"/>
    </xf>
    <xf numFmtId="176" fontId="51" fillId="12" borderId="0" xfId="1" applyNumberFormat="1" applyFont="1" applyFill="1" applyAlignment="1" applyProtection="1">
      <alignment horizontal="center" vertical="center"/>
      <protection locked="0"/>
    </xf>
    <xf numFmtId="0" fontId="56" fillId="6" borderId="0" xfId="1" applyFont="1" applyFill="1" applyAlignment="1"/>
    <xf numFmtId="0" fontId="51" fillId="6" borderId="0" xfId="1" applyFont="1" applyFill="1" applyAlignment="1"/>
    <xf numFmtId="0" fontId="51" fillId="6" borderId="0" xfId="1" applyFont="1" applyFill="1" applyAlignment="1">
      <alignment horizontal="center"/>
    </xf>
    <xf numFmtId="188" fontId="51" fillId="6" borderId="0" xfId="1" applyNumberFormat="1" applyFont="1" applyFill="1" applyAlignment="1" applyProtection="1">
      <alignment horizontal="center"/>
      <protection locked="0"/>
    </xf>
    <xf numFmtId="181" fontId="51" fillId="6" borderId="0" xfId="1" applyNumberFormat="1" applyFont="1" applyFill="1" applyAlignment="1" applyProtection="1">
      <protection locked="0"/>
    </xf>
    <xf numFmtId="0" fontId="51" fillId="6" borderId="0" xfId="1" applyFont="1" applyFill="1" applyAlignment="1" applyProtection="1">
      <protection locked="0"/>
    </xf>
    <xf numFmtId="0" fontId="51" fillId="0" borderId="18" xfId="1" applyFont="1" applyBorder="1" applyAlignment="1" applyProtection="1">
      <protection locked="0"/>
    </xf>
    <xf numFmtId="9" fontId="44" fillId="0" borderId="0" xfId="1" applyNumberFormat="1" applyFont="1" applyAlignment="1" applyProtection="1">
      <alignment horizontal="center" vertical="center" wrapText="1"/>
      <protection locked="0"/>
    </xf>
    <xf numFmtId="0" fontId="46" fillId="6" borderId="16" xfId="1" applyFont="1" applyFill="1" applyBorder="1" applyAlignment="1">
      <alignment vertical="center" wrapText="1"/>
    </xf>
    <xf numFmtId="0" fontId="46" fillId="6" borderId="39" xfId="1" applyFont="1" applyFill="1" applyBorder="1" applyAlignment="1">
      <alignment vertical="center" wrapText="1"/>
    </xf>
    <xf numFmtId="189" fontId="44" fillId="6" borderId="39" xfId="1" applyNumberFormat="1" applyFont="1" applyFill="1" applyBorder="1" applyAlignment="1">
      <alignment horizontal="center" vertical="center" wrapText="1"/>
    </xf>
    <xf numFmtId="189" fontId="44" fillId="6" borderId="9" xfId="1" applyNumberFormat="1" applyFont="1" applyFill="1" applyBorder="1" applyAlignment="1">
      <alignment horizontal="center" vertical="center" wrapText="1"/>
    </xf>
    <xf numFmtId="49" fontId="44" fillId="0" borderId="18" xfId="1" applyNumberFormat="1" applyFont="1" applyBorder="1" applyAlignment="1" applyProtection="1">
      <alignment horizontal="center" vertical="center"/>
      <protection locked="0"/>
    </xf>
    <xf numFmtId="49" fontId="44" fillId="0" borderId="0" xfId="1" applyNumberFormat="1" applyFont="1" applyAlignment="1" applyProtection="1">
      <alignment horizontal="center" vertical="center"/>
      <protection locked="0"/>
    </xf>
    <xf numFmtId="0" fontId="46" fillId="6" borderId="18" xfId="1" applyFont="1" applyFill="1" applyBorder="1" applyAlignment="1">
      <alignment vertical="center" wrapText="1"/>
    </xf>
    <xf numFmtId="0" fontId="46" fillId="6" borderId="0" xfId="1" applyFont="1" applyFill="1" applyAlignment="1">
      <alignment vertical="center" wrapText="1"/>
    </xf>
    <xf numFmtId="0" fontId="51" fillId="6" borderId="13" xfId="1" applyFont="1" applyFill="1" applyBorder="1" applyAlignment="1" applyProtection="1">
      <alignment horizontal="center" vertical="center" wrapText="1"/>
      <protection locked="0"/>
    </xf>
    <xf numFmtId="0" fontId="44" fillId="0" borderId="22" xfId="1" applyFont="1" applyBorder="1" applyAlignment="1" applyProtection="1">
      <alignment horizontal="center" vertical="center" wrapText="1"/>
      <protection locked="0"/>
    </xf>
    <xf numFmtId="0" fontId="44" fillId="0" borderId="13" xfId="1" applyFont="1" applyBorder="1" applyAlignment="1" applyProtection="1">
      <alignment horizontal="center" vertical="center" wrapText="1"/>
      <protection locked="0"/>
    </xf>
    <xf numFmtId="9" fontId="44" fillId="0" borderId="18" xfId="1" applyNumberFormat="1" applyFont="1" applyBorder="1" applyAlignment="1" applyProtection="1">
      <alignment horizontal="center" vertical="center" wrapText="1"/>
      <protection locked="0"/>
    </xf>
    <xf numFmtId="0" fontId="46" fillId="6" borderId="42" xfId="1" applyFont="1" applyFill="1" applyBorder="1">
      <alignment vertical="center"/>
    </xf>
    <xf numFmtId="0" fontId="46" fillId="6" borderId="73" xfId="1" applyFont="1" applyFill="1" applyBorder="1" applyAlignment="1">
      <alignment vertical="center" wrapText="1"/>
    </xf>
    <xf numFmtId="0" fontId="44" fillId="0" borderId="73" xfId="1" applyFont="1" applyBorder="1" applyAlignment="1" applyProtection="1">
      <alignment horizontal="center" vertical="center" wrapText="1"/>
      <protection locked="0"/>
    </xf>
    <xf numFmtId="0" fontId="44" fillId="0" borderId="74" xfId="1" applyFont="1" applyBorder="1" applyAlignment="1" applyProtection="1">
      <alignment horizontal="center" vertical="center" wrapText="1"/>
      <protection locked="0"/>
    </xf>
    <xf numFmtId="0" fontId="44" fillId="0" borderId="75" xfId="1" applyFont="1" applyBorder="1" applyAlignment="1" applyProtection="1">
      <alignment horizontal="center" vertical="center" wrapText="1"/>
      <protection locked="0"/>
    </xf>
    <xf numFmtId="0" fontId="46" fillId="6" borderId="58" xfId="1" applyFont="1" applyFill="1" applyBorder="1" applyAlignment="1">
      <alignment vertical="center" wrapText="1"/>
    </xf>
    <xf numFmtId="0" fontId="46" fillId="6" borderId="35" xfId="1" applyFont="1" applyFill="1" applyBorder="1" applyAlignment="1">
      <alignment vertical="center" wrapText="1"/>
    </xf>
    <xf numFmtId="0" fontId="44" fillId="6" borderId="7" xfId="1" applyFont="1" applyFill="1" applyBorder="1" applyAlignment="1">
      <alignment horizontal="center" vertical="center" wrapText="1"/>
    </xf>
    <xf numFmtId="0" fontId="44" fillId="0" borderId="2" xfId="1" applyFont="1" applyBorder="1" applyAlignment="1" applyProtection="1">
      <alignment horizontal="center" vertical="center" wrapText="1"/>
      <protection locked="0"/>
    </xf>
    <xf numFmtId="0" fontId="44" fillId="0" borderId="2" xfId="1" applyFont="1" applyBorder="1" applyAlignment="1" applyProtection="1">
      <alignment horizontal="left" vertical="center" wrapText="1"/>
      <protection locked="0"/>
    </xf>
    <xf numFmtId="0" fontId="44" fillId="0" borderId="8" xfId="1" applyFont="1" applyBorder="1" applyAlignment="1" applyProtection="1">
      <alignment horizontal="center" vertical="center" wrapText="1"/>
      <protection locked="0"/>
    </xf>
    <xf numFmtId="0" fontId="44" fillId="6" borderId="0" xfId="1" applyFont="1" applyFill="1" applyAlignment="1" applyProtection="1">
      <alignment horizontal="center" vertical="center" wrapText="1"/>
      <protection locked="0"/>
    </xf>
    <xf numFmtId="0" fontId="98" fillId="0" borderId="18" xfId="1" applyFont="1" applyBorder="1" applyProtection="1">
      <alignment vertical="center"/>
      <protection locked="0"/>
    </xf>
    <xf numFmtId="0" fontId="44" fillId="0" borderId="61" xfId="1" applyFont="1" applyBorder="1" applyAlignment="1" applyProtection="1">
      <alignment horizontal="center" vertical="center" wrapText="1"/>
      <protection locked="0"/>
    </xf>
    <xf numFmtId="0" fontId="44" fillId="6" borderId="17" xfId="1" applyFont="1" applyFill="1" applyBorder="1" applyAlignment="1">
      <alignment horizontal="center" vertical="center" wrapText="1"/>
    </xf>
    <xf numFmtId="0" fontId="51" fillId="6" borderId="9" xfId="1" applyFont="1" applyFill="1" applyBorder="1" applyAlignment="1">
      <alignment horizontal="center" vertical="center" wrapText="1"/>
    </xf>
    <xf numFmtId="0" fontId="51" fillId="0" borderId="9" xfId="1" applyFont="1" applyBorder="1" applyAlignment="1" applyProtection="1">
      <alignment horizontal="center" vertical="center" wrapText="1"/>
      <protection locked="0"/>
    </xf>
    <xf numFmtId="0" fontId="68" fillId="0" borderId="9" xfId="1" applyFont="1" applyBorder="1" applyAlignment="1" applyProtection="1">
      <alignment horizontal="center" vertical="center" wrapText="1"/>
      <protection locked="0"/>
    </xf>
    <xf numFmtId="0" fontId="68" fillId="0" borderId="9" xfId="1" applyFont="1" applyBorder="1" applyAlignment="1" applyProtection="1">
      <alignment horizontal="left" vertical="center" wrapText="1"/>
      <protection locked="0"/>
    </xf>
    <xf numFmtId="0" fontId="68" fillId="0" borderId="10" xfId="1" applyFont="1" applyBorder="1" applyAlignment="1" applyProtection="1">
      <alignment horizontal="center" vertical="center" wrapText="1"/>
      <protection locked="0"/>
    </xf>
    <xf numFmtId="0" fontId="68" fillId="6" borderId="0" xfId="1" applyFont="1" applyFill="1" applyAlignment="1" applyProtection="1">
      <alignment horizontal="center" vertical="center" wrapText="1"/>
      <protection locked="0"/>
    </xf>
    <xf numFmtId="0" fontId="44" fillId="0" borderId="18" xfId="1" applyFont="1" applyBorder="1" applyAlignment="1" applyProtection="1">
      <alignment horizontal="center" vertical="center" wrapText="1"/>
      <protection locked="0"/>
    </xf>
    <xf numFmtId="0" fontId="49" fillId="6" borderId="77" xfId="1" applyFont="1" applyFill="1" applyBorder="1" applyAlignment="1">
      <alignment horizontal="center" vertical="center" wrapText="1"/>
    </xf>
    <xf numFmtId="0" fontId="51" fillId="0" borderId="78" xfId="1" applyFont="1" applyBorder="1" applyAlignment="1" applyProtection="1">
      <alignment horizontal="center" vertical="center" wrapText="1"/>
      <protection locked="0"/>
    </xf>
    <xf numFmtId="0" fontId="51" fillId="0" borderId="79" xfId="1" applyFont="1" applyBorder="1" applyAlignment="1" applyProtection="1">
      <alignment horizontal="center" vertical="center" wrapText="1"/>
      <protection locked="0"/>
    </xf>
    <xf numFmtId="0" fontId="51" fillId="6" borderId="0" xfId="1" applyFont="1" applyFill="1" applyAlignment="1" applyProtection="1">
      <alignment horizontal="center" vertical="center" wrapText="1"/>
      <protection locked="0"/>
    </xf>
    <xf numFmtId="0" fontId="44" fillId="6" borderId="57" xfId="1" applyFont="1" applyFill="1" applyBorder="1" applyAlignment="1">
      <alignment horizontal="center" vertical="center" wrapText="1"/>
    </xf>
    <xf numFmtId="0" fontId="51" fillId="0" borderId="44" xfId="1" applyFont="1" applyBorder="1" applyAlignment="1" applyProtection="1">
      <alignment horizontal="center" vertical="center" wrapText="1"/>
      <protection locked="0"/>
    </xf>
    <xf numFmtId="0" fontId="44" fillId="6" borderId="77" xfId="1" applyFont="1" applyFill="1" applyBorder="1" applyAlignment="1">
      <alignment horizontal="center" vertical="center" wrapText="1"/>
    </xf>
    <xf numFmtId="0" fontId="44" fillId="6" borderId="15" xfId="1" applyFont="1" applyFill="1" applyBorder="1" applyAlignment="1">
      <alignment horizontal="center" vertical="center" wrapText="1"/>
    </xf>
    <xf numFmtId="0" fontId="51" fillId="6" borderId="2" xfId="1" applyFont="1" applyFill="1" applyBorder="1" applyAlignment="1">
      <alignment horizontal="center" vertical="center" wrapText="1"/>
    </xf>
    <xf numFmtId="0" fontId="49" fillId="6" borderId="15" xfId="1" applyFont="1" applyFill="1" applyBorder="1" applyAlignment="1">
      <alignment horizontal="center" vertical="center" wrapText="1"/>
    </xf>
    <xf numFmtId="0" fontId="51" fillId="0" borderId="1" xfId="1" applyFont="1" applyBorder="1" applyAlignment="1" applyProtection="1">
      <alignment horizontal="center" vertical="center" wrapText="1"/>
      <protection locked="0"/>
    </xf>
    <xf numFmtId="0" fontId="68" fillId="0" borderId="1" xfId="1" applyFont="1" applyBorder="1" applyAlignment="1" applyProtection="1">
      <alignment horizontal="center" vertical="center" wrapText="1"/>
      <protection locked="0"/>
    </xf>
    <xf numFmtId="0" fontId="68" fillId="0" borderId="1" xfId="1" applyFont="1" applyBorder="1" applyAlignment="1" applyProtection="1">
      <alignment horizontal="left" vertical="center" wrapText="1"/>
      <protection locked="0"/>
    </xf>
    <xf numFmtId="0" fontId="68" fillId="0" borderId="24" xfId="1" applyFont="1" applyBorder="1" applyAlignment="1" applyProtection="1">
      <alignment horizontal="center" vertical="center" wrapText="1"/>
      <protection locked="0"/>
    </xf>
    <xf numFmtId="0" fontId="51" fillId="6" borderId="78" xfId="1" applyFont="1" applyFill="1" applyBorder="1" applyAlignment="1">
      <alignment horizontal="center" vertical="center" wrapText="1"/>
    </xf>
    <xf numFmtId="0" fontId="51" fillId="6" borderId="79" xfId="1" applyFont="1" applyFill="1" applyBorder="1" applyAlignment="1">
      <alignment horizontal="center" vertical="center" wrapText="1"/>
    </xf>
    <xf numFmtId="0" fontId="69" fillId="6" borderId="14" xfId="1" applyFont="1" applyFill="1" applyBorder="1" applyAlignment="1">
      <alignment vertical="center" wrapText="1"/>
    </xf>
    <xf numFmtId="0" fontId="44" fillId="0" borderId="44" xfId="1" applyFont="1" applyBorder="1" applyAlignment="1" applyProtection="1">
      <alignment horizontal="center" vertical="center" wrapText="1"/>
      <protection locked="0"/>
    </xf>
    <xf numFmtId="0" fontId="49" fillId="0" borderId="44" xfId="1" applyFont="1" applyBorder="1" applyAlignment="1" applyProtection="1">
      <alignment horizontal="center" vertical="center" wrapText="1"/>
      <protection locked="0"/>
    </xf>
    <xf numFmtId="0" fontId="49" fillId="0" borderId="44" xfId="1" applyFont="1" applyBorder="1" applyAlignment="1" applyProtection="1">
      <alignment horizontal="left" vertical="center" wrapText="1"/>
      <protection locked="0"/>
    </xf>
    <xf numFmtId="0" fontId="49" fillId="0" borderId="45" xfId="1" applyFont="1" applyBorder="1" applyAlignment="1" applyProtection="1">
      <alignment horizontal="center" vertical="center" wrapText="1"/>
      <protection locked="0"/>
    </xf>
    <xf numFmtId="0" fontId="49" fillId="6" borderId="0" xfId="1" applyFont="1" applyFill="1" applyAlignment="1" applyProtection="1">
      <alignment horizontal="center" vertical="center" wrapText="1"/>
      <protection locked="0"/>
    </xf>
    <xf numFmtId="0" fontId="49" fillId="0" borderId="18" xfId="1" applyFont="1" applyBorder="1" applyAlignment="1" applyProtection="1">
      <alignment horizontal="center" vertical="center" wrapText="1"/>
      <protection locked="0"/>
    </xf>
    <xf numFmtId="9" fontId="49" fillId="0" borderId="0" xfId="1" applyNumberFormat="1" applyFont="1" applyAlignment="1" applyProtection="1">
      <alignment horizontal="center" vertical="center" wrapText="1"/>
      <protection locked="0"/>
    </xf>
    <xf numFmtId="0" fontId="44" fillId="0" borderId="78" xfId="1" applyFont="1" applyBorder="1" applyAlignment="1" applyProtection="1">
      <alignment horizontal="center" vertical="center" wrapText="1"/>
      <protection locked="0"/>
    </xf>
    <xf numFmtId="0" fontId="49" fillId="0" borderId="18" xfId="1" applyFont="1" applyBorder="1" applyAlignment="1" applyProtection="1">
      <alignment horizontal="center" vertical="center"/>
      <protection locked="0"/>
    </xf>
    <xf numFmtId="9" fontId="49" fillId="0" borderId="0" xfId="1" applyNumberFormat="1" applyFont="1" applyAlignment="1" applyProtection="1">
      <alignment horizontal="center" vertical="center"/>
      <protection locked="0"/>
    </xf>
    <xf numFmtId="0" fontId="49" fillId="0" borderId="78" xfId="1" applyFont="1" applyBorder="1" applyAlignment="1" applyProtection="1">
      <alignment horizontal="center" vertical="center" wrapText="1"/>
      <protection locked="0"/>
    </xf>
    <xf numFmtId="0" fontId="49" fillId="0" borderId="79" xfId="1" applyFont="1" applyBorder="1" applyAlignment="1" applyProtection="1">
      <alignment horizontal="center" vertical="center" wrapText="1"/>
      <protection locked="0"/>
    </xf>
    <xf numFmtId="0" fontId="49" fillId="0" borderId="2" xfId="1" applyFont="1" applyBorder="1" applyAlignment="1" applyProtection="1">
      <alignment horizontal="center" vertical="center" wrapText="1"/>
      <protection locked="0"/>
    </xf>
    <xf numFmtId="0" fontId="49" fillId="0" borderId="2" xfId="1" applyFont="1" applyBorder="1" applyAlignment="1" applyProtection="1">
      <alignment horizontal="left" vertical="center" wrapText="1"/>
      <protection locked="0"/>
    </xf>
    <xf numFmtId="0" fontId="49" fillId="0" borderId="8" xfId="1" applyFont="1" applyBorder="1" applyAlignment="1" applyProtection="1">
      <alignment horizontal="center" vertical="center" wrapText="1"/>
      <protection locked="0"/>
    </xf>
    <xf numFmtId="0" fontId="49" fillId="0" borderId="18" xfId="1" applyFont="1" applyBorder="1" applyAlignment="1" applyProtection="1">
      <alignment vertical="center" wrapText="1"/>
      <protection locked="0"/>
    </xf>
    <xf numFmtId="0" fontId="69" fillId="6" borderId="12" xfId="1" applyFont="1" applyFill="1" applyBorder="1" applyAlignment="1">
      <alignment vertical="center" wrapText="1"/>
    </xf>
    <xf numFmtId="0" fontId="44" fillId="6" borderId="74" xfId="1" applyFont="1" applyFill="1" applyBorder="1" applyAlignment="1">
      <alignment horizontal="center" vertical="center" wrapText="1"/>
    </xf>
    <xf numFmtId="0" fontId="44" fillId="0" borderId="32" xfId="1" applyFont="1" applyBorder="1" applyAlignment="1" applyProtection="1">
      <alignment horizontal="center" vertical="center" wrapText="1"/>
      <protection locked="0"/>
    </xf>
    <xf numFmtId="0" fontId="49" fillId="0" borderId="32" xfId="1" applyFont="1" applyBorder="1" applyAlignment="1" applyProtection="1">
      <alignment horizontal="center" vertical="center" wrapText="1"/>
      <protection locked="0"/>
    </xf>
    <xf numFmtId="0" fontId="49" fillId="0" borderId="49" xfId="1" applyFont="1" applyBorder="1" applyAlignment="1" applyProtection="1">
      <alignment horizontal="center" vertical="center" wrapText="1"/>
      <protection locked="0"/>
    </xf>
    <xf numFmtId="0" fontId="68" fillId="6" borderId="9" xfId="1" applyFont="1" applyFill="1" applyBorder="1" applyAlignment="1">
      <alignment horizontal="center" vertical="center" wrapText="1"/>
    </xf>
    <xf numFmtId="0" fontId="68" fillId="6" borderId="9" xfId="1" applyFont="1" applyFill="1" applyBorder="1" applyAlignment="1">
      <alignment horizontal="left" vertical="center" wrapText="1"/>
    </xf>
    <xf numFmtId="0" fontId="68" fillId="6" borderId="10" xfId="1" applyFont="1" applyFill="1" applyBorder="1" applyAlignment="1">
      <alignment horizontal="center" vertical="center" wrapText="1"/>
    </xf>
    <xf numFmtId="0" fontId="44" fillId="0" borderId="18" xfId="1" applyFont="1" applyBorder="1" applyAlignment="1" applyProtection="1">
      <alignment vertical="center" wrapText="1"/>
      <protection locked="0"/>
    </xf>
    <xf numFmtId="0" fontId="44" fillId="6" borderId="44" xfId="1" applyFont="1" applyFill="1" applyBorder="1" applyAlignment="1">
      <alignment horizontal="center" vertical="center" wrapText="1"/>
    </xf>
    <xf numFmtId="0" fontId="51" fillId="6" borderId="44" xfId="1" applyFont="1" applyFill="1" applyBorder="1" applyAlignment="1">
      <alignment horizontal="center" vertical="center" wrapText="1"/>
    </xf>
    <xf numFmtId="0" fontId="68" fillId="6" borderId="44" xfId="1" applyFont="1" applyFill="1" applyBorder="1" applyAlignment="1">
      <alignment horizontal="center" vertical="center" wrapText="1"/>
    </xf>
    <xf numFmtId="0" fontId="68" fillId="6" borderId="44" xfId="1" applyFont="1" applyFill="1" applyBorder="1" applyAlignment="1">
      <alignment horizontal="left" vertical="center" wrapText="1"/>
    </xf>
    <xf numFmtId="0" fontId="68" fillId="6" borderId="45" xfId="1" applyFont="1" applyFill="1" applyBorder="1" applyAlignment="1">
      <alignment horizontal="center" vertical="center" wrapText="1"/>
    </xf>
    <xf numFmtId="0" fontId="51" fillId="6" borderId="45" xfId="1" applyFont="1" applyFill="1" applyBorder="1" applyAlignment="1">
      <alignment horizontal="center" vertical="center" wrapText="1"/>
    </xf>
    <xf numFmtId="0" fontId="44" fillId="0" borderId="44" xfId="1" applyFont="1" applyBorder="1" applyAlignment="1" applyProtection="1">
      <alignment horizontal="left" vertical="center" wrapText="1"/>
      <protection locked="0"/>
    </xf>
    <xf numFmtId="0" fontId="44" fillId="0" borderId="45" xfId="1" applyFont="1" applyBorder="1" applyAlignment="1" applyProtection="1">
      <alignment horizontal="center" vertical="center" wrapText="1"/>
      <protection locked="0"/>
    </xf>
    <xf numFmtId="0" fontId="44" fillId="6" borderId="78" xfId="1" applyFont="1" applyFill="1" applyBorder="1" applyAlignment="1">
      <alignment horizontal="center" vertical="center" wrapText="1"/>
    </xf>
    <xf numFmtId="0" fontId="128" fillId="0" borderId="44" xfId="1" applyFont="1" applyBorder="1" applyAlignment="1" applyProtection="1">
      <alignment horizontal="center" vertical="center" wrapText="1"/>
      <protection locked="0"/>
    </xf>
    <xf numFmtId="0" fontId="44" fillId="0" borderId="83" xfId="1" applyFont="1" applyBorder="1" applyAlignment="1" applyProtection="1">
      <alignment horizontal="center" vertical="center"/>
      <protection locked="0"/>
    </xf>
    <xf numFmtId="0" fontId="68" fillId="0" borderId="44" xfId="1" applyFont="1" applyBorder="1" applyAlignment="1" applyProtection="1">
      <alignment horizontal="center" vertical="center" wrapText="1"/>
      <protection locked="0"/>
    </xf>
    <xf numFmtId="0" fontId="68" fillId="0" borderId="44" xfId="1" applyFont="1" applyBorder="1" applyAlignment="1" applyProtection="1">
      <alignment horizontal="left" vertical="center" wrapText="1"/>
      <protection locked="0"/>
    </xf>
    <xf numFmtId="0" fontId="68" fillId="0" borderId="45" xfId="1" applyFont="1" applyBorder="1" applyAlignment="1" applyProtection="1">
      <alignment horizontal="center" vertical="center" wrapText="1"/>
      <protection locked="0"/>
    </xf>
    <xf numFmtId="0" fontId="51" fillId="0" borderId="2" xfId="1" applyFont="1" applyBorder="1" applyAlignment="1" applyProtection="1">
      <alignment horizontal="center" vertical="center" wrapText="1"/>
      <protection locked="0"/>
    </xf>
    <xf numFmtId="0" fontId="68" fillId="0" borderId="2" xfId="1" applyFont="1" applyBorder="1" applyAlignment="1" applyProtection="1">
      <alignment horizontal="center" vertical="center" wrapText="1"/>
      <protection locked="0"/>
    </xf>
    <xf numFmtId="0" fontId="68" fillId="0" borderId="2" xfId="1" applyFont="1" applyBorder="1" applyAlignment="1" applyProtection="1">
      <alignment horizontal="left" vertical="center" wrapText="1"/>
      <protection locked="0"/>
    </xf>
    <xf numFmtId="0" fontId="68" fillId="0" borderId="8" xfId="1" applyFont="1" applyBorder="1" applyAlignment="1" applyProtection="1">
      <alignment horizontal="center" vertical="center" wrapText="1"/>
      <protection locked="0"/>
    </xf>
    <xf numFmtId="0" fontId="51" fillId="0" borderId="32" xfId="1" applyFont="1" applyBorder="1" applyAlignment="1" applyProtection="1">
      <alignment horizontal="center" vertical="center" wrapText="1"/>
      <protection locked="0"/>
    </xf>
    <xf numFmtId="0" fontId="51" fillId="0" borderId="49" xfId="1" applyFont="1" applyBorder="1" applyAlignment="1" applyProtection="1">
      <alignment horizontal="center" vertical="center" wrapText="1"/>
      <protection locked="0"/>
    </xf>
    <xf numFmtId="0" fontId="94" fillId="0" borderId="9" xfId="1" applyFont="1" applyBorder="1" applyAlignment="1" applyProtection="1">
      <alignment horizontal="center" vertical="center" wrapText="1"/>
      <protection locked="0"/>
    </xf>
    <xf numFmtId="0" fontId="44" fillId="6" borderId="58" xfId="1" applyFont="1" applyFill="1" applyBorder="1" applyAlignment="1">
      <alignment horizontal="center" vertical="center"/>
    </xf>
    <xf numFmtId="0" fontId="44" fillId="0" borderId="1" xfId="1" applyFont="1" applyBorder="1" applyAlignment="1" applyProtection="1">
      <alignment horizontal="center" vertical="center" wrapText="1"/>
      <protection locked="0"/>
    </xf>
    <xf numFmtId="0" fontId="49" fillId="0" borderId="1" xfId="1" applyFont="1" applyBorder="1" applyAlignment="1" applyProtection="1">
      <alignment horizontal="center" vertical="center" wrapText="1"/>
      <protection locked="0"/>
    </xf>
    <xf numFmtId="0" fontId="49" fillId="0" borderId="1" xfId="1" applyFont="1" applyBorder="1" applyAlignment="1" applyProtection="1">
      <alignment horizontal="left" vertical="center" wrapText="1"/>
      <protection locked="0"/>
    </xf>
    <xf numFmtId="0" fontId="49" fillId="0" borderId="24" xfId="1" applyFont="1" applyBorder="1" applyAlignment="1" applyProtection="1">
      <alignment horizontal="center" vertical="center" wrapText="1"/>
      <protection locked="0"/>
    </xf>
    <xf numFmtId="0" fontId="49" fillId="6" borderId="44" xfId="1" applyFont="1" applyFill="1" applyBorder="1" applyAlignment="1">
      <alignment horizontal="center" vertical="center" wrapText="1"/>
    </xf>
    <xf numFmtId="0" fontId="49" fillId="6" borderId="44" xfId="1" applyFont="1" applyFill="1" applyBorder="1" applyAlignment="1">
      <alignment horizontal="left" vertical="center" wrapText="1"/>
    </xf>
    <xf numFmtId="0" fontId="49" fillId="6" borderId="45" xfId="1" applyFont="1" applyFill="1" applyBorder="1" applyAlignment="1">
      <alignment horizontal="center" vertical="center" wrapText="1"/>
    </xf>
    <xf numFmtId="0" fontId="49" fillId="6" borderId="1" xfId="1" applyFont="1" applyFill="1" applyBorder="1" applyAlignment="1">
      <alignment horizontal="left" vertical="center" wrapText="1"/>
    </xf>
    <xf numFmtId="0" fontId="49" fillId="6" borderId="24" xfId="1" applyFont="1" applyFill="1" applyBorder="1" applyAlignment="1">
      <alignment horizontal="center" vertical="center" wrapText="1"/>
    </xf>
    <xf numFmtId="0" fontId="49" fillId="6" borderId="78" xfId="1" applyFont="1" applyFill="1" applyBorder="1" applyAlignment="1">
      <alignment horizontal="center" vertical="center" wrapText="1"/>
    </xf>
    <xf numFmtId="0" fontId="49" fillId="6" borderId="79" xfId="1" applyFont="1" applyFill="1" applyBorder="1" applyAlignment="1">
      <alignment horizontal="center" vertical="center" wrapText="1"/>
    </xf>
    <xf numFmtId="0" fontId="100" fillId="0" borderId="0" xfId="1" applyFont="1" applyAlignment="1" applyProtection="1">
      <alignment horizontal="left" vertical="center"/>
      <protection locked="0"/>
    </xf>
    <xf numFmtId="188" fontId="51" fillId="0" borderId="0" xfId="1" applyNumberFormat="1" applyFont="1" applyAlignment="1" applyProtection="1">
      <alignment horizontal="center" vertical="center"/>
      <protection locked="0"/>
    </xf>
    <xf numFmtId="181" fontId="51" fillId="0" borderId="0" xfId="1" applyNumberFormat="1" applyFont="1" applyAlignment="1" applyProtection="1">
      <alignment horizontal="center" vertical="center"/>
      <protection locked="0"/>
    </xf>
    <xf numFmtId="0" fontId="98" fillId="6" borderId="16" xfId="1" applyFont="1" applyFill="1" applyBorder="1" applyAlignment="1">
      <alignment horizontal="center" vertical="center"/>
    </xf>
    <xf numFmtId="0" fontId="58" fillId="6" borderId="19" xfId="1" applyFont="1" applyFill="1" applyBorder="1" applyAlignment="1">
      <alignment horizontal="center" vertical="center"/>
    </xf>
    <xf numFmtId="0" fontId="51" fillId="6" borderId="19" xfId="1" applyFont="1" applyFill="1" applyBorder="1" applyAlignment="1">
      <alignment horizontal="center" vertical="center"/>
    </xf>
    <xf numFmtId="0" fontId="51" fillId="6" borderId="31" xfId="1" applyFont="1" applyFill="1" applyBorder="1" applyAlignment="1">
      <alignment horizontal="center" vertical="center"/>
    </xf>
    <xf numFmtId="0" fontId="98" fillId="6" borderId="19" xfId="1" applyFont="1" applyFill="1" applyBorder="1" applyAlignment="1">
      <alignment horizontal="center" vertical="center"/>
    </xf>
    <xf numFmtId="0" fontId="58" fillId="6" borderId="31" xfId="1" applyFont="1" applyFill="1" applyBorder="1" applyAlignment="1">
      <alignment horizontal="center" vertical="center"/>
    </xf>
    <xf numFmtId="0" fontId="58" fillId="6" borderId="69" xfId="1" applyFont="1" applyFill="1" applyBorder="1">
      <alignment vertical="center"/>
    </xf>
    <xf numFmtId="0" fontId="98" fillId="6" borderId="1" xfId="1" applyFont="1" applyFill="1" applyBorder="1" applyAlignment="1">
      <alignment horizontal="center" vertical="center"/>
    </xf>
    <xf numFmtId="0" fontId="98" fillId="6" borderId="5" xfId="1" applyFont="1" applyFill="1" applyBorder="1" applyAlignment="1">
      <alignment horizontal="center" vertical="center"/>
    </xf>
    <xf numFmtId="0" fontId="98" fillId="6" borderId="92" xfId="1" applyFont="1" applyFill="1" applyBorder="1" applyAlignment="1">
      <alignment horizontal="center" vertical="center"/>
    </xf>
    <xf numFmtId="0" fontId="98" fillId="6" borderId="24" xfId="1" applyFont="1" applyFill="1" applyBorder="1" applyAlignment="1">
      <alignment horizontal="center" vertical="center"/>
    </xf>
    <xf numFmtId="0" fontId="58" fillId="6" borderId="60" xfId="1" applyFont="1" applyFill="1" applyBorder="1" applyAlignment="1">
      <alignment horizontal="center" vertical="center"/>
    </xf>
    <xf numFmtId="0" fontId="58" fillId="6" borderId="41" xfId="1" applyFont="1" applyFill="1" applyBorder="1" applyAlignment="1">
      <alignment horizontal="center" vertical="center"/>
    </xf>
    <xf numFmtId="0" fontId="58" fillId="0" borderId="2" xfId="1" applyFont="1" applyBorder="1" applyAlignment="1" applyProtection="1">
      <alignment horizontal="center" vertical="center"/>
      <protection locked="0"/>
    </xf>
    <xf numFmtId="0" fontId="98" fillId="0" borderId="2" xfId="1" applyFont="1" applyBorder="1" applyAlignment="1" applyProtection="1">
      <alignment horizontal="center" vertical="center"/>
      <protection locked="0"/>
    </xf>
    <xf numFmtId="0" fontId="58" fillId="0" borderId="4" xfId="1" applyFont="1" applyBorder="1" applyAlignment="1" applyProtection="1">
      <alignment horizontal="center" vertical="center"/>
      <protection locked="0"/>
    </xf>
    <xf numFmtId="0" fontId="58" fillId="0" borderId="93" xfId="1" applyFont="1" applyBorder="1" applyAlignment="1" applyProtection="1">
      <alignment horizontal="center" vertical="center"/>
      <protection locked="0"/>
    </xf>
    <xf numFmtId="0" fontId="58" fillId="0" borderId="8" xfId="1" applyFont="1" applyBorder="1" applyAlignment="1" applyProtection="1">
      <alignment horizontal="center" vertical="center"/>
      <protection locked="0"/>
    </xf>
    <xf numFmtId="0" fontId="98" fillId="6" borderId="7" xfId="1" applyFont="1" applyFill="1" applyBorder="1" applyAlignment="1">
      <alignment horizontal="center" vertical="center"/>
    </xf>
    <xf numFmtId="186" fontId="58" fillId="6" borderId="8" xfId="1" applyNumberFormat="1" applyFont="1" applyFill="1" applyBorder="1" applyAlignment="1">
      <alignment horizontal="center" vertical="center"/>
    </xf>
    <xf numFmtId="0" fontId="58" fillId="6" borderId="23" xfId="1" applyFont="1" applyFill="1" applyBorder="1" applyAlignment="1">
      <alignment horizontal="center" vertical="center"/>
    </xf>
    <xf numFmtId="0" fontId="58" fillId="0" borderId="1" xfId="1" applyFont="1" applyBorder="1" applyAlignment="1" applyProtection="1">
      <alignment horizontal="center" vertical="center"/>
      <protection locked="0"/>
    </xf>
    <xf numFmtId="0" fontId="58" fillId="0" borderId="5" xfId="1" applyFont="1" applyBorder="1" applyAlignment="1" applyProtection="1">
      <alignment horizontal="center" vertical="center"/>
      <protection locked="0"/>
    </xf>
    <xf numFmtId="0" fontId="58" fillId="0" borderId="92" xfId="1" applyFont="1" applyBorder="1" applyAlignment="1" applyProtection="1">
      <alignment horizontal="center" vertical="center"/>
      <protection locked="0"/>
    </xf>
    <xf numFmtId="0" fontId="58" fillId="0" borderId="24" xfId="1" applyFont="1" applyBorder="1" applyAlignment="1" applyProtection="1">
      <alignment horizontal="center" vertical="center"/>
      <protection locked="0"/>
    </xf>
    <xf numFmtId="0" fontId="98" fillId="6" borderId="3" xfId="1" applyFont="1" applyFill="1" applyBorder="1" applyAlignment="1">
      <alignment horizontal="center" vertical="center"/>
    </xf>
    <xf numFmtId="0" fontId="58" fillId="6" borderId="1" xfId="1" applyFont="1" applyFill="1" applyBorder="1" applyAlignment="1">
      <alignment horizontal="center" vertical="center"/>
    </xf>
    <xf numFmtId="0" fontId="58" fillId="6" borderId="24" xfId="1" applyFont="1" applyFill="1" applyBorder="1" applyAlignment="1">
      <alignment horizontal="center" vertical="center"/>
    </xf>
    <xf numFmtId="178" fontId="58" fillId="6" borderId="24" xfId="1" applyNumberFormat="1" applyFont="1" applyFill="1" applyBorder="1" applyAlignment="1">
      <alignment horizontal="center" vertical="center"/>
    </xf>
    <xf numFmtId="178" fontId="58" fillId="0" borderId="24" xfId="1" applyNumberFormat="1" applyFont="1" applyBorder="1" applyAlignment="1" applyProtection="1">
      <alignment horizontal="center" vertical="center"/>
      <protection locked="0"/>
    </xf>
    <xf numFmtId="0" fontId="98" fillId="0" borderId="1" xfId="1" applyFont="1" applyBorder="1" applyAlignment="1" applyProtection="1">
      <alignment horizontal="center" vertical="center"/>
      <protection locked="0"/>
    </xf>
    <xf numFmtId="0" fontId="98" fillId="0" borderId="92" xfId="1" applyFont="1" applyBorder="1" applyAlignment="1" applyProtection="1">
      <alignment horizontal="center" vertical="center"/>
      <protection locked="0"/>
    </xf>
    <xf numFmtId="0" fontId="98" fillId="6" borderId="25" xfId="1" applyFont="1" applyFill="1" applyBorder="1" applyAlignment="1">
      <alignment horizontal="center" vertical="center"/>
    </xf>
    <xf numFmtId="0" fontId="58" fillId="6" borderId="32" xfId="1" applyFont="1" applyFill="1" applyBorder="1" applyAlignment="1">
      <alignment horizontal="center" vertical="center"/>
    </xf>
    <xf numFmtId="0" fontId="58" fillId="6" borderId="47" xfId="1" applyFont="1" applyFill="1" applyBorder="1" applyAlignment="1">
      <alignment horizontal="center" vertical="center"/>
    </xf>
    <xf numFmtId="0" fontId="58" fillId="6" borderId="94" xfId="1" applyFont="1" applyFill="1" applyBorder="1" applyAlignment="1">
      <alignment horizontal="left" vertical="center"/>
    </xf>
    <xf numFmtId="0" fontId="51" fillId="6" borderId="47" xfId="1" applyFont="1" applyFill="1" applyBorder="1" applyAlignment="1">
      <alignment horizontal="center" vertical="center"/>
    </xf>
    <xf numFmtId="0" fontId="51" fillId="6" borderId="43" xfId="1" applyFont="1" applyFill="1" applyBorder="1" applyAlignment="1">
      <alignment horizontal="center" vertical="center"/>
    </xf>
    <xf numFmtId="0" fontId="98" fillId="6" borderId="66" xfId="1" applyFont="1" applyFill="1" applyBorder="1" applyAlignment="1">
      <alignment horizontal="center" vertical="center"/>
    </xf>
    <xf numFmtId="0" fontId="58" fillId="0" borderId="32" xfId="1" applyFont="1" applyBorder="1" applyAlignment="1" applyProtection="1">
      <alignment horizontal="center" vertical="center"/>
      <protection locked="0"/>
    </xf>
    <xf numFmtId="178" fontId="58" fillId="6" borderId="49" xfId="1" applyNumberFormat="1" applyFont="1" applyFill="1" applyBorder="1" applyAlignment="1">
      <alignment horizontal="center" vertical="center"/>
    </xf>
    <xf numFmtId="9" fontId="54" fillId="3" borderId="0" xfId="0" applyNumberFormat="1" applyFont="1" applyFill="1" applyProtection="1">
      <alignment vertical="center"/>
      <protection locked="0"/>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6" fillId="5" borderId="1" xfId="10" applyNumberFormat="1" applyFont="1" applyFill="1" applyBorder="1" applyAlignment="1">
      <alignment horizontal="center" vertical="center" wrapText="1" shrinkToFit="1"/>
    </xf>
    <xf numFmtId="9" fontId="277" fillId="0" borderId="1" xfId="10" applyNumberFormat="1" applyFont="1" applyBorder="1" applyAlignment="1">
      <alignment horizontal="center" vertical="center" wrapText="1"/>
    </xf>
    <xf numFmtId="179" fontId="276"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9"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9"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79"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0"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276" fillId="5" borderId="1" xfId="10" applyNumberFormat="1" applyFont="1" applyFill="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80"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31" fontId="95" fillId="0" borderId="0" xfId="10" applyNumberFormat="1">
      <alignment vertical="center"/>
    </xf>
    <xf numFmtId="0" fontId="95" fillId="0" borderId="0" xfId="10" applyAlignment="1">
      <alignment horizontal="left" vertical="center" wrapText="1"/>
    </xf>
    <xf numFmtId="0" fontId="95" fillId="0" borderId="0" xfId="10" applyAlignment="1">
      <alignment horizontal="center" vertical="center" wrapText="1"/>
    </xf>
    <xf numFmtId="2" fontId="279" fillId="0" borderId="0" xfId="10" applyNumberFormat="1" applyFont="1" applyAlignment="1">
      <alignment horizontal="center" vertical="center" wrapText="1"/>
    </xf>
    <xf numFmtId="0" fontId="285" fillId="5" borderId="1" xfId="10" applyFont="1" applyFill="1" applyBorder="1" applyAlignment="1">
      <alignment vertical="center" wrapText="1"/>
    </xf>
    <xf numFmtId="176" fontId="271" fillId="5" borderId="1" xfId="10" applyNumberFormat="1" applyFont="1" applyFill="1" applyBorder="1" applyAlignment="1">
      <alignment vertical="center" wrapText="1"/>
    </xf>
    <xf numFmtId="0" fontId="134" fillId="0" borderId="1" xfId="10" applyFont="1" applyBorder="1" applyAlignment="1">
      <alignment horizontal="center" vertical="center" wrapText="1"/>
    </xf>
    <xf numFmtId="0" fontId="279" fillId="0" borderId="0" xfId="10" applyFont="1" applyAlignment="1">
      <alignment horizontal="center" vertical="center" wrapText="1"/>
    </xf>
    <xf numFmtId="176" fontId="271" fillId="9" borderId="1" xfId="10" applyNumberFormat="1" applyFont="1" applyFill="1" applyBorder="1" applyAlignment="1">
      <alignment vertical="center" wrapText="1"/>
    </xf>
    <xf numFmtId="176" fontId="110" fillId="0" borderId="0" xfId="10" applyNumberFormat="1" applyFont="1" applyAlignment="1">
      <alignment horizontal="center" vertical="center"/>
    </xf>
    <xf numFmtId="9" fontId="134" fillId="0" borderId="1" xfId="10" applyNumberFormat="1" applyFont="1" applyBorder="1" applyAlignment="1">
      <alignment horizontal="center" vertical="center" wrapText="1"/>
    </xf>
    <xf numFmtId="0" fontId="286" fillId="0" borderId="0" xfId="10" applyFont="1" applyAlignment="1">
      <alignment vertical="center" wrapText="1"/>
    </xf>
    <xf numFmtId="176" fontId="287" fillId="0" borderId="0" xfId="10" applyNumberFormat="1" applyFont="1" applyAlignment="1">
      <alignment vertical="center" wrapText="1"/>
    </xf>
    <xf numFmtId="176" fontId="134" fillId="0" borderId="1" xfId="10" applyNumberFormat="1" applyFont="1" applyBorder="1" applyAlignment="1">
      <alignment horizontal="center" vertical="center" wrapText="1"/>
    </xf>
    <xf numFmtId="0" fontId="286" fillId="0" borderId="0" xfId="10" applyFont="1" applyAlignment="1">
      <alignment horizontal="center" vertical="center" wrapText="1"/>
    </xf>
    <xf numFmtId="0" fontId="279" fillId="0" borderId="1" xfId="10" applyFont="1" applyBorder="1" applyAlignment="1">
      <alignment horizontal="center" vertical="center" wrapText="1"/>
    </xf>
    <xf numFmtId="0" fontId="279" fillId="0" borderId="0" xfId="10" applyFont="1" applyAlignment="1">
      <alignment horizontal="left" vertical="center" wrapText="1"/>
    </xf>
    <xf numFmtId="179" fontId="279" fillId="0" borderId="0" xfId="10" applyNumberFormat="1" applyFont="1" applyAlignment="1">
      <alignment vertical="center" wrapText="1"/>
    </xf>
    <xf numFmtId="0" fontId="279" fillId="0" borderId="0" xfId="10" applyFont="1" applyAlignment="1">
      <alignment vertical="center" wrapText="1"/>
    </xf>
    <xf numFmtId="0" fontId="288" fillId="5" borderId="0" xfId="10" applyFont="1" applyFill="1">
      <alignment vertical="center"/>
    </xf>
    <xf numFmtId="0" fontId="289" fillId="3" borderId="0" xfId="0" applyFont="1" applyFill="1" applyProtection="1">
      <alignment vertical="center"/>
      <protection locked="0"/>
    </xf>
    <xf numFmtId="0" fontId="290" fillId="0" borderId="0" xfId="19"/>
    <xf numFmtId="14" fontId="290" fillId="0" borderId="0" xfId="19" applyNumberFormat="1"/>
    <xf numFmtId="0" fontId="291" fillId="0" borderId="0" xfId="19" applyFont="1"/>
    <xf numFmtId="0" fontId="291" fillId="5" borderId="0" xfId="19" applyFont="1" applyFill="1"/>
    <xf numFmtId="0" fontId="292" fillId="5" borderId="0" xfId="19" applyFont="1" applyFill="1"/>
    <xf numFmtId="0" fontId="291" fillId="24" borderId="0" xfId="19" applyFont="1" applyFill="1"/>
    <xf numFmtId="176" fontId="68" fillId="12" borderId="0" xfId="1" applyNumberFormat="1" applyFont="1" applyFill="1" applyAlignment="1" applyProtection="1">
      <alignment horizontal="center" vertical="center" wrapText="1"/>
      <protection locked="0"/>
    </xf>
    <xf numFmtId="176" fontId="293" fillId="12" borderId="0" xfId="1" applyNumberFormat="1" applyFont="1" applyFill="1" applyAlignment="1" applyProtection="1">
      <alignment horizontal="center" vertical="center"/>
      <protection locked="0"/>
    </xf>
    <xf numFmtId="0" fontId="290" fillId="24" borderId="0" xfId="19" applyFill="1"/>
    <xf numFmtId="0" fontId="248" fillId="0" borderId="0" xfId="19" applyFont="1"/>
    <xf numFmtId="0" fontId="292" fillId="24" borderId="0" xfId="19" applyFont="1" applyFill="1"/>
    <xf numFmtId="0" fontId="294" fillId="0" borderId="0" xfId="20" applyAlignment="1"/>
    <xf numFmtId="0" fontId="94" fillId="2" borderId="41" xfId="1" applyFont="1" applyFill="1" applyBorder="1" applyAlignment="1" applyProtection="1">
      <alignment horizontal="center" vertical="center" wrapText="1"/>
      <protection locked="0"/>
    </xf>
    <xf numFmtId="0" fontId="95" fillId="0" borderId="1" xfId="0" applyFont="1" applyBorder="1" applyAlignment="1">
      <alignment horizontal="center"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294" fillId="0" borderId="0" xfId="20">
      <alignment vertical="center"/>
    </xf>
    <xf numFmtId="0" fontId="295" fillId="3" borderId="0" xfId="0" applyFont="1" applyFill="1" applyProtection="1">
      <alignment vertical="center"/>
      <protection locked="0"/>
    </xf>
    <xf numFmtId="2" fontId="53" fillId="3" borderId="0" xfId="0" applyNumberFormat="1" applyFont="1" applyFill="1" applyProtection="1">
      <alignment vertical="center"/>
      <protection locked="0"/>
    </xf>
    <xf numFmtId="181" fontId="54" fillId="3" borderId="0" xfId="0" applyNumberFormat="1" applyFont="1" applyFill="1" applyProtection="1">
      <alignment vertical="center"/>
      <protection locked="0"/>
    </xf>
    <xf numFmtId="176" fontId="295" fillId="3" borderId="0" xfId="0" applyNumberFormat="1" applyFont="1" applyFill="1" applyProtection="1">
      <alignment vertical="center"/>
      <protection locked="0"/>
    </xf>
    <xf numFmtId="176" fontId="53" fillId="0" borderId="0" xfId="0" applyNumberFormat="1" applyFont="1" applyProtection="1">
      <alignment vertical="center"/>
      <protection locked="0"/>
    </xf>
    <xf numFmtId="0" fontId="296" fillId="3" borderId="0" xfId="0" applyFont="1" applyFill="1" applyProtection="1">
      <alignment vertical="center"/>
      <protection locked="0"/>
    </xf>
    <xf numFmtId="0" fontId="19" fillId="3" borderId="0" xfId="0" applyFont="1" applyFill="1" applyProtection="1">
      <alignment vertical="center"/>
      <protection locked="0"/>
    </xf>
    <xf numFmtId="0" fontId="80" fillId="3" borderId="0" xfId="0" applyFont="1" applyFill="1" applyProtection="1">
      <alignment vertical="center"/>
      <protection locked="0"/>
    </xf>
    <xf numFmtId="0" fontId="0" fillId="5" borderId="1" xfId="0" applyFill="1" applyBorder="1" applyAlignment="1">
      <alignment horizontal="center" vertical="center"/>
    </xf>
    <xf numFmtId="0" fontId="163" fillId="0" borderId="1" xfId="21" applyFont="1" applyBorder="1" applyAlignment="1">
      <alignment horizontal="center" vertical="center" wrapText="1"/>
    </xf>
    <xf numFmtId="0" fontId="95" fillId="0" borderId="0" xfId="21">
      <alignment vertical="center"/>
    </xf>
    <xf numFmtId="0" fontId="164" fillId="0" borderId="1" xfId="21" applyFont="1" applyBorder="1" applyAlignment="1">
      <alignment horizontal="center" vertical="center" wrapText="1"/>
    </xf>
    <xf numFmtId="179" fontId="164" fillId="0" borderId="1" xfId="21" applyNumberFormat="1" applyFont="1" applyBorder="1" applyAlignment="1">
      <alignment horizontal="center" vertical="center" wrapText="1"/>
    </xf>
    <xf numFmtId="0" fontId="19" fillId="0" borderId="1" xfId="21" applyFont="1" applyBorder="1" applyAlignment="1">
      <alignment vertical="center" wrapText="1"/>
    </xf>
    <xf numFmtId="179" fontId="95" fillId="0" borderId="0" xfId="21" applyNumberFormat="1">
      <alignment vertical="center"/>
    </xf>
    <xf numFmtId="0" fontId="53" fillId="0" borderId="1" xfId="21" applyFont="1" applyBorder="1" applyAlignment="1">
      <alignment vertical="center" wrapText="1"/>
    </xf>
    <xf numFmtId="0" fontId="298" fillId="0" borderId="1" xfId="21" applyFont="1" applyBorder="1" applyAlignment="1">
      <alignment vertical="center" wrapText="1"/>
    </xf>
    <xf numFmtId="2" fontId="95" fillId="0" borderId="0" xfId="21" applyNumberFormat="1">
      <alignment vertical="center"/>
    </xf>
    <xf numFmtId="0" fontId="164" fillId="5" borderId="1" xfId="21" applyFont="1" applyFill="1" applyBorder="1" applyAlignment="1">
      <alignment horizontal="center" vertical="center" wrapText="1"/>
    </xf>
    <xf numFmtId="0" fontId="164" fillId="0" borderId="1" xfId="21" applyFont="1" applyBorder="1" applyAlignment="1">
      <alignment vertical="center" wrapText="1"/>
    </xf>
    <xf numFmtId="0" fontId="95" fillId="0" borderId="0" xfId="21" applyAlignment="1">
      <alignment horizontal="center" vertical="center"/>
    </xf>
    <xf numFmtId="0" fontId="95" fillId="0" borderId="0" xfId="21" applyAlignment="1">
      <alignment vertical="center" wrapText="1"/>
    </xf>
    <xf numFmtId="0" fontId="95" fillId="0" borderId="0" xfId="21" applyAlignment="1">
      <alignment horizontal="right" vertical="center"/>
    </xf>
    <xf numFmtId="0" fontId="95" fillId="0" borderId="0" xfId="21" applyAlignment="1">
      <alignment horizontal="left" vertical="center"/>
    </xf>
    <xf numFmtId="0" fontId="95" fillId="5" borderId="0" xfId="21" applyFill="1" applyAlignment="1">
      <alignment horizontal="center" vertical="center"/>
    </xf>
    <xf numFmtId="2" fontId="95" fillId="5" borderId="0" xfId="21" applyNumberFormat="1" applyFill="1" applyAlignment="1">
      <alignment horizontal="center" vertical="center"/>
    </xf>
    <xf numFmtId="2" fontId="164" fillId="0" borderId="1" xfId="21" applyNumberFormat="1" applyFont="1" applyBorder="1" applyAlignment="1">
      <alignment horizontal="center" vertical="center" wrapText="1"/>
    </xf>
    <xf numFmtId="0" fontId="271" fillId="0" borderId="0" xfId="21" applyFont="1">
      <alignment vertical="center"/>
    </xf>
    <xf numFmtId="0" fontId="164" fillId="25" borderId="1" xfId="21" applyFont="1" applyFill="1" applyBorder="1" applyAlignment="1">
      <alignment horizontal="center" vertical="center" wrapText="1"/>
    </xf>
    <xf numFmtId="0" fontId="95" fillId="5" borderId="0" xfId="2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1" applyFont="1" applyFill="1" applyBorder="1" applyAlignment="1">
      <alignment horizontal="center" vertical="center"/>
    </xf>
    <xf numFmtId="0" fontId="51" fillId="6" borderId="15" xfId="1" applyFont="1" applyFill="1" applyBorder="1" applyAlignment="1">
      <alignment horizontal="center" vertical="center"/>
    </xf>
    <xf numFmtId="0" fontId="51" fillId="6" borderId="2" xfId="1" applyFont="1" applyFill="1" applyBorder="1" applyAlignment="1">
      <alignment horizontal="center" vertical="center"/>
    </xf>
    <xf numFmtId="0" fontId="51" fillId="6" borderId="6" xfId="1" applyFont="1" applyFill="1" applyBorder="1" applyAlignment="1">
      <alignment horizontal="center" vertical="center" wrapText="1"/>
    </xf>
    <xf numFmtId="0" fontId="51" fillId="6" borderId="10" xfId="1" applyFont="1" applyFill="1" applyBorder="1" applyAlignment="1">
      <alignment horizontal="center" vertical="center" wrapText="1"/>
    </xf>
    <xf numFmtId="0" fontId="51" fillId="6" borderId="30" xfId="1" applyFont="1" applyFill="1" applyBorder="1" applyAlignment="1">
      <alignment horizontal="center" vertical="center" wrapText="1"/>
    </xf>
    <xf numFmtId="0" fontId="51" fillId="6" borderId="28" xfId="1" applyFont="1" applyFill="1" applyBorder="1" applyAlignment="1">
      <alignment horizontal="center" vertical="center" wrapText="1"/>
    </xf>
    <xf numFmtId="0" fontId="51" fillId="6" borderId="46" xfId="1" applyFont="1" applyFill="1" applyBorder="1" applyAlignment="1">
      <alignment horizontal="center" vertical="center" wrapText="1"/>
    </xf>
    <xf numFmtId="0" fontId="51" fillId="6" borderId="22" xfId="1" applyFont="1" applyFill="1" applyBorder="1" applyAlignment="1">
      <alignment horizontal="center" vertical="center" wrapText="1"/>
    </xf>
    <xf numFmtId="0" fontId="51" fillId="6" borderId="58" xfId="1" applyFont="1" applyFill="1" applyBorder="1" applyAlignment="1">
      <alignment horizontal="center" vertical="center" wrapText="1"/>
    </xf>
    <xf numFmtId="0" fontId="51" fillId="6" borderId="35" xfId="1" applyFont="1" applyFill="1" applyBorder="1" applyAlignment="1">
      <alignment horizontal="center" vertical="center" wrapText="1"/>
    </xf>
    <xf numFmtId="0" fontId="51" fillId="6" borderId="4" xfId="1" applyFont="1" applyFill="1" applyBorder="1" applyAlignment="1">
      <alignment horizontal="center" vertical="center" wrapText="1"/>
    </xf>
    <xf numFmtId="0" fontId="51" fillId="6" borderId="7" xfId="1" applyFont="1" applyFill="1" applyBorder="1" applyAlignment="1">
      <alignment horizontal="center" vertical="center" wrapText="1"/>
    </xf>
    <xf numFmtId="0" fontId="51" fillId="6" borderId="46" xfId="1" applyFont="1" applyFill="1" applyBorder="1" applyAlignment="1">
      <alignment horizontal="center" vertical="center"/>
    </xf>
    <xf numFmtId="0" fontId="51" fillId="6" borderId="22" xfId="1" applyFont="1" applyFill="1" applyBorder="1" applyAlignment="1">
      <alignment horizontal="center" vertical="center"/>
    </xf>
    <xf numFmtId="0" fontId="51" fillId="6" borderId="58" xfId="1" applyFont="1" applyFill="1" applyBorder="1" applyAlignment="1">
      <alignment horizontal="center" vertical="center"/>
    </xf>
    <xf numFmtId="0" fontId="51" fillId="6" borderId="35" xfId="1" applyFont="1" applyFill="1" applyBorder="1" applyAlignment="1">
      <alignment horizontal="center" vertical="center"/>
    </xf>
    <xf numFmtId="0" fontId="94" fillId="0" borderId="23" xfId="1" applyFont="1" applyBorder="1" applyAlignment="1" applyProtection="1">
      <alignment horizontal="center" vertical="center" wrapText="1"/>
      <protection locked="0"/>
    </xf>
    <xf numFmtId="0" fontId="51" fillId="0" borderId="24" xfId="1" applyFont="1" applyBorder="1" applyAlignment="1" applyProtection="1">
      <alignment horizontal="center" vertical="center" wrapText="1"/>
      <protection locked="0"/>
    </xf>
    <xf numFmtId="0" fontId="51" fillId="0" borderId="11" xfId="1" applyFont="1" applyBorder="1" applyAlignment="1" applyProtection="1">
      <alignment horizontal="center" vertical="center" wrapText="1"/>
      <protection locked="0"/>
    </xf>
    <xf numFmtId="0" fontId="51" fillId="0" borderId="61" xfId="1" applyFont="1" applyBorder="1" applyAlignment="1" applyProtection="1">
      <alignment horizontal="center" vertical="center" wrapText="1"/>
      <protection locked="0"/>
    </xf>
    <xf numFmtId="0" fontId="51" fillId="0" borderId="22" xfId="1" applyFont="1" applyBorder="1" applyAlignment="1" applyProtection="1">
      <alignment horizontal="center" vertical="center" wrapText="1"/>
      <protection locked="0"/>
    </xf>
    <xf numFmtId="0" fontId="51" fillId="0" borderId="46" xfId="1" applyFont="1" applyBorder="1" applyAlignment="1" applyProtection="1">
      <alignment horizontal="center" vertical="center" wrapText="1"/>
      <protection locked="0"/>
    </xf>
    <xf numFmtId="0" fontId="51" fillId="6" borderId="4" xfId="1" applyFont="1" applyFill="1" applyBorder="1" applyAlignment="1">
      <alignment horizontal="center" vertical="center"/>
    </xf>
    <xf numFmtId="0" fontId="51" fillId="6" borderId="7" xfId="1" applyFont="1" applyFill="1" applyBorder="1" applyAlignment="1">
      <alignment horizontal="center" vertical="center"/>
    </xf>
    <xf numFmtId="0" fontId="51" fillId="6" borderId="1" xfId="1" applyFont="1" applyFill="1" applyBorder="1" applyAlignment="1">
      <alignment horizontal="center" vertical="center"/>
    </xf>
    <xf numFmtId="0" fontId="44" fillId="6" borderId="5" xfId="1" applyFont="1" applyFill="1" applyBorder="1" applyAlignment="1">
      <alignment horizontal="center" vertical="center"/>
    </xf>
    <xf numFmtId="0" fontId="44" fillId="6" borderId="54" xfId="1" applyFont="1" applyFill="1" applyBorder="1" applyAlignment="1">
      <alignment horizontal="center" vertical="center"/>
    </xf>
    <xf numFmtId="0" fontId="44" fillId="6" borderId="3" xfId="1" applyFont="1" applyFill="1" applyBorder="1" applyAlignment="1">
      <alignment horizontal="center" vertical="center"/>
    </xf>
    <xf numFmtId="0" fontId="51" fillId="6" borderId="23" xfId="1" applyFont="1" applyFill="1" applyBorder="1" applyAlignment="1">
      <alignment horizontal="center" vertical="center" wrapText="1"/>
    </xf>
    <xf numFmtId="0" fontId="44" fillId="6" borderId="1" xfId="1" applyFont="1" applyFill="1" applyBorder="1" applyAlignment="1">
      <alignment horizontal="center" vertical="center" wrapText="1"/>
    </xf>
    <xf numFmtId="0" fontId="51" fillId="6" borderId="11" xfId="1" applyFont="1" applyFill="1" applyBorder="1" applyAlignment="1">
      <alignment horizontal="center" vertical="center" wrapText="1"/>
    </xf>
    <xf numFmtId="0" fontId="51" fillId="6" borderId="14" xfId="1" applyFont="1" applyFill="1" applyBorder="1" applyAlignment="1">
      <alignment horizontal="center" vertical="center" wrapText="1"/>
    </xf>
    <xf numFmtId="0" fontId="51" fillId="6" borderId="13" xfId="1" applyFont="1" applyFill="1" applyBorder="1" applyAlignment="1">
      <alignment horizontal="center" vertical="center" wrapText="1"/>
    </xf>
    <xf numFmtId="0" fontId="51" fillId="6" borderId="15" xfId="1" applyFont="1" applyFill="1" applyBorder="1" applyAlignment="1">
      <alignment horizontal="center" vertical="center" wrapText="1"/>
    </xf>
    <xf numFmtId="0" fontId="51" fillId="6" borderId="11" xfId="1" applyFont="1" applyFill="1" applyBorder="1" applyAlignment="1">
      <alignment horizontal="center" vertical="center" textRotation="255" wrapText="1"/>
    </xf>
    <xf numFmtId="0" fontId="51" fillId="6" borderId="14" xfId="1" applyFont="1" applyFill="1" applyBorder="1" applyAlignment="1">
      <alignment horizontal="center" vertical="center" textRotation="255" wrapText="1"/>
    </xf>
    <xf numFmtId="0" fontId="51" fillId="6" borderId="41" xfId="1" applyFont="1" applyFill="1" applyBorder="1" applyAlignment="1">
      <alignment horizontal="center" vertical="center" textRotation="255" wrapText="1"/>
    </xf>
    <xf numFmtId="0" fontId="51" fillId="6" borderId="15" xfId="1" applyFont="1" applyFill="1" applyBorder="1" applyAlignment="1">
      <alignment horizontal="center" vertical="center" textRotation="255" wrapText="1"/>
    </xf>
    <xf numFmtId="0" fontId="51" fillId="6" borderId="2" xfId="1" applyFont="1" applyFill="1" applyBorder="1" applyAlignment="1">
      <alignment horizontal="center" vertical="center" textRotation="255" wrapText="1"/>
    </xf>
    <xf numFmtId="0" fontId="51" fillId="6" borderId="1" xfId="1" applyFont="1" applyFill="1" applyBorder="1" applyAlignment="1">
      <alignment horizontal="center" vertical="center" wrapText="1"/>
    </xf>
    <xf numFmtId="0" fontId="51" fillId="6" borderId="5" xfId="1" applyFont="1" applyFill="1" applyBorder="1" applyAlignment="1">
      <alignment horizontal="center" vertical="center" wrapText="1"/>
    </xf>
    <xf numFmtId="0" fontId="51" fillId="6" borderId="3" xfId="1" applyFont="1" applyFill="1" applyBorder="1" applyAlignment="1">
      <alignment horizontal="center" vertical="center" wrapText="1"/>
    </xf>
    <xf numFmtId="0" fontId="50" fillId="18" borderId="1" xfId="1"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90" fillId="0" borderId="0" xfId="19"/>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84"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276" fillId="5" borderId="1" xfId="10" applyNumberFormat="1" applyFont="1" applyFill="1" applyBorder="1" applyAlignment="1">
      <alignment horizontal="center"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10" fontId="110" fillId="0" borderId="54"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0" fontId="110" fillId="17" borderId="1" xfId="10" applyNumberFormat="1" applyFont="1" applyFill="1" applyBorder="1" applyAlignment="1">
      <alignment horizontal="center" vertical="center" wrapText="1" shrinkToFit="1"/>
    </xf>
    <xf numFmtId="182" fontId="110" fillId="17" borderId="1" xfId="10" applyNumberFormat="1" applyFont="1" applyFill="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6" fontId="134" fillId="0" borderId="1" xfId="10" applyNumberFormat="1" applyFont="1" applyBorder="1" applyAlignment="1">
      <alignment horizontal="center" vertical="center" wrapText="1"/>
    </xf>
    <xf numFmtId="0" fontId="282"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134" fillId="0" borderId="5" xfId="10" applyNumberFormat="1" applyFont="1" applyBorder="1" applyAlignment="1">
      <alignment horizontal="center" vertical="center" wrapText="1"/>
    </xf>
    <xf numFmtId="179" fontId="134" fillId="0" borderId="54" xfId="10" applyNumberFormat="1" applyFont="1" applyBorder="1" applyAlignment="1">
      <alignment horizontal="center" vertical="center" wrapText="1"/>
    </xf>
    <xf numFmtId="179" fontId="134" fillId="0" borderId="3" xfId="10" applyNumberFormat="1" applyFont="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2">
    <cellStyle name="百分比" xfId="17" builtinId="5"/>
    <cellStyle name="百分比 2" xfId="14" xr:uid="{00000000-0005-0000-0000-000001000000}"/>
    <cellStyle name="常规" xfId="0" builtinId="0"/>
    <cellStyle name="常规 10" xfId="19" xr:uid="{D92BEF78-B1DE-4BAC-8D9B-460AD6ED6082}"/>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2 3" xfId="21" xr:uid="{9CE87988-1CB5-4128-B9A5-1029005E4D49}"/>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s>
  <dxfs count="17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externalLink" Target="externalLinks/externalLink1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1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809625</xdr:colOff>
      <xdr:row>41</xdr:row>
      <xdr:rowOff>142875</xdr:rowOff>
    </xdr:from>
    <xdr:to>
      <xdr:col>7</xdr:col>
      <xdr:colOff>1456863</xdr:colOff>
      <xdr:row>49</xdr:row>
      <xdr:rowOff>28408</xdr:rowOff>
    </xdr:to>
    <xdr:pic>
      <xdr:nvPicPr>
        <xdr:cNvPr id="3" name="图片 2">
          <a:extLst>
            <a:ext uri="{FF2B5EF4-FFF2-40B4-BE49-F238E27FC236}">
              <a16:creationId xmlns:a16="http://schemas.microsoft.com/office/drawing/2014/main" id="{6279E820-F388-2F59-7A75-D53BA07E3678}"/>
            </a:ext>
          </a:extLst>
        </xdr:cNvPr>
        <xdr:cNvPicPr>
          <a:picLocks noChangeAspect="1"/>
        </xdr:cNvPicPr>
      </xdr:nvPicPr>
      <xdr:blipFill>
        <a:blip xmlns:r="http://schemas.openxmlformats.org/officeDocument/2006/relationships" r:embed="rId1"/>
        <a:stretch>
          <a:fillRect/>
        </a:stretch>
      </xdr:blipFill>
      <xdr:spPr>
        <a:xfrm>
          <a:off x="8429625" y="3762375"/>
          <a:ext cx="3695238" cy="1333333"/>
        </a:xfrm>
        <a:prstGeom prst="rect">
          <a:avLst/>
        </a:prstGeom>
      </xdr:spPr>
    </xdr:pic>
    <xdr:clientData/>
  </xdr:twoCellAnchor>
  <xdr:twoCellAnchor editAs="oneCell">
    <xdr:from>
      <xdr:col>18</xdr:col>
      <xdr:colOff>352425</xdr:colOff>
      <xdr:row>42</xdr:row>
      <xdr:rowOff>114300</xdr:rowOff>
    </xdr:from>
    <xdr:to>
      <xdr:col>23</xdr:col>
      <xdr:colOff>437187</xdr:colOff>
      <xdr:row>69</xdr:row>
      <xdr:rowOff>27975</xdr:rowOff>
    </xdr:to>
    <xdr:pic>
      <xdr:nvPicPr>
        <xdr:cNvPr id="6" name="图片 5">
          <a:extLst>
            <a:ext uri="{FF2B5EF4-FFF2-40B4-BE49-F238E27FC236}">
              <a16:creationId xmlns:a16="http://schemas.microsoft.com/office/drawing/2014/main" id="{AC4389AA-4D41-5694-8591-7975231B4173}"/>
            </a:ext>
          </a:extLst>
        </xdr:cNvPr>
        <xdr:cNvPicPr>
          <a:picLocks noChangeAspect="1"/>
        </xdr:cNvPicPr>
      </xdr:nvPicPr>
      <xdr:blipFill>
        <a:blip xmlns:r="http://schemas.openxmlformats.org/officeDocument/2006/relationships" r:embed="rId2"/>
        <a:stretch>
          <a:fillRect/>
        </a:stretch>
      </xdr:blipFill>
      <xdr:spPr>
        <a:xfrm>
          <a:off x="27784425" y="3914775"/>
          <a:ext cx="7704762" cy="4800000"/>
        </a:xfrm>
        <a:prstGeom prst="rect">
          <a:avLst/>
        </a:prstGeom>
      </xdr:spPr>
    </xdr:pic>
    <xdr:clientData/>
  </xdr:twoCellAnchor>
  <xdr:twoCellAnchor editAs="oneCell">
    <xdr:from>
      <xdr:col>18</xdr:col>
      <xdr:colOff>323850</xdr:colOff>
      <xdr:row>52</xdr:row>
      <xdr:rowOff>152400</xdr:rowOff>
    </xdr:from>
    <xdr:to>
      <xdr:col>23</xdr:col>
      <xdr:colOff>951469</xdr:colOff>
      <xdr:row>80</xdr:row>
      <xdr:rowOff>85100</xdr:rowOff>
    </xdr:to>
    <xdr:pic>
      <xdr:nvPicPr>
        <xdr:cNvPr id="7" name="图片 6">
          <a:extLst>
            <a:ext uri="{FF2B5EF4-FFF2-40B4-BE49-F238E27FC236}">
              <a16:creationId xmlns:a16="http://schemas.microsoft.com/office/drawing/2014/main" id="{94F5D2AE-3CB2-4F18-DE5C-858EFE51FB4A}"/>
            </a:ext>
          </a:extLst>
        </xdr:cNvPr>
        <xdr:cNvPicPr>
          <a:picLocks noChangeAspect="1"/>
        </xdr:cNvPicPr>
      </xdr:nvPicPr>
      <xdr:blipFill>
        <a:blip xmlns:r="http://schemas.openxmlformats.org/officeDocument/2006/relationships" r:embed="rId3"/>
        <a:stretch>
          <a:fillRect/>
        </a:stretch>
      </xdr:blipFill>
      <xdr:spPr>
        <a:xfrm>
          <a:off x="27755850" y="5762625"/>
          <a:ext cx="8247619" cy="5000000"/>
        </a:xfrm>
        <a:prstGeom prst="rect">
          <a:avLst/>
        </a:prstGeom>
      </xdr:spPr>
    </xdr:pic>
    <xdr:clientData/>
  </xdr:twoCellAnchor>
  <xdr:twoCellAnchor editAs="oneCell">
    <xdr:from>
      <xdr:col>18</xdr:col>
      <xdr:colOff>485775</xdr:colOff>
      <xdr:row>64</xdr:row>
      <xdr:rowOff>76200</xdr:rowOff>
    </xdr:from>
    <xdr:to>
      <xdr:col>23</xdr:col>
      <xdr:colOff>903870</xdr:colOff>
      <xdr:row>91</xdr:row>
      <xdr:rowOff>27970</xdr:rowOff>
    </xdr:to>
    <xdr:pic>
      <xdr:nvPicPr>
        <xdr:cNvPr id="8" name="图片 7">
          <a:extLst>
            <a:ext uri="{FF2B5EF4-FFF2-40B4-BE49-F238E27FC236}">
              <a16:creationId xmlns:a16="http://schemas.microsoft.com/office/drawing/2014/main" id="{7CE730AC-0A85-1B85-180D-A6F00FA5B680}"/>
            </a:ext>
          </a:extLst>
        </xdr:cNvPr>
        <xdr:cNvPicPr>
          <a:picLocks noChangeAspect="1"/>
        </xdr:cNvPicPr>
      </xdr:nvPicPr>
      <xdr:blipFill>
        <a:blip xmlns:r="http://schemas.openxmlformats.org/officeDocument/2006/relationships" r:embed="rId4"/>
        <a:stretch>
          <a:fillRect/>
        </a:stretch>
      </xdr:blipFill>
      <xdr:spPr>
        <a:xfrm>
          <a:off x="27917775" y="7858125"/>
          <a:ext cx="8038095" cy="4838095"/>
        </a:xfrm>
        <a:prstGeom prst="rect">
          <a:avLst/>
        </a:prstGeom>
      </xdr:spPr>
    </xdr:pic>
    <xdr:clientData/>
  </xdr:twoCellAnchor>
  <xdr:twoCellAnchor editAs="oneCell">
    <xdr:from>
      <xdr:col>18</xdr:col>
      <xdr:colOff>542925</xdr:colOff>
      <xdr:row>64</xdr:row>
      <xdr:rowOff>57150</xdr:rowOff>
    </xdr:from>
    <xdr:to>
      <xdr:col>23</xdr:col>
      <xdr:colOff>970544</xdr:colOff>
      <xdr:row>91</xdr:row>
      <xdr:rowOff>132730</xdr:rowOff>
    </xdr:to>
    <xdr:pic>
      <xdr:nvPicPr>
        <xdr:cNvPr id="9" name="图片 8">
          <a:extLst>
            <a:ext uri="{FF2B5EF4-FFF2-40B4-BE49-F238E27FC236}">
              <a16:creationId xmlns:a16="http://schemas.microsoft.com/office/drawing/2014/main" id="{D0B34813-1BA4-3BB3-1869-D6A3AA39C934}"/>
            </a:ext>
          </a:extLst>
        </xdr:cNvPr>
        <xdr:cNvPicPr>
          <a:picLocks noChangeAspect="1"/>
        </xdr:cNvPicPr>
      </xdr:nvPicPr>
      <xdr:blipFill>
        <a:blip xmlns:r="http://schemas.openxmlformats.org/officeDocument/2006/relationships" r:embed="rId5"/>
        <a:stretch>
          <a:fillRect/>
        </a:stretch>
      </xdr:blipFill>
      <xdr:spPr>
        <a:xfrm>
          <a:off x="25517475" y="7839075"/>
          <a:ext cx="8047619" cy="4961905"/>
        </a:xfrm>
        <a:prstGeom prst="rect">
          <a:avLst/>
        </a:prstGeom>
      </xdr:spPr>
    </xdr:pic>
    <xdr:clientData/>
  </xdr:twoCellAnchor>
  <xdr:twoCellAnchor editAs="oneCell">
    <xdr:from>
      <xdr:col>14</xdr:col>
      <xdr:colOff>0</xdr:colOff>
      <xdr:row>59</xdr:row>
      <xdr:rowOff>0</xdr:rowOff>
    </xdr:from>
    <xdr:to>
      <xdr:col>20</xdr:col>
      <xdr:colOff>1303926</xdr:colOff>
      <xdr:row>85</xdr:row>
      <xdr:rowOff>104174</xdr:rowOff>
    </xdr:to>
    <xdr:pic>
      <xdr:nvPicPr>
        <xdr:cNvPr id="10" name="图片 9">
          <a:extLst>
            <a:ext uri="{FF2B5EF4-FFF2-40B4-BE49-F238E27FC236}">
              <a16:creationId xmlns:a16="http://schemas.microsoft.com/office/drawing/2014/main" id="{16FE3943-8FF6-5FA3-8ED1-3F1109EB9150}"/>
            </a:ext>
          </a:extLst>
        </xdr:cNvPr>
        <xdr:cNvPicPr>
          <a:picLocks noChangeAspect="1"/>
        </xdr:cNvPicPr>
      </xdr:nvPicPr>
      <xdr:blipFill>
        <a:blip xmlns:r="http://schemas.openxmlformats.org/officeDocument/2006/relationships" r:embed="rId6"/>
        <a:stretch>
          <a:fillRect/>
        </a:stretch>
      </xdr:blipFill>
      <xdr:spPr>
        <a:xfrm>
          <a:off x="21336000" y="6877050"/>
          <a:ext cx="7990476" cy="4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646848</xdr:colOff>
      <xdr:row>32</xdr:row>
      <xdr:rowOff>151695</xdr:rowOff>
    </xdr:to>
    <xdr:pic>
      <xdr:nvPicPr>
        <xdr:cNvPr id="3" name="图片 2">
          <a:extLst>
            <a:ext uri="{FF2B5EF4-FFF2-40B4-BE49-F238E27FC236}">
              <a16:creationId xmlns:a16="http://schemas.microsoft.com/office/drawing/2014/main" id="{A4AE43A0-F9AA-1F9C-1CD3-3F4C86353FB9}"/>
            </a:ext>
          </a:extLst>
        </xdr:cNvPr>
        <xdr:cNvPicPr>
          <a:picLocks noChangeAspect="1"/>
        </xdr:cNvPicPr>
      </xdr:nvPicPr>
      <xdr:blipFill>
        <a:blip xmlns:r="http://schemas.openxmlformats.org/officeDocument/2006/relationships" r:embed="rId1"/>
        <a:stretch>
          <a:fillRect/>
        </a:stretch>
      </xdr:blipFill>
      <xdr:spPr>
        <a:xfrm>
          <a:off x="0" y="0"/>
          <a:ext cx="6819048" cy="5638095"/>
        </a:xfrm>
        <a:prstGeom prst="rect">
          <a:avLst/>
        </a:prstGeom>
      </xdr:spPr>
    </xdr:pic>
    <xdr:clientData/>
  </xdr:twoCellAnchor>
  <xdr:twoCellAnchor editAs="oneCell">
    <xdr:from>
      <xdr:col>8</xdr:col>
      <xdr:colOff>600075</xdr:colOff>
      <xdr:row>0</xdr:row>
      <xdr:rowOff>38100</xdr:rowOff>
    </xdr:from>
    <xdr:to>
      <xdr:col>18</xdr:col>
      <xdr:colOff>303980</xdr:colOff>
      <xdr:row>33</xdr:row>
      <xdr:rowOff>27869</xdr:rowOff>
    </xdr:to>
    <xdr:pic>
      <xdr:nvPicPr>
        <xdr:cNvPr id="4" name="图片 3">
          <a:extLst>
            <a:ext uri="{FF2B5EF4-FFF2-40B4-BE49-F238E27FC236}">
              <a16:creationId xmlns:a16="http://schemas.microsoft.com/office/drawing/2014/main" id="{E04FE112-1F7C-8C4B-4E82-33D63B796B6C}"/>
            </a:ext>
          </a:extLst>
        </xdr:cNvPr>
        <xdr:cNvPicPr>
          <a:picLocks noChangeAspect="1"/>
        </xdr:cNvPicPr>
      </xdr:nvPicPr>
      <xdr:blipFill>
        <a:blip xmlns:r="http://schemas.openxmlformats.org/officeDocument/2006/relationships" r:embed="rId2"/>
        <a:stretch>
          <a:fillRect/>
        </a:stretch>
      </xdr:blipFill>
      <xdr:spPr>
        <a:xfrm>
          <a:off x="6086475" y="38100"/>
          <a:ext cx="6561905" cy="5647619"/>
        </a:xfrm>
        <a:prstGeom prst="rect">
          <a:avLst/>
        </a:prstGeom>
      </xdr:spPr>
    </xdr:pic>
    <xdr:clientData/>
  </xdr:twoCellAnchor>
  <xdr:twoCellAnchor editAs="oneCell">
    <xdr:from>
      <xdr:col>16</xdr:col>
      <xdr:colOff>657225</xdr:colOff>
      <xdr:row>0</xdr:row>
      <xdr:rowOff>0</xdr:rowOff>
    </xdr:from>
    <xdr:to>
      <xdr:col>26</xdr:col>
      <xdr:colOff>637320</xdr:colOff>
      <xdr:row>34</xdr:row>
      <xdr:rowOff>151652</xdr:rowOff>
    </xdr:to>
    <xdr:pic>
      <xdr:nvPicPr>
        <xdr:cNvPr id="5" name="图片 4">
          <a:extLst>
            <a:ext uri="{FF2B5EF4-FFF2-40B4-BE49-F238E27FC236}">
              <a16:creationId xmlns:a16="http://schemas.microsoft.com/office/drawing/2014/main" id="{AFA2AEFB-1D21-8172-5FA8-74A79D4544FA}"/>
            </a:ext>
          </a:extLst>
        </xdr:cNvPr>
        <xdr:cNvPicPr>
          <a:picLocks noChangeAspect="1"/>
        </xdr:cNvPicPr>
      </xdr:nvPicPr>
      <xdr:blipFill>
        <a:blip xmlns:r="http://schemas.openxmlformats.org/officeDocument/2006/relationships" r:embed="rId3"/>
        <a:stretch>
          <a:fillRect/>
        </a:stretch>
      </xdr:blipFill>
      <xdr:spPr>
        <a:xfrm>
          <a:off x="11630025" y="0"/>
          <a:ext cx="6838095" cy="5980952"/>
        </a:xfrm>
        <a:prstGeom prst="rect">
          <a:avLst/>
        </a:prstGeom>
      </xdr:spPr>
    </xdr:pic>
    <xdr:clientData/>
  </xdr:twoCellAnchor>
  <xdr:twoCellAnchor editAs="oneCell">
    <xdr:from>
      <xdr:col>9</xdr:col>
      <xdr:colOff>361950</xdr:colOff>
      <xdr:row>47</xdr:row>
      <xdr:rowOff>85725</xdr:rowOff>
    </xdr:from>
    <xdr:to>
      <xdr:col>20</xdr:col>
      <xdr:colOff>332099</xdr:colOff>
      <xdr:row>71</xdr:row>
      <xdr:rowOff>134438</xdr:rowOff>
    </xdr:to>
    <xdr:pic>
      <xdr:nvPicPr>
        <xdr:cNvPr id="6" name="图片 5">
          <a:extLst>
            <a:ext uri="{FF2B5EF4-FFF2-40B4-BE49-F238E27FC236}">
              <a16:creationId xmlns:a16="http://schemas.microsoft.com/office/drawing/2014/main" id="{9F768BE2-E850-4245-BC64-9F26AE1DC213}"/>
            </a:ext>
          </a:extLst>
        </xdr:cNvPr>
        <xdr:cNvPicPr>
          <a:picLocks noChangeAspect="1"/>
        </xdr:cNvPicPr>
      </xdr:nvPicPr>
      <xdr:blipFill>
        <a:blip xmlns:r="http://schemas.openxmlformats.org/officeDocument/2006/relationships" r:embed="rId4"/>
        <a:stretch>
          <a:fillRect/>
        </a:stretch>
      </xdr:blipFill>
      <xdr:spPr>
        <a:xfrm>
          <a:off x="6534150" y="8143875"/>
          <a:ext cx="7513949" cy="4163513"/>
        </a:xfrm>
        <a:prstGeom prst="rect">
          <a:avLst/>
        </a:prstGeom>
      </xdr:spPr>
    </xdr:pic>
    <xdr:clientData/>
  </xdr:twoCellAnchor>
  <xdr:twoCellAnchor editAs="oneCell">
    <xdr:from>
      <xdr:col>20</xdr:col>
      <xdr:colOff>466725</xdr:colOff>
      <xdr:row>35</xdr:row>
      <xdr:rowOff>106987</xdr:rowOff>
    </xdr:from>
    <xdr:to>
      <xdr:col>31</xdr:col>
      <xdr:colOff>313139</xdr:colOff>
      <xdr:row>58</xdr:row>
      <xdr:rowOff>18432</xdr:rowOff>
    </xdr:to>
    <xdr:pic>
      <xdr:nvPicPr>
        <xdr:cNvPr id="7" name="图片 6">
          <a:extLst>
            <a:ext uri="{FF2B5EF4-FFF2-40B4-BE49-F238E27FC236}">
              <a16:creationId xmlns:a16="http://schemas.microsoft.com/office/drawing/2014/main" id="{E7728AE9-44F8-455E-A811-0D371E054EF1}"/>
            </a:ext>
          </a:extLst>
        </xdr:cNvPr>
        <xdr:cNvPicPr>
          <a:picLocks noChangeAspect="1"/>
        </xdr:cNvPicPr>
      </xdr:nvPicPr>
      <xdr:blipFill>
        <a:blip xmlns:r="http://schemas.openxmlformats.org/officeDocument/2006/relationships" r:embed="rId5"/>
        <a:stretch>
          <a:fillRect/>
        </a:stretch>
      </xdr:blipFill>
      <xdr:spPr>
        <a:xfrm>
          <a:off x="14182725" y="6107737"/>
          <a:ext cx="7390214" cy="3854795"/>
        </a:xfrm>
        <a:prstGeom prst="rect">
          <a:avLst/>
        </a:prstGeom>
      </xdr:spPr>
    </xdr:pic>
    <xdr:clientData/>
  </xdr:twoCellAnchor>
  <xdr:twoCellAnchor editAs="oneCell">
    <xdr:from>
      <xdr:col>20</xdr:col>
      <xdr:colOff>363791</xdr:colOff>
      <xdr:row>56</xdr:row>
      <xdr:rowOff>120777</xdr:rowOff>
    </xdr:from>
    <xdr:to>
      <xdr:col>31</xdr:col>
      <xdr:colOff>190500</xdr:colOff>
      <xdr:row>81</xdr:row>
      <xdr:rowOff>37374</xdr:rowOff>
    </xdr:to>
    <xdr:pic>
      <xdr:nvPicPr>
        <xdr:cNvPr id="8" name="图片 7">
          <a:extLst>
            <a:ext uri="{FF2B5EF4-FFF2-40B4-BE49-F238E27FC236}">
              <a16:creationId xmlns:a16="http://schemas.microsoft.com/office/drawing/2014/main" id="{16313C08-8635-4E9E-81D9-9B1E6E72AD76}"/>
            </a:ext>
          </a:extLst>
        </xdr:cNvPr>
        <xdr:cNvPicPr>
          <a:picLocks noChangeAspect="1"/>
        </xdr:cNvPicPr>
      </xdr:nvPicPr>
      <xdr:blipFill>
        <a:blip xmlns:r="http://schemas.openxmlformats.org/officeDocument/2006/relationships" r:embed="rId6"/>
        <a:stretch>
          <a:fillRect/>
        </a:stretch>
      </xdr:blipFill>
      <xdr:spPr>
        <a:xfrm>
          <a:off x="14079791" y="9721977"/>
          <a:ext cx="7370509" cy="4202847"/>
        </a:xfrm>
        <a:prstGeom prst="rect">
          <a:avLst/>
        </a:prstGeom>
      </xdr:spPr>
    </xdr:pic>
    <xdr:clientData/>
  </xdr:twoCellAnchor>
  <xdr:twoCellAnchor editAs="oneCell">
    <xdr:from>
      <xdr:col>0</xdr:col>
      <xdr:colOff>0</xdr:colOff>
      <xdr:row>53</xdr:row>
      <xdr:rowOff>79244</xdr:rowOff>
    </xdr:from>
    <xdr:to>
      <xdr:col>8</xdr:col>
      <xdr:colOff>581025</xdr:colOff>
      <xdr:row>62</xdr:row>
      <xdr:rowOff>85497</xdr:rowOff>
    </xdr:to>
    <xdr:pic>
      <xdr:nvPicPr>
        <xdr:cNvPr id="9" name="图片 8">
          <a:extLst>
            <a:ext uri="{FF2B5EF4-FFF2-40B4-BE49-F238E27FC236}">
              <a16:creationId xmlns:a16="http://schemas.microsoft.com/office/drawing/2014/main" id="{63EAEE58-47E1-8579-E58B-3F372A621696}"/>
            </a:ext>
          </a:extLst>
        </xdr:cNvPr>
        <xdr:cNvPicPr>
          <a:picLocks noChangeAspect="1"/>
        </xdr:cNvPicPr>
      </xdr:nvPicPr>
      <xdr:blipFill>
        <a:blip xmlns:r="http://schemas.openxmlformats.org/officeDocument/2006/relationships" r:embed="rId7"/>
        <a:stretch>
          <a:fillRect/>
        </a:stretch>
      </xdr:blipFill>
      <xdr:spPr>
        <a:xfrm>
          <a:off x="0" y="9166094"/>
          <a:ext cx="6067425" cy="15493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F:\&#23425;\2.&#32508;&#21512;\4.&#20854;&#20182;\2023\2023-1-0394&#20013;&#34892;&#31199;&#37329;-&#19996;&#21319;&#31185;&#25216;&#22253;\&#19996;&#21319;&#31185;&#25216;&#22253;-&#20013;&#34892;&#31199;&#37329;-9.1(1).xlsx" TargetMode="External"/><Relationship Id="rId1" Type="http://schemas.openxmlformats.org/officeDocument/2006/relationships/externalLinkPath" Target="/&#23425;/2.&#32508;&#21512;/4.&#20854;&#20182;/2023/2023-1-0394&#20013;&#34892;&#31199;&#37329;-&#19996;&#21319;&#31185;&#25216;&#22253;/&#19996;&#21319;&#31185;&#25216;&#22253;-&#20013;&#34892;&#31199;&#37329;-9.1(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F:\20251126&#20891;&#38431;&#35810;&#20215;-&#20808;&#38155;&#23478;&#22253;&#20303;&#23429;&#12289;&#36710;&#20301;&#31199;&#37329;.xlsx" TargetMode="External"/><Relationship Id="rId1" Type="http://schemas.openxmlformats.org/officeDocument/2006/relationships/externalLinkPath" Target="20251126&#20891;&#38431;&#35810;&#20215;-&#20808;&#38155;&#23478;&#22253;&#20303;&#23429;&#12289;&#36710;&#20301;&#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21496;&#27861;-&#20016;&#33862;&#36335;98&#21495;\&#27979;&#31639;-&#20013;&#28023;&#20061;&#21495;&#20844;&#39302;.xlsx" TargetMode="External"/><Relationship Id="rId1" Type="http://schemas.openxmlformats.org/officeDocument/2006/relationships/externalLinkPath" Target="/&#21496;&#27861;-&#20016;&#33862;&#36335;98&#21495;/&#27979;&#31639;-&#20013;&#28023;&#20061;&#21495;&#20844;&#393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27979;&#31639;-&#20849;&#26377;&#20135;&#26435;-10.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Volumes\KINGSTON\&#38656;&#22788;&#29702;\&#26376;&#25253;\10&#26376;&#20221;&#26376;&#25253;\Users\LENOVO\Desktop\2019&#24180;3&#26376;&#26376;&#25253;\5&#26376;&#26376;&#25253;\2017&#24180;&#24230;&#21271;&#20140;&#21338;&#22823;&#26032;&#20803;X31&#39033;&#30446;&#21488;&#24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租金案例"/>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row r="36">
          <cell r="B36">
            <v>1.4999999999999999E-2</v>
          </cell>
        </row>
        <row r="40">
          <cell r="B40">
            <v>4.7500000000000001E-2</v>
          </cell>
        </row>
        <row r="51">
          <cell r="B51">
            <v>0.12</v>
          </cell>
        </row>
      </sheetData>
      <sheetData sheetId="15"/>
      <sheetData sheetId="16"/>
      <sheetData sheetId="17"/>
      <sheetData sheetId="18"/>
      <sheetData sheetId="19">
        <row r="50">
          <cell r="C50">
            <v>11.9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系统读取表"/>
      <sheetName val="比较法-住宅"/>
      <sheetName val="比较法-车库"/>
      <sheetName val="Sheet2"/>
    </sheetNames>
    <sheetDataSet>
      <sheetData sheetId="0"/>
      <sheetData sheetId="1"/>
      <sheetData sheetId="2"/>
      <sheetData sheetId="3">
        <row r="4">
          <cell r="R4">
            <v>92.81</v>
          </cell>
        </row>
        <row r="5">
          <cell r="Q5" t="str">
            <v>水厂路</v>
          </cell>
          <cell r="R5">
            <v>87.92</v>
          </cell>
        </row>
        <row r="7">
          <cell r="R7">
            <v>79.72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住宅"/>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比较法-住宅租金"/>
      <sheetName val="成本法 (元)"/>
      <sheetName val="基准地价修正"/>
      <sheetName val="Sheet1"/>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3">
          <cell r="D3" t="str">
            <v>2025-11-</v>
          </cell>
        </row>
      </sheetData>
      <sheetData sheetId="12"/>
      <sheetData sheetId="13">
        <row r="3">
          <cell r="E3">
            <v>209.06</v>
          </cell>
        </row>
        <row r="17">
          <cell r="C17" t="str">
            <v>项目类型</v>
          </cell>
        </row>
        <row r="19">
          <cell r="C19" t="str">
            <v>住宅</v>
          </cell>
          <cell r="E19">
            <v>209.06</v>
          </cell>
        </row>
        <row r="20">
          <cell r="E20">
            <v>0</v>
          </cell>
        </row>
        <row r="21">
          <cell r="E21">
            <v>0</v>
          </cell>
        </row>
        <row r="22">
          <cell r="E22">
            <v>0</v>
          </cell>
        </row>
        <row r="23">
          <cell r="E23">
            <v>0</v>
          </cell>
        </row>
        <row r="24">
          <cell r="E24">
            <v>0</v>
          </cell>
        </row>
        <row r="25">
          <cell r="E25">
            <v>0</v>
          </cell>
        </row>
        <row r="26">
          <cell r="E26">
            <v>0</v>
          </cell>
        </row>
        <row r="27">
          <cell r="C27" t="str">
            <v>小计</v>
          </cell>
          <cell r="E27">
            <v>209.06</v>
          </cell>
        </row>
        <row r="28">
          <cell r="C28" t="str">
            <v>设备及其他</v>
          </cell>
          <cell r="E28">
            <v>0</v>
          </cell>
        </row>
        <row r="29">
          <cell r="C29" t="str">
            <v>公共配套及物业（住宅）</v>
          </cell>
          <cell r="E29">
            <v>0</v>
          </cell>
        </row>
        <row r="30">
          <cell r="C30" t="str">
            <v>小计</v>
          </cell>
          <cell r="E30">
            <v>0</v>
          </cell>
        </row>
        <row r="31">
          <cell r="C31" t="str">
            <v>合计</v>
          </cell>
          <cell r="E31">
            <v>209.06</v>
          </cell>
        </row>
        <row r="32">
          <cell r="E32">
            <v>209.06</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估价对象周边有CBD玲珑墅、朗悦家园、朝丰家园等住宅小区，居住社区发展完善程度较高，居住社区成熟度较好。</v>
          </cell>
        </row>
        <row r="6">
          <cell r="C6" t="str">
            <v>估价对象距离地铁7号线郎辛庄站约100米，周边有411路、457路、专170、专171等公交通过并设站，综合评价交通便捷度较好。</v>
          </cell>
        </row>
        <row r="7">
          <cell r="C7" t="str">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ell>
        </row>
        <row r="8">
          <cell r="C8" t="str">
            <v>估价对象所在区域基础设施水平</v>
          </cell>
        </row>
        <row r="9">
          <cell r="C9" t="str">
            <v>周边有通惠河灌渠、马家湾湿地公园、聿博文体公园等自然人文环境，综合评价环境状况较好。</v>
          </cell>
        </row>
      </sheetData>
      <sheetData sheetId="16"/>
      <sheetData sheetId="17">
        <row r="102">
          <cell r="H102" t="e">
            <v>#REF!</v>
          </cell>
        </row>
      </sheetData>
      <sheetData sheetId="18"/>
      <sheetData sheetId="19"/>
      <sheetData sheetId="20"/>
      <sheetData sheetId="21">
        <row r="61">
          <cell r="A61" t="str">
            <v>交易情况</v>
          </cell>
        </row>
      </sheetData>
      <sheetData sheetId="22"/>
      <sheetData sheetId="23"/>
      <sheetData sheetId="24"/>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商铺2017年6月 "/>
      <sheetName val="2017商铺2017年6月初"/>
      <sheetName val="2017商铺收入确认"/>
      <sheetName val="便利店"/>
      <sheetName val="储藏室"/>
      <sheetName val="车位"/>
      <sheetName val="2017.02确认收入"/>
      <sheetName val="2017.02透视表"/>
      <sheetName val="2017.03确认收入"/>
      <sheetName val="05月透视表 (2)"/>
      <sheetName val="05月确认收入"/>
      <sheetName val="04月确认收入"/>
      <sheetName val="04月透视表"/>
      <sheetName val="05月透视表"/>
      <sheetName val="Sheet2"/>
      <sheetName val="Sheet3"/>
      <sheetName val="2017年合同05"/>
      <sheetName val="租期"/>
      <sheetName val="储藏室全"/>
      <sheetName val="49#"/>
      <sheetName val="条件"/>
      <sheetName val="其他合同"/>
      <sheetName val="1号楼"/>
      <sheetName val="2号楼"/>
      <sheetName val="3号楼"/>
      <sheetName val="4号楼"/>
      <sheetName val="5号楼"/>
      <sheetName val="6号楼"/>
      <sheetName val="7号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ap.tianditu.gov.cn/share/41bc750e1d5241c3bc779b29abe9bc36" TargetMode="Externa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aijiahao.baidu.com/s?id=1828298675470996277&amp;wfr=spider&amp;for=pc"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估价对象为北京市房地产，为所有。根据《国有土地使用证》[]，估价对象（分摊）出让国有建设用地使用权面积为0平方米，建筑面积为48097.7平方米。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估价对象为北京市房地产,属开发建设的，该项目尚在开发建设中。根据《国有土地使用证》[]，估价对象（分摊）出让国有建设用地使用权面积为0平方米，规划建筑面积为48097.7平方米。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2025年12月4日</v>
      </c>
    </row>
    <row r="13" spans="1:2">
      <c r="A13" s="1119" t="s">
        <v>529</v>
      </c>
      <c r="B13" s="1120" t="str">
        <f>'预评函-1'!A18</f>
        <v>本次估价的“房地产价值”是指在正常市场情况下，在价值时点2025年12月4日，估价对象规划用途为，土地取得方式为划拨，假定未设立法定优先受偿款下的房地产市场价值。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48097.7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3408</v>
      </c>
      <c r="Z2" s="1445" t="s">
        <v>2452</v>
      </c>
      <c r="AA2" s="1445" t="s">
        <v>3409</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3411</v>
      </c>
      <c r="Z8" s="1445" t="s">
        <v>2464</v>
      </c>
      <c r="AB8" s="1445" t="s">
        <v>2490</v>
      </c>
    </row>
    <row r="9" spans="1:28">
      <c r="A9" s="1441" t="s">
        <v>1029</v>
      </c>
      <c r="B9" s="1441" t="s">
        <v>1030</v>
      </c>
      <c r="C9" s="1442" t="s">
        <v>320</v>
      </c>
      <c r="F9" s="1443" t="s">
        <v>1031</v>
      </c>
      <c r="H9" s="1443"/>
      <c r="I9" s="1445" t="s">
        <v>3341</v>
      </c>
      <c r="X9" s="1445" t="s">
        <v>3412</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66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6"/>
      <c r="B54" s="1447" t="s">
        <v>385</v>
      </c>
      <c r="C54" s="1445" t="s">
        <v>583</v>
      </c>
    </row>
    <row r="55" spans="1:4">
      <c r="A55" s="3666"/>
      <c r="B55" s="1447" t="s">
        <v>386</v>
      </c>
      <c r="C55" s="1445" t="s">
        <v>584</v>
      </c>
    </row>
    <row r="56" spans="1:4">
      <c r="A56" s="3666"/>
      <c r="B56" s="1447" t="s">
        <v>387</v>
      </c>
      <c r="C56" s="1445" t="s">
        <v>588</v>
      </c>
    </row>
    <row r="57" spans="1:4">
      <c r="A57" s="366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667" t="s">
        <v>2580</v>
      </c>
      <c r="J2" s="3667"/>
      <c r="K2" s="3667"/>
      <c r="L2" s="3667"/>
      <c r="M2" s="3667"/>
      <c r="N2" s="3667"/>
      <c r="O2" s="3667"/>
      <c r="P2" s="3667"/>
      <c r="Q2" s="3667"/>
      <c r="R2" s="3667"/>
    </row>
    <row r="3" spans="1:18">
      <c r="A3" s="2763" t="s">
        <v>2501</v>
      </c>
      <c r="B3" s="2764">
        <f>项目基本情况!D3</f>
        <v>45995</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1.04</v>
      </c>
      <c r="D5" s="2768">
        <f>IF(ISERROR(ROUND(POWER(1+E5,A5-C5)*(POWER(1+E5,C5)-1)/(POWER(1+E5,A5)-1),3)),0,ROUND(POWER(1+E5,A5-C5)*(POWER(1+E5,C5)-1)/(POWER(1+E5,A5)-1),4))</f>
        <v>5.0500000000000003E-2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11.04</v>
      </c>
      <c r="D6" s="2768">
        <f>IF(ISERROR(ROUND(POWER(1+E6,A6-C6)*(POWER(1+E6,C6)-1)/(POWER(1+E6,A6)-1),3)),0,ROUND(POWER(1+E6,A6-C6)*(POWER(1+E6,C6)-1)/(POWER(1+E6,A6)-1),4))</f>
        <v>0.40899999999999997</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31.06</v>
      </c>
      <c r="D7" s="2768">
        <f>IF(ISERROR(ROUND(POWER(1+E7,A7-C7)*(POWER(1+E7,C7)-1)/(POWER(1+E7,A7)-1),3)),0,ROUND(POWER(1+E7,A7-C7)*(POWER(1+E7,C7)-1)/(POWER(1+E7,A7)-1),4))</f>
        <v>0.75260000000000005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3384</v>
      </c>
    </row>
    <row r="50" spans="1:4">
      <c r="A50" s="3145" t="s">
        <v>3385</v>
      </c>
      <c r="B50" s="3145" t="s">
        <v>3386</v>
      </c>
      <c r="C50" s="3145" t="s">
        <v>3387</v>
      </c>
      <c r="D50" s="3145" t="s">
        <v>3388</v>
      </c>
    </row>
    <row r="51" spans="1:4">
      <c r="A51" s="3145" t="s">
        <v>3389</v>
      </c>
      <c r="B51" s="2765">
        <f>B52+B53</f>
        <v>15000</v>
      </c>
      <c r="C51" s="3146">
        <f>D51/B51</f>
        <v>2666.6666666666665</v>
      </c>
      <c r="D51" s="2765">
        <f>D52+D53</f>
        <v>40000000</v>
      </c>
    </row>
    <row r="52" spans="1:4">
      <c r="A52" s="3147" t="s">
        <v>3390</v>
      </c>
      <c r="B52" s="3148">
        <v>10000</v>
      </c>
      <c r="C52" s="3148">
        <v>1500</v>
      </c>
      <c r="D52" s="3149">
        <f>C52*B52</f>
        <v>15000000</v>
      </c>
    </row>
    <row r="53" spans="1:4">
      <c r="A53" s="3147" t="s">
        <v>3391</v>
      </c>
      <c r="B53" s="3148">
        <v>5000</v>
      </c>
      <c r="C53" s="3148">
        <v>5000</v>
      </c>
      <c r="D53" s="3149">
        <f>C53*B53</f>
        <v>25000000</v>
      </c>
    </row>
    <row r="54" spans="1:4">
      <c r="A54" s="3145" t="s">
        <v>3392</v>
      </c>
      <c r="B54" s="2765">
        <f>B51</f>
        <v>15000</v>
      </c>
      <c r="C54" s="2771">
        <v>700</v>
      </c>
      <c r="D54" s="2765">
        <f t="shared" ref="D54:D55" si="5">C54*B54</f>
        <v>10500000</v>
      </c>
    </row>
    <row r="55" spans="1:4">
      <c r="A55" s="3145" t="s">
        <v>3393</v>
      </c>
      <c r="B55" s="2765">
        <f>B51</f>
        <v>15000</v>
      </c>
      <c r="C55" s="2771">
        <v>1500</v>
      </c>
      <c r="D55" s="2765">
        <f t="shared" si="5"/>
        <v>22500000</v>
      </c>
    </row>
    <row r="56" spans="1:4">
      <c r="A56" s="3145" t="s">
        <v>3394</v>
      </c>
      <c r="B56" s="2765">
        <f>B51</f>
        <v>15000</v>
      </c>
      <c r="C56" s="3150">
        <f>C51+C54+C55</f>
        <v>4866.6666666666661</v>
      </c>
      <c r="D56" s="2765">
        <f>D51+D54+D55</f>
        <v>73000000</v>
      </c>
    </row>
    <row r="58" spans="1:4">
      <c r="A58" s="3145" t="s">
        <v>3395</v>
      </c>
      <c r="B58" s="3151">
        <v>0.05</v>
      </c>
      <c r="C58" s="2765">
        <f>C56*(1+B58)</f>
        <v>5110</v>
      </c>
      <c r="D58" s="2765">
        <f>D56*B58</f>
        <v>3650000</v>
      </c>
    </row>
    <row r="60" spans="1:4">
      <c r="A60" s="3145" t="s">
        <v>3396</v>
      </c>
      <c r="B60" s="2771">
        <v>3500</v>
      </c>
      <c r="C60" s="2771">
        <f>C53</f>
        <v>5000</v>
      </c>
      <c r="D60" s="2765">
        <f>C60*B60</f>
        <v>17500000</v>
      </c>
    </row>
    <row r="62" spans="1:4">
      <c r="A62" s="3145" t="s">
        <v>3397</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675" t="str">
        <f>IF(B10="北京市","北京市",C10)&amp;F10&amp;IF(结果表!G1="在建","出让国有建设用地使用权及在建建筑物",IF(结果表!G1="土地","出让国有建设用地使用权",))&amp;B9&amp;"预评估"</f>
        <v>北京市预评估</v>
      </c>
      <c r="C1" s="3676"/>
      <c r="D1" s="3676"/>
      <c r="E1" s="3676"/>
      <c r="F1" s="3676"/>
      <c r="G1" s="3676"/>
      <c r="H1" s="3676"/>
      <c r="I1" s="367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45995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678" t="s">
        <v>2177</v>
      </c>
      <c r="E8" s="2202"/>
      <c r="F8" s="2203"/>
      <c r="G8" s="2442"/>
      <c r="H8" s="2442"/>
      <c r="I8" s="2442"/>
      <c r="J8" s="2245"/>
      <c r="K8" s="2400"/>
      <c r="L8" s="2399"/>
      <c r="M8" s="2399"/>
      <c r="N8" s="2245"/>
      <c r="O8" s="1670"/>
      <c r="P8" s="2245"/>
      <c r="Q8" s="2245"/>
      <c r="R8" s="2245"/>
    </row>
    <row r="9" spans="1:30" ht="13.5" thickBot="1">
      <c r="A9" s="2204" t="s">
        <v>2178</v>
      </c>
      <c r="B9" s="2205"/>
      <c r="C9" s="2206"/>
      <c r="D9" s="3679"/>
      <c r="E9" s="2205"/>
      <c r="F9" s="2207"/>
      <c r="G9" s="2443"/>
      <c r="H9" s="2443"/>
      <c r="I9" s="2443"/>
      <c r="J9" s="2245"/>
      <c r="K9" s="2402"/>
      <c r="L9" s="2399"/>
      <c r="M9" s="2399"/>
      <c r="N9" s="2245"/>
      <c r="O9" s="1670"/>
      <c r="P9" s="2245"/>
      <c r="Q9" s="2245"/>
      <c r="R9" s="2245"/>
    </row>
    <row r="10" spans="1:30" ht="13.5" thickTop="1">
      <c r="A10" s="2208" t="s">
        <v>2179</v>
      </c>
      <c r="B10" s="2209" t="s">
        <v>3416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3647</v>
      </c>
      <c r="B13" s="2218" t="s">
        <v>2190</v>
      </c>
      <c r="C13" s="803"/>
      <c r="D13" s="803"/>
      <c r="E13" s="803"/>
      <c r="F13" s="803"/>
      <c r="G13" s="803"/>
      <c r="H13" s="803"/>
      <c r="I13" s="803"/>
      <c r="J13" s="2803"/>
      <c r="K13" s="2399"/>
      <c r="L13" s="2399" t="s">
        <v>3418</v>
      </c>
      <c r="M13" s="2245"/>
      <c r="N13" s="1670"/>
      <c r="O13" s="2245"/>
      <c r="P13" s="2245"/>
      <c r="Q13" s="2245"/>
      <c r="AD13" s="1618"/>
    </row>
    <row r="14" spans="1:30">
      <c r="A14" s="1018"/>
      <c r="B14" s="2218" t="s">
        <v>2191</v>
      </c>
      <c r="C14" s="2219">
        <v>70</v>
      </c>
      <c r="D14" s="2219"/>
      <c r="E14" s="2219"/>
      <c r="F14" s="2219">
        <v>50</v>
      </c>
      <c r="G14" s="2219">
        <v>50</v>
      </c>
      <c r="H14" s="2219"/>
      <c r="I14" s="2219"/>
      <c r="J14" s="2804"/>
      <c r="K14" s="2399"/>
      <c r="L14" s="2399"/>
      <c r="M14" s="2245"/>
      <c r="N14" s="1670"/>
      <c r="O14" s="2245"/>
      <c r="P14" s="2245"/>
      <c r="Q14" s="2245"/>
      <c r="AD14" s="1618"/>
    </row>
    <row r="15" spans="1:30">
      <c r="A15" s="312"/>
      <c r="B15" s="2220" t="s">
        <v>2192</v>
      </c>
      <c r="C15" s="2221">
        <f>IF(A13="出让",IF(C13="","",ROUNDDOWN(MIN((C13-$D$3)/365,C14),2)),C14)</f>
        <v>70</v>
      </c>
      <c r="D15" s="2221">
        <f>IF(A13="出让",IF(D13="","",ROUNDDOWN(MIN((D13-$D$3)/365,D14),2)),D14)</f>
        <v>0</v>
      </c>
      <c r="E15" s="2221">
        <f>IF(A13="出让",IF(E13="","",ROUNDDOWN(MIN((E13-$D$3)/365,E14),2)),E14)</f>
        <v>0</v>
      </c>
      <c r="F15" s="2221">
        <f>IF(A13="出让",IF(F13="","",ROUNDDOWN(MIN((F13-$D$3)/365,F14),2)),F14)</f>
        <v>50</v>
      </c>
      <c r="G15" s="2221">
        <f>IF(A13="出让",IF(G13="","",ROUNDDOWN(MIN((G13-$D$3)/365,G14),2)),G14)</f>
        <v>50</v>
      </c>
      <c r="H15" s="2221">
        <f>IF(A13="出让",IF(H13="","",ROUNDDOWN(MIN((H13-$D$3)/365,H14),2)),H14)</f>
        <v>0</v>
      </c>
      <c r="I15" s="2221">
        <f>IF(A13="出让",IF(I13="","",ROUNDDOWN(MIN((I13-$D$3)/365,I14),2)),I14)</f>
        <v>0</v>
      </c>
      <c r="J15" s="2805"/>
      <c r="K15" s="1670"/>
      <c r="L15" s="1670"/>
      <c r="M15" s="2245"/>
      <c r="N15" s="1670"/>
      <c r="O15" s="2245"/>
      <c r="P15" s="2245"/>
      <c r="Q15" s="2245"/>
      <c r="AD15" s="1618"/>
    </row>
    <row r="16" spans="1:30">
      <c r="A16" s="2211" t="s">
        <v>2193</v>
      </c>
      <c r="B16" s="3685"/>
      <c r="C16" s="3686"/>
      <c r="D16" s="3687"/>
      <c r="E16" s="2222" t="s">
        <v>2194</v>
      </c>
      <c r="F16" s="3688"/>
      <c r="G16" s="3689"/>
      <c r="H16" s="3689"/>
      <c r="I16" s="3690"/>
      <c r="J16" s="2245"/>
      <c r="K16" s="2403"/>
      <c r="L16" s="1670"/>
      <c r="M16" s="1670"/>
      <c r="N16" s="2245"/>
      <c r="O16" s="1670"/>
      <c r="P16" s="2245"/>
      <c r="Q16" s="2245"/>
      <c r="R16" s="2245"/>
    </row>
    <row r="17" spans="1:28">
      <c r="A17" s="305" t="s">
        <v>2195</v>
      </c>
      <c r="B17" s="294" t="s">
        <v>2196</v>
      </c>
      <c r="C17" s="8">
        <f>'数据-汇总表'!E3</f>
        <v>48097.7</v>
      </c>
      <c r="D17" s="1256" t="s">
        <v>2197</v>
      </c>
      <c r="E17" s="3691" t="s">
        <v>2198</v>
      </c>
      <c r="F17" s="3692"/>
      <c r="G17" s="3692"/>
      <c r="H17" s="3692"/>
      <c r="I17" s="369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694" t="s">
        <v>2202</v>
      </c>
      <c r="F18" s="3695"/>
      <c r="G18" s="3695"/>
      <c r="H18" s="3695"/>
      <c r="I18" s="369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681" t="s">
        <v>2206</v>
      </c>
      <c r="C20" s="3682"/>
      <c r="D20" s="3683" t="s">
        <v>2207</v>
      </c>
      <c r="E20" s="3684"/>
      <c r="F20" s="2430" t="s">
        <v>1056</v>
      </c>
      <c r="G20" s="2442"/>
      <c r="H20" s="2442"/>
      <c r="I20" s="2442"/>
      <c r="J20" s="2245"/>
      <c r="K20" s="368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68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68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66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66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66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670"/>
      <c r="B30" s="294" t="s">
        <v>2218</v>
      </c>
      <c r="C30" s="3671"/>
      <c r="D30" s="3672"/>
      <c r="E30" s="2442"/>
      <c r="F30" s="2442"/>
      <c r="G30" s="2442"/>
      <c r="H30" s="2442"/>
      <c r="I30" s="2442"/>
      <c r="J30" s="2245"/>
      <c r="K30" s="2402"/>
      <c r="L30" s="2399"/>
      <c r="M30" s="2399"/>
      <c r="N30" s="2245"/>
      <c r="O30" s="1670"/>
      <c r="P30" s="2245"/>
      <c r="Q30" s="2245"/>
      <c r="R30" s="2245"/>
      <c r="S30" s="2245"/>
      <c r="T30" s="2245"/>
      <c r="U30" s="2245"/>
      <c r="V30" s="2245"/>
    </row>
    <row r="31" spans="1:28">
      <c r="A31" s="367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67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67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668" t="s">
        <v>2228</v>
      </c>
      <c r="T34" s="315" t="str">
        <f>NUMBERSTRING(7-K34,1)&amp;"通"</f>
        <v>七通</v>
      </c>
      <c r="U34" s="2245"/>
      <c r="V34" s="2245"/>
    </row>
    <row r="35" spans="1:30">
      <c r="A35" s="2236"/>
      <c r="B35" s="3668" t="s">
        <v>2229</v>
      </c>
      <c r="C35" s="3668"/>
      <c r="D35" s="3668"/>
      <c r="E35" s="366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66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t="s">
        <v>306</v>
      </c>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t="s">
        <v>290</v>
      </c>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48097.7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48097.7</v>
      </c>
      <c r="H5" s="13">
        <f t="shared" ref="H5:AT5" si="0">SUM(H13:H656)</f>
        <v>48097.7</v>
      </c>
      <c r="I5" s="13">
        <f t="shared" si="0"/>
        <v>34587.24</v>
      </c>
      <c r="J5" s="13">
        <f t="shared" si="0"/>
        <v>0</v>
      </c>
      <c r="K5" s="13">
        <f t="shared" si="0"/>
        <v>8436.1</v>
      </c>
      <c r="L5" s="13">
        <f t="shared" si="0"/>
        <v>0</v>
      </c>
      <c r="M5" s="13">
        <f t="shared" si="0"/>
        <v>5074.3600000000006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48097.7</v>
      </c>
      <c r="BA5" s="15">
        <f t="shared" si="1"/>
        <v>48097.7</v>
      </c>
      <c r="BB5" s="15">
        <f t="shared" si="1"/>
        <v>34587.24</v>
      </c>
      <c r="BC5" s="15">
        <f t="shared" si="1"/>
        <v>8436.1</v>
      </c>
      <c r="BD5" s="15">
        <f t="shared" si="1"/>
        <v>5074.3600000000006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3463</v>
      </c>
      <c r="J9" s="761"/>
      <c r="K9" s="1491" t="s">
        <v>3651</v>
      </c>
      <c r="L9" s="761"/>
      <c r="M9" s="1491" t="s">
        <v>3651</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3401</v>
      </c>
      <c r="J10" s="761"/>
      <c r="K10" s="1497" t="s">
        <v>3330</v>
      </c>
      <c r="L10" s="761"/>
      <c r="M10" s="1497" t="s">
        <v>3331</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车库</v>
      </c>
      <c r="BD11" s="1487" t="str">
        <f>M10</f>
        <v>仓储</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3462</v>
      </c>
      <c r="E13" s="13">
        <f>IF($C$3="是",ROUND($A$3*G13/$B$3,2),ROUND($A$3*(G13-AT13)/$B$3,2))</f>
        <v>0</v>
      </c>
      <c r="F13" s="29"/>
      <c r="G13" s="30">
        <f>H13+AC13+AT13</f>
        <v>48097.7</v>
      </c>
      <c r="H13" s="17">
        <f>SUMIF(I$12:AB$12,"总值",I13:AB13)</f>
        <v>48097.7</v>
      </c>
      <c r="I13" s="1514">
        <f>Sheet1!K39</f>
        <v>34587.24</v>
      </c>
      <c r="J13" s="1514"/>
      <c r="K13" s="1514">
        <f>Sheet1!L39</f>
        <v>8436.1</v>
      </c>
      <c r="L13" s="1514"/>
      <c r="M13" s="1514">
        <f>Sheet1!J39</f>
        <v>5074.3600000000006</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48097.7</v>
      </c>
      <c r="BA13" s="13">
        <f>SUM(BB13:BK13)</f>
        <v>48097.7</v>
      </c>
      <c r="BB13" s="13">
        <f>IF($D13="是",I13-J13,0)</f>
        <v>34587.24</v>
      </c>
      <c r="BC13" s="13">
        <f>IF($D13="是",K13-L13,0)</f>
        <v>8436.1</v>
      </c>
      <c r="BD13" s="13">
        <f>IF($D13="是",M13-N13,0)</f>
        <v>5074.3600000000006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706" t="s">
        <v>1131</v>
      </c>
      <c r="B2" s="3706"/>
      <c r="C2" s="3706"/>
      <c r="D2" s="748" t="s">
        <v>1107</v>
      </c>
      <c r="E2" s="1523" t="s">
        <v>1108</v>
      </c>
      <c r="F2" s="2439"/>
      <c r="G2" s="2432"/>
      <c r="H2" s="2433"/>
      <c r="I2" s="2146" t="s">
        <v>1132</v>
      </c>
      <c r="J2" s="2439"/>
      <c r="K2" s="2439"/>
      <c r="L2" s="2439"/>
      <c r="M2" s="2439"/>
      <c r="N2" s="2440"/>
      <c r="O2" s="2439"/>
      <c r="P2" s="2439"/>
    </row>
    <row r="3" spans="1:16" ht="15.75" thickBot="1">
      <c r="A3" s="3707" t="s">
        <v>1105</v>
      </c>
      <c r="B3" s="3707"/>
      <c r="C3" s="3707"/>
      <c r="D3" s="41">
        <f>'数据-基础表'!AY6</f>
        <v>0</v>
      </c>
      <c r="E3" s="41">
        <f>'数据-基础表'!AZ5</f>
        <v>48097.7</v>
      </c>
      <c r="F3" s="2439"/>
      <c r="G3" s="42"/>
      <c r="H3" s="43" t="s">
        <v>1106</v>
      </c>
      <c r="I3" s="802" t="e">
        <f>ROUND('数据-基础表'!B3/'数据-基础表'!A3,2)</f>
        <v>#DIV/0!</v>
      </c>
      <c r="J3" s="2439"/>
      <c r="K3" s="2439"/>
      <c r="L3" s="2439"/>
      <c r="M3" s="2439"/>
      <c r="N3" s="2440"/>
      <c r="O3" s="2439"/>
      <c r="P3" s="2439"/>
    </row>
    <row r="4" spans="1:16" ht="15">
      <c r="A4" s="3708"/>
      <c r="B4" s="3709"/>
      <c r="C4" s="371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711" t="s">
        <v>1110</v>
      </c>
      <c r="C5" s="3711"/>
      <c r="D5" s="43">
        <f>ROUND($D$3*E5/$E$3,2)</f>
        <v>0</v>
      </c>
      <c r="E5" s="44">
        <f>SUMIF('数据-基础表'!$11:$11,"住宅",'数据-基础表'!$5:$5)</f>
        <v>34587.24</v>
      </c>
      <c r="F5" s="2439"/>
      <c r="G5" s="42"/>
      <c r="H5" s="43" t="s">
        <v>1106</v>
      </c>
      <c r="I5" s="802" t="e">
        <f>ROUND(E31/D31,2)</f>
        <v>#DIV/0!</v>
      </c>
      <c r="J5" s="2439"/>
      <c r="K5" s="2439"/>
      <c r="L5" s="2439"/>
      <c r="M5" s="2439"/>
      <c r="N5" s="2439"/>
      <c r="O5" s="2439"/>
      <c r="P5" s="2439"/>
    </row>
    <row r="6" spans="1:16" ht="15" thickBot="1">
      <c r="A6" s="1527"/>
      <c r="B6" s="3711" t="s">
        <v>1111</v>
      </c>
      <c r="C6" s="3711"/>
      <c r="D6" s="43">
        <f>ROUND($D$3*E6/$E$3,2)</f>
        <v>0</v>
      </c>
      <c r="E6" s="44">
        <f>E3-E5</f>
        <v>13510.46</v>
      </c>
      <c r="F6" s="2439"/>
      <c r="G6" s="1529" t="s">
        <v>1112</v>
      </c>
      <c r="H6" s="45" t="s">
        <v>1113</v>
      </c>
      <c r="I6" s="2435" t="e">
        <f>ROUND(F31/D31,2)</f>
        <v>#DIV/0!</v>
      </c>
      <c r="J6" s="2439"/>
      <c r="K6" s="2439"/>
      <c r="L6" s="2439"/>
      <c r="M6" s="2439"/>
      <c r="N6" s="2439"/>
      <c r="O6" s="2439"/>
      <c r="P6" s="2439"/>
    </row>
    <row r="7" spans="1:16" ht="15.75" thickBot="1">
      <c r="A7" s="3703"/>
      <c r="B7" s="3704"/>
      <c r="C7" s="3705"/>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34587.24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5074.3600000000006</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8436.1</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48097.7</v>
      </c>
      <c r="F16" s="2439"/>
      <c r="G16" s="2439"/>
      <c r="H16" s="1531" t="s">
        <v>1135</v>
      </c>
      <c r="I16" s="1532"/>
      <c r="J16" s="1071"/>
      <c r="K16" s="3700" t="s">
        <v>1135</v>
      </c>
      <c r="L16" s="3701"/>
      <c r="M16" s="3701"/>
      <c r="N16" s="3701"/>
      <c r="O16" s="3701"/>
      <c r="P16" s="3702"/>
    </row>
    <row r="17" spans="1:19" ht="15">
      <c r="A17" s="1533" t="s">
        <v>1136</v>
      </c>
      <c r="B17" s="1534" t="s">
        <v>1137</v>
      </c>
      <c r="C17" s="1535" t="s">
        <v>1138</v>
      </c>
      <c r="D17" s="1536" t="s">
        <v>1126</v>
      </c>
      <c r="E17" s="1537" t="s">
        <v>1127</v>
      </c>
      <c r="F17" s="1538"/>
      <c r="G17" s="1539"/>
      <c r="H17" s="1540" t="s">
        <v>1139</v>
      </c>
      <c r="I17" s="1541" t="s">
        <v>1124</v>
      </c>
      <c r="J17" s="1071"/>
      <c r="K17" s="3697" t="s">
        <v>1140</v>
      </c>
      <c r="L17" s="3698"/>
      <c r="M17" s="3699"/>
      <c r="N17" s="3697" t="s">
        <v>1141</v>
      </c>
      <c r="O17" s="3698"/>
      <c r="P17" s="369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3461</v>
      </c>
      <c r="D19" s="43">
        <f>ROUND($D$3*E19/$E$3,2)</f>
        <v>0</v>
      </c>
      <c r="E19" s="51">
        <f t="shared" ref="E19:E26" si="1">SUM(F19:G19)</f>
        <v>34587.24</v>
      </c>
      <c r="F19" s="2558">
        <f>'数据-基础表'!I13</f>
        <v>34587.24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34587.24</v>
      </c>
    </row>
    <row r="20" spans="1:19">
      <c r="A20" s="1549"/>
      <c r="B20" s="45" t="s">
        <v>1153</v>
      </c>
      <c r="C20" s="3116" t="s">
        <v>3652</v>
      </c>
      <c r="D20" s="43">
        <f t="shared" ref="D20:D26" si="6">ROUND($D$3*E20/$E$3,2)</f>
        <v>0</v>
      </c>
      <c r="E20" s="51">
        <f t="shared" si="1"/>
        <v>8436.1</v>
      </c>
      <c r="F20" s="2558"/>
      <c r="G20" s="1243">
        <f>'数据-基础表'!K13</f>
        <v>8436.1</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8436.1</v>
      </c>
    </row>
    <row r="21" spans="1:19">
      <c r="A21" s="1549"/>
      <c r="B21" s="45" t="s">
        <v>1153</v>
      </c>
      <c r="C21" s="3116" t="s">
        <v>3653</v>
      </c>
      <c r="D21" s="43">
        <f t="shared" si="6"/>
        <v>0</v>
      </c>
      <c r="E21" s="51">
        <f t="shared" si="1"/>
        <v>5074.3600000000006</v>
      </c>
      <c r="F21" s="2558"/>
      <c r="G21" s="1243">
        <f>'数据-基础表'!M13</f>
        <v>5074.3600000000006</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5074.3600000000006</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48097.7</v>
      </c>
      <c r="F27" s="1072">
        <f>IF(SUM(F19:F26)=E8,SUM(F19:F26),"地上面积有误")</f>
        <v>34587.24</v>
      </c>
      <c r="G27" s="1074">
        <f>SUM(G19:G26)</f>
        <v>13510.460000000001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48097.7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48097.7</v>
      </c>
      <c r="F31" s="644">
        <f>F27+F30</f>
        <v>34587.24</v>
      </c>
      <c r="G31" s="645">
        <f>G27+G30</f>
        <v>13510.460000000001</v>
      </c>
      <c r="H31" s="2439"/>
      <c r="I31" s="2439"/>
      <c r="J31" s="2439"/>
      <c r="K31" s="2439"/>
      <c r="L31" s="2439"/>
      <c r="M31" s="2439"/>
      <c r="N31" s="2439"/>
      <c r="O31" s="2439"/>
      <c r="P31" s="2439"/>
    </row>
    <row r="32" spans="1:19">
      <c r="A32" s="1526"/>
      <c r="B32" s="1526" t="s">
        <v>1159</v>
      </c>
      <c r="C32" s="1526"/>
      <c r="D32" s="1526"/>
      <c r="E32" s="990">
        <f>SUMIF(C19:C26,"*住宅*",E19:E26)</f>
        <v>34587.24</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15" sqref="N1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45995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3401</v>
      </c>
      <c r="D6" s="805">
        <f>SUMIF(项目基本情况!C$12:I$12,C6,项目基本情况!C$14:I$14)</f>
        <v>70</v>
      </c>
      <c r="E6" s="804">
        <f>IF(B6="","",SUMIF(项目基本情况!C$12:I$12,C6,项目基本情况!C$13:I$13))</f>
        <v>0</v>
      </c>
      <c r="F6" s="61">
        <f>SUMIF(项目基本情况!C$12:I$12,C6,项目基本情况!C$15:I$15)</f>
        <v>70</v>
      </c>
      <c r="G6" s="62">
        <f>IF(ISERROR(ROUND(POWER(1+H6,D6-F6)*(POWER(1+H6,F6)-1)/(POWER(1+H6,D6)-1),3)),0,ROUND(POWER(1+H6,D6-F6)*(POWER(1+H6,F6)-1)/(POWER(1+H6,D6)-1),3))</f>
        <v>1</v>
      </c>
      <c r="H6" s="691">
        <v>0.05</v>
      </c>
      <c r="I6" s="691">
        <v>5.5E-2</v>
      </c>
      <c r="J6" s="63">
        <v>0.06</v>
      </c>
      <c r="K6" s="970">
        <f>SUMIF('数据-汇总表'!C$19:C$33,A6,'数据-汇总表'!E$19:E$33)</f>
        <v>34587.24</v>
      </c>
      <c r="L6" s="692">
        <v>2000</v>
      </c>
      <c r="M6" s="64">
        <f t="shared" ref="M6:M14" si="0">ROUND(K6*L6/10000,0)</f>
        <v>6917</v>
      </c>
      <c r="N6" s="690">
        <v>0.84</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69174480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车库</v>
      </c>
      <c r="B7" s="1587" t="str">
        <f t="shared" ref="B7:B13" si="1">IF(A7=0,"","经营性")</f>
        <v>经营性</v>
      </c>
      <c r="C7" s="1588" t="s">
        <v>3330</v>
      </c>
      <c r="D7" s="805">
        <f>SUMIF(项目基本情况!C$12:I$12,C7,项目基本情况!C$14:I$14)</f>
        <v>50</v>
      </c>
      <c r="E7" s="804">
        <f>IF(B7="","",SUMIF(项目基本情况!C$12:I$12,C7,项目基本情况!C$13:I$13))</f>
        <v>0</v>
      </c>
      <c r="F7" s="61">
        <f>SUMIF(项目基本情况!C$12:I$12,C7,项目基本情况!C$15:I$15)</f>
        <v>50</v>
      </c>
      <c r="G7" s="62">
        <f t="shared" ref="G7:G11" si="2">IF(ISERROR(ROUND(POWER(1+H7,D7-F7)*(POWER(1+H7,F7)-1)/(POWER(1+H7,D7)-1),3)),0,ROUND(POWER(1+H7,D7-F7)*(POWER(1+H7,F7)-1)/(POWER(1+H7,D7)-1),3))</f>
        <v>1</v>
      </c>
      <c r="H7" s="691">
        <v>0.05</v>
      </c>
      <c r="I7" s="691">
        <v>5.5E-2</v>
      </c>
      <c r="J7" s="63">
        <v>0.06</v>
      </c>
      <c r="K7" s="970">
        <f>SUMIF('数据-汇总表'!C$19:C$33,A7,'数据-汇总表'!E$19:E$33)</f>
        <v>8436.1</v>
      </c>
      <c r="L7" s="692">
        <v>2000</v>
      </c>
      <c r="M7" s="64">
        <f t="shared" si="0"/>
        <v>1687</v>
      </c>
      <c r="N7" s="690">
        <v>0.84</v>
      </c>
      <c r="O7" s="64" t="str">
        <f t="shared" ref="O7:O14" si="3">IF($N$5="成新度","——",ROUND(M7*N7,0))</f>
        <v>——</v>
      </c>
      <c r="P7" s="65" t="str">
        <f t="shared" ref="P7:P14" si="4">IF($N$5="成新度","——",M7-O7)</f>
        <v>——</v>
      </c>
      <c r="Q7" s="693">
        <v>0.03</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仓储</v>
      </c>
      <c r="B8" s="1587" t="str">
        <f t="shared" si="1"/>
        <v>经营性</v>
      </c>
      <c r="C8" s="1588" t="s">
        <v>3331</v>
      </c>
      <c r="D8" s="805">
        <f>SUMIF(项目基本情况!C$12:I$12,C8,项目基本情况!C$14:I$14)</f>
        <v>50</v>
      </c>
      <c r="E8" s="804">
        <f>IF(B8="","",SUMIF(项目基本情况!C$12:I$12,C8,项目基本情况!C$13:I$13))</f>
        <v>0</v>
      </c>
      <c r="F8" s="61">
        <f>SUMIF(项目基本情况!C$12:I$12,C8,项目基本情况!C$15:I$15)</f>
        <v>50</v>
      </c>
      <c r="G8" s="62">
        <f t="shared" si="2"/>
        <v>1</v>
      </c>
      <c r="H8" s="691">
        <v>0.05</v>
      </c>
      <c r="I8" s="691">
        <v>5.5E-2</v>
      </c>
      <c r="J8" s="63">
        <v>0.06</v>
      </c>
      <c r="K8" s="970">
        <f>SUMIF('数据-汇总表'!C$19:C$33,A8,'数据-汇总表'!E$19:E$33)</f>
        <v>5074.3600000000006</v>
      </c>
      <c r="L8" s="692">
        <v>2000</v>
      </c>
      <c r="M8" s="64">
        <f>ROUND(K8*L8/10000,0)</f>
        <v>1015</v>
      </c>
      <c r="N8" s="690">
        <v>0.84</v>
      </c>
      <c r="O8" s="64" t="str">
        <f t="shared" si="3"/>
        <v>——</v>
      </c>
      <c r="P8" s="65" t="str">
        <f t="shared" si="4"/>
        <v>——</v>
      </c>
      <c r="Q8" s="693">
        <v>0.03</v>
      </c>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0.05</v>
      </c>
      <c r="I16" s="85"/>
      <c r="J16" s="85"/>
      <c r="K16" s="86">
        <f>SUM(K6:K15)</f>
        <v>48097.7</v>
      </c>
      <c r="L16" s="87">
        <f>ROUND(M16*10000/SUM(K6:K14),0)</f>
        <v>2000</v>
      </c>
      <c r="M16" s="87">
        <f>SUM(M6:M14)</f>
        <v>9619</v>
      </c>
      <c r="N16" s="88">
        <f>ROUND(SUMPRODUCT(M6:M14,N6:N14)/M16,3)</f>
        <v>0.84</v>
      </c>
      <c r="O16" s="87">
        <f>SUM(O6:O14)</f>
        <v>0</v>
      </c>
      <c r="P16" s="87">
        <f>SUM(P6:P14)</f>
        <v>0</v>
      </c>
      <c r="Q16" s="89">
        <f>ROUND(SUMPRODUCT(Q6:Q13,K6:K13)/SUMPRODUCT((Q6:Q13&gt;0)*(K6:K13)),2)</f>
        <v>0.08</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150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0.02</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712" t="s">
        <v>2286</v>
      </c>
      <c r="B1" s="3713"/>
      <c r="C1" s="3713"/>
      <c r="D1" s="3713"/>
      <c r="E1" s="3713"/>
      <c r="F1" s="3713"/>
      <c r="G1" s="371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34587.24</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45995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13143.151199999998</v>
      </c>
      <c r="C5" s="2300" t="e">
        <f ca="1">IF(B5=D14,结果表!H102,ROUND(B5*10000/$B$1,0))</f>
        <v>#REF!</v>
      </c>
      <c r="D5" s="2300" t="e">
        <f>ROUND(B5*10000/$B$2,0)</f>
        <v>#DIV/0!</v>
      </c>
      <c r="E5" s="2462"/>
      <c r="F5" s="2463"/>
      <c r="G5" s="2463"/>
      <c r="H5" s="2463"/>
      <c r="I5" s="2463"/>
      <c r="J5" s="2463"/>
      <c r="K5" s="2463"/>
    </row>
    <row r="6" spans="1:11" ht="16.5">
      <c r="A6" s="2300" t="s">
        <v>656</v>
      </c>
      <c r="B6" s="2300">
        <f>SUM(G14:G23)</f>
        <v>0</v>
      </c>
      <c r="C6" s="2300" t="e">
        <f ca="1">IF(B6=G14,结果表!H108,ROUND(B6*10000/$B$1,0))</f>
        <v>#REF!</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3353</v>
      </c>
      <c r="D10" s="2300" t="s">
        <v>3354</v>
      </c>
      <c r="E10" s="3137"/>
      <c r="F10" s="3141" t="s">
        <v>3355</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34587.24</v>
      </c>
      <c r="C14" s="2306"/>
      <c r="D14" s="2306">
        <f>E14*B14/10000</f>
        <v>13143.151199999998</v>
      </c>
      <c r="E14" s="2306">
        <v>3800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748" t="str">
        <f>项目基本情况!S2</f>
        <v>北京市房地产</v>
      </c>
      <c r="B2" s="3749"/>
      <c r="C2" s="3749"/>
      <c r="D2" s="3749"/>
      <c r="E2" s="3749"/>
      <c r="F2" s="3749"/>
      <c r="G2" s="3749"/>
      <c r="H2" s="3749"/>
      <c r="I2" s="3750"/>
    </row>
    <row r="3" spans="1:12" ht="12.75">
      <c r="A3" s="3752" t="s">
        <v>1264</v>
      </c>
      <c r="B3" s="3753"/>
      <c r="C3" s="3753"/>
      <c r="D3" s="3753"/>
      <c r="E3" s="3753"/>
      <c r="F3" s="3753"/>
      <c r="G3" s="3753"/>
      <c r="H3" s="3753"/>
      <c r="I3" s="3753"/>
    </row>
    <row r="4" spans="1:12" ht="14.25">
      <c r="A4" s="1624" t="s">
        <v>1265</v>
      </c>
      <c r="B4" s="1625" t="s">
        <v>1266</v>
      </c>
      <c r="C4" s="1626"/>
      <c r="D4" s="1626"/>
      <c r="E4" s="3754" t="s">
        <v>1267</v>
      </c>
      <c r="F4" s="3755"/>
      <c r="G4" s="3755"/>
      <c r="H4" s="3755"/>
      <c r="I4" s="375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28" t="s">
        <v>1268</v>
      </c>
      <c r="B5" s="3715">
        <v>25</v>
      </c>
      <c r="C5" s="3731"/>
      <c r="D5" s="3751"/>
      <c r="E5" s="123" t="s">
        <v>1269</v>
      </c>
      <c r="F5" s="1627"/>
      <c r="G5" s="1627"/>
      <c r="H5" s="1627"/>
      <c r="I5" s="1281"/>
    </row>
    <row r="6" spans="1:12" ht="12.75">
      <c r="A6" s="3728"/>
      <c r="B6" s="3715"/>
      <c r="C6" s="3732"/>
      <c r="D6" s="3751"/>
      <c r="E6" s="123" t="s">
        <v>1270</v>
      </c>
      <c r="F6" s="1627"/>
      <c r="G6" s="1627"/>
      <c r="H6" s="1627"/>
      <c r="I6" s="1281"/>
    </row>
    <row r="7" spans="1:12" ht="12.75">
      <c r="A7" s="3728"/>
      <c r="B7" s="3715"/>
      <c r="C7" s="3733"/>
      <c r="D7" s="3751"/>
      <c r="E7" s="123" t="s">
        <v>1271</v>
      </c>
      <c r="F7" s="1627"/>
      <c r="G7" s="1627"/>
      <c r="H7" s="1627"/>
      <c r="I7" s="1281"/>
    </row>
    <row r="8" spans="1:12" ht="12.75">
      <c r="A8" s="3728" t="s">
        <v>1272</v>
      </c>
      <c r="B8" s="3715">
        <v>15</v>
      </c>
      <c r="C8" s="3731"/>
      <c r="D8" s="3751"/>
      <c r="E8" s="123" t="s">
        <v>1273</v>
      </c>
      <c r="F8" s="1627"/>
      <c r="G8" s="1627"/>
      <c r="H8" s="1627"/>
      <c r="I8" s="1281"/>
    </row>
    <row r="9" spans="1:12" ht="12.75">
      <c r="A9" s="3728"/>
      <c r="B9" s="3715"/>
      <c r="C9" s="3733"/>
      <c r="D9" s="3751"/>
      <c r="E9" s="123" t="s">
        <v>1274</v>
      </c>
      <c r="F9" s="1627"/>
      <c r="G9" s="1627"/>
      <c r="H9" s="1627"/>
      <c r="I9" s="1281"/>
    </row>
    <row r="10" spans="1:12" ht="12.75">
      <c r="A10" s="3728" t="s">
        <v>1275</v>
      </c>
      <c r="B10" s="3715">
        <v>15</v>
      </c>
      <c r="C10" s="3731"/>
      <c r="D10" s="3751"/>
      <c r="E10" s="123" t="s">
        <v>1276</v>
      </c>
      <c r="F10" s="1627"/>
      <c r="G10" s="1627"/>
      <c r="H10" s="1627"/>
      <c r="I10" s="1281"/>
    </row>
    <row r="11" spans="1:12" ht="12.75">
      <c r="A11" s="3728"/>
      <c r="B11" s="3715"/>
      <c r="C11" s="3733"/>
      <c r="D11" s="3751"/>
      <c r="E11" s="123" t="s">
        <v>1277</v>
      </c>
      <c r="F11" s="1627"/>
      <c r="G11" s="1627"/>
      <c r="H11" s="1627"/>
      <c r="I11" s="1281"/>
    </row>
    <row r="12" spans="1:12" ht="12.75">
      <c r="A12" s="3728" t="s">
        <v>1278</v>
      </c>
      <c r="B12" s="3715">
        <v>15</v>
      </c>
      <c r="C12" s="3731"/>
      <c r="D12" s="3751"/>
      <c r="E12" s="123" t="s">
        <v>1279</v>
      </c>
      <c r="F12" s="1627"/>
      <c r="G12" s="1627"/>
      <c r="H12" s="1627"/>
      <c r="I12" s="1281"/>
    </row>
    <row r="13" spans="1:12" ht="12.75">
      <c r="A13" s="3728"/>
      <c r="B13" s="3715"/>
      <c r="C13" s="3733"/>
      <c r="D13" s="3751"/>
      <c r="E13" s="123" t="s">
        <v>1280</v>
      </c>
      <c r="F13" s="1627"/>
      <c r="G13" s="1627"/>
      <c r="H13" s="1627"/>
      <c r="I13" s="1281"/>
    </row>
    <row r="14" spans="1:12" ht="12.75">
      <c r="A14" s="3728" t="s">
        <v>1281</v>
      </c>
      <c r="B14" s="3715">
        <v>30</v>
      </c>
      <c r="C14" s="3731"/>
      <c r="D14" s="3751"/>
      <c r="E14" s="123" t="s">
        <v>1282</v>
      </c>
      <c r="F14" s="1627"/>
      <c r="G14" s="1627"/>
      <c r="H14" s="1627"/>
      <c r="I14" s="1281"/>
    </row>
    <row r="15" spans="1:12" ht="12.75">
      <c r="A15" s="3728"/>
      <c r="B15" s="3715"/>
      <c r="C15" s="3732"/>
      <c r="D15" s="3751"/>
      <c r="E15" s="123" t="s">
        <v>1283</v>
      </c>
      <c r="F15" s="1627"/>
      <c r="G15" s="1627"/>
      <c r="H15" s="1627"/>
      <c r="I15" s="1281"/>
    </row>
    <row r="16" spans="1:12" ht="12.75">
      <c r="A16" s="3728"/>
      <c r="B16" s="3715"/>
      <c r="C16" s="3733"/>
      <c r="D16" s="3751"/>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738" t="s">
        <v>2131</v>
      </c>
      <c r="F18" s="3739"/>
      <c r="G18" s="3739"/>
      <c r="H18" s="3739"/>
      <c r="I18" s="3739"/>
      <c r="K18" s="294" t="s">
        <v>1289</v>
      </c>
      <c r="L18" s="294">
        <f>IF(C1="",'数据-汇总表'!E3,SUMIF(项目类型,C1,'数据-汇总表'!E17:E26)+SUMIF(项目类型,C1,'数据-汇总表'!I17:I26))</f>
        <v>48097.7</v>
      </c>
      <c r="M18" s="294">
        <f>IF(C1="",'数据-汇总表'!E3,SUMIF(项目类型,C1,'数据-汇总表'!E17:E26))</f>
        <v>48097.7</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722" t="s">
        <v>1299</v>
      </c>
      <c r="B24" s="1631" t="s">
        <v>1291</v>
      </c>
      <c r="C24" s="128">
        <f>IF(B30=0,0,D30)</f>
        <v>0</v>
      </c>
      <c r="D24" s="1637"/>
      <c r="E24" s="121"/>
      <c r="F24" s="121"/>
      <c r="G24" s="121"/>
      <c r="H24" s="121"/>
      <c r="I24" s="121"/>
    </row>
    <row r="25" spans="1:36" ht="14.25">
      <c r="A25" s="372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742" t="s">
        <v>1312</v>
      </c>
      <c r="B36" s="1652" t="s">
        <v>1313</v>
      </c>
      <c r="C36" s="137"/>
      <c r="D36" s="1653"/>
      <c r="E36" s="1567"/>
      <c r="F36" s="1654"/>
      <c r="G36" s="121"/>
      <c r="H36" s="121"/>
      <c r="I36" s="121"/>
    </row>
    <row r="37" spans="1:15" ht="15.75" thickBot="1">
      <c r="A37" s="3743"/>
      <c r="B37" s="1555" t="s">
        <v>1314</v>
      </c>
      <c r="C37" s="139"/>
      <c r="D37" s="1071"/>
      <c r="E37" s="1071"/>
      <c r="F37" s="1654"/>
      <c r="G37" s="121"/>
      <c r="H37" s="121"/>
      <c r="I37" s="121"/>
    </row>
    <row r="38" spans="1:15" ht="15.75" thickBot="1">
      <c r="A38" s="374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719" t="s">
        <v>1326</v>
      </c>
      <c r="B45" s="3720"/>
      <c r="C45" s="3721"/>
      <c r="D45" s="147" t="e">
        <f ca="1">ROUND(H101*F45,0)</f>
        <v>#REF!</v>
      </c>
      <c r="E45" s="148" t="s">
        <v>1327</v>
      </c>
      <c r="F45" s="149">
        <v>1</v>
      </c>
      <c r="G45" s="150" t="s">
        <v>1328</v>
      </c>
      <c r="H45" s="121"/>
      <c r="I45" s="121"/>
      <c r="J45" s="3797" t="s">
        <v>1329</v>
      </c>
      <c r="K45" s="3797"/>
      <c r="L45" s="3797"/>
      <c r="M45" s="3797"/>
      <c r="N45" s="3797"/>
      <c r="O45" s="3797"/>
    </row>
    <row r="46" spans="1:15" ht="14.25" customHeight="1">
      <c r="A46" s="3716" t="s">
        <v>1330</v>
      </c>
      <c r="B46" s="3717"/>
      <c r="C46" s="3717"/>
      <c r="D46" s="3717"/>
      <c r="E46" s="3717"/>
      <c r="F46" s="3717"/>
      <c r="G46" s="3718"/>
      <c r="H46" s="1668"/>
      <c r="I46" s="151"/>
      <c r="J46" s="2310">
        <v>1</v>
      </c>
      <c r="K46" s="3778" t="s">
        <v>1331</v>
      </c>
      <c r="L46" s="3778"/>
      <c r="M46" s="3798"/>
      <c r="N46" s="3798"/>
      <c r="O46" s="3798"/>
    </row>
    <row r="47" spans="1:15" ht="12" customHeight="1">
      <c r="A47" s="152" t="s">
        <v>1332</v>
      </c>
      <c r="B47" s="153"/>
      <c r="C47" s="154"/>
      <c r="D47" s="1024" t="s">
        <v>1333</v>
      </c>
      <c r="E47" s="294" t="s">
        <v>1334</v>
      </c>
      <c r="F47" s="155" t="s">
        <v>1335</v>
      </c>
      <c r="G47" s="2333" t="s">
        <v>1336</v>
      </c>
      <c r="H47" s="2334"/>
      <c r="I47" s="151"/>
      <c r="J47" s="2310">
        <v>2</v>
      </c>
      <c r="K47" s="3778" t="s">
        <v>1337</v>
      </c>
      <c r="L47" s="3778"/>
      <c r="M47" s="3799">
        <f>'数据-取费表'!B2</f>
        <v>45995</v>
      </c>
      <c r="N47" s="3799"/>
      <c r="O47" s="3799"/>
    </row>
    <row r="48" spans="1:15" ht="25.5">
      <c r="A48" s="3747" t="s">
        <v>1338</v>
      </c>
      <c r="B48" s="3730"/>
      <c r="C48" s="3730"/>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778" t="s">
        <v>1340</v>
      </c>
      <c r="L48" s="3778"/>
      <c r="M48" s="3800" t="e">
        <f ca="1">H101</f>
        <v>#REF!</v>
      </c>
      <c r="N48" s="3800"/>
      <c r="O48" s="3800"/>
    </row>
    <row r="49" spans="1:35" ht="25.5" customHeight="1">
      <c r="A49" s="2152" t="s">
        <v>1341</v>
      </c>
      <c r="B49" s="3714" t="s">
        <v>1342</v>
      </c>
      <c r="C49" s="3714"/>
      <c r="D49" s="1478">
        <v>0</v>
      </c>
      <c r="E49" s="316" t="s">
        <v>1343</v>
      </c>
      <c r="F49" s="2233" t="s">
        <v>28</v>
      </c>
      <c r="G49" s="3784"/>
      <c r="H49" s="2134" t="s">
        <v>2134</v>
      </c>
      <c r="I49" s="2135"/>
      <c r="J49" s="2310">
        <v>4</v>
      </c>
      <c r="K49" s="3778" t="str">
        <f>IF(项目基本情况!E8="房地产抵押价值","房地产抵押价值","抵押担保权已注销时的房地产抵押价值")</f>
        <v>抵押担保权已注销时的房地产抵押价值</v>
      </c>
      <c r="L49" s="3778"/>
      <c r="M49" s="3800" t="str">
        <f>IF(项目基本情况!E8="房地产抵押价值",H107,H109)</f>
        <v>——</v>
      </c>
      <c r="N49" s="3800"/>
      <c r="O49" s="3800"/>
    </row>
    <row r="50" spans="1:35" ht="25.5" customHeight="1">
      <c r="A50" s="2338"/>
      <c r="B50" s="3714" t="s">
        <v>1344</v>
      </c>
      <c r="C50" s="3714"/>
      <c r="D50" s="2189"/>
      <c r="E50" s="323"/>
      <c r="F50" s="2233"/>
      <c r="G50" s="3785"/>
      <c r="H50" s="2136" t="s">
        <v>2135</v>
      </c>
      <c r="I50" s="2135"/>
      <c r="J50" s="3797" t="s">
        <v>1345</v>
      </c>
      <c r="K50" s="3797"/>
      <c r="L50" s="3797"/>
      <c r="M50" s="3797"/>
      <c r="N50" s="3797"/>
      <c r="O50" s="3797"/>
    </row>
    <row r="51" spans="1:35" ht="20.45" customHeight="1">
      <c r="A51" s="2339"/>
      <c r="B51" s="3714" t="s">
        <v>1346</v>
      </c>
      <c r="C51" s="3714"/>
      <c r="D51" s="1024"/>
      <c r="E51" s="319"/>
      <c r="F51" s="2233"/>
      <c r="G51" s="3786"/>
      <c r="H51" s="2136" t="s">
        <v>2136</v>
      </c>
      <c r="I51" s="2135"/>
      <c r="J51" s="2311" t="s">
        <v>1347</v>
      </c>
      <c r="K51" s="3778" t="s">
        <v>1348</v>
      </c>
      <c r="L51" s="3778"/>
      <c r="M51" s="2311" t="s">
        <v>1349</v>
      </c>
      <c r="N51" s="2311" t="s">
        <v>1350</v>
      </c>
      <c r="O51" s="2311" t="s">
        <v>1351</v>
      </c>
    </row>
    <row r="52" spans="1:35" ht="24" customHeight="1">
      <c r="A52" s="2153" t="s">
        <v>1352</v>
      </c>
      <c r="B52" s="3714" t="s">
        <v>1353</v>
      </c>
      <c r="C52" s="3714"/>
      <c r="D52" s="1024" t="e">
        <f ca="1">ROUND(D45*'数据-取费表'!B41/(1+'数据-取费表'!C42),0)</f>
        <v>#REF!</v>
      </c>
      <c r="E52" s="1256" t="s">
        <v>1354</v>
      </c>
      <c r="F52" s="2340">
        <f>'数据-取费表'!B41</f>
        <v>5.5000000000000007E-2</v>
      </c>
      <c r="G52" s="2341"/>
      <c r="H52" s="2331"/>
      <c r="I52" s="1669"/>
      <c r="J52" s="2310">
        <v>1</v>
      </c>
      <c r="K52" s="3779" t="s">
        <v>1355</v>
      </c>
      <c r="L52" s="3779"/>
      <c r="M52" s="2312" t="b">
        <f>D48</f>
        <v>0</v>
      </c>
      <c r="N52" s="2310" t="str">
        <f>E48</f>
        <v>销售额×税（费）率</v>
      </c>
      <c r="O52" s="2313">
        <f>F48</f>
        <v>5.5000000000000007E-2</v>
      </c>
    </row>
    <row r="53" spans="1:35" ht="12" customHeight="1">
      <c r="A53" s="2153" t="s">
        <v>1356</v>
      </c>
      <c r="B53" s="3740" t="s">
        <v>2291</v>
      </c>
      <c r="C53" s="3741"/>
      <c r="D53" s="1024" t="e">
        <f ca="1">ROUND(D45*'数据-取费表'!B41/(1+'数据-取费表'!C42),0)</f>
        <v>#REF!</v>
      </c>
      <c r="E53" s="1256" t="s">
        <v>1354</v>
      </c>
      <c r="F53" s="2340">
        <f>'数据-取费表'!B41</f>
        <v>5.5000000000000007E-2</v>
      </c>
      <c r="G53" s="2341"/>
      <c r="H53" s="2331"/>
      <c r="I53" s="1669"/>
      <c r="J53" s="2310">
        <v>2</v>
      </c>
      <c r="K53" s="3779" t="s">
        <v>1357</v>
      </c>
      <c r="L53" s="3779"/>
      <c r="M53" s="2312" t="e">
        <f t="shared" ref="M53:O54" ca="1" si="0">D55</f>
        <v>#REF!</v>
      </c>
      <c r="N53" s="2310" t="str">
        <f t="shared" si="0"/>
        <v>销售额×税（费）率</v>
      </c>
      <c r="O53" s="2313" t="str">
        <f t="shared" si="0"/>
        <v>免征</v>
      </c>
    </row>
    <row r="54" spans="1:35" ht="12" customHeight="1">
      <c r="A54" s="2153" t="s">
        <v>1358</v>
      </c>
      <c r="B54" s="3740" t="s">
        <v>2292</v>
      </c>
      <c r="C54" s="3741"/>
      <c r="D54" s="1024" t="e">
        <f ca="1">C68</f>
        <v>#REF!</v>
      </c>
      <c r="E54" s="319" t="s">
        <v>1359</v>
      </c>
      <c r="F54" s="2340">
        <f>'数据-取费表'!B41</f>
        <v>5.5000000000000007E-2</v>
      </c>
      <c r="G54" s="2341"/>
      <c r="H54" s="2342"/>
      <c r="I54" s="1669"/>
      <c r="J54" s="2310">
        <v>3</v>
      </c>
      <c r="K54" s="3779" t="s">
        <v>1360</v>
      </c>
      <c r="L54" s="3779"/>
      <c r="M54" s="2312" t="e">
        <f t="shared" ca="1" si="0"/>
        <v>#REF!</v>
      </c>
      <c r="N54" s="2310" t="str">
        <f t="shared" si="0"/>
        <v>增值额×税（费）率</v>
      </c>
      <c r="O54" s="2314" t="str">
        <f t="shared" si="0"/>
        <v>免征</v>
      </c>
    </row>
    <row r="55" spans="1:35" ht="24" customHeight="1">
      <c r="A55" s="3729" t="s">
        <v>1361</v>
      </c>
      <c r="B55" s="3730"/>
      <c r="C55" s="3730"/>
      <c r="D55" s="12" t="e">
        <f ca="1">IF(H55="个人住宅",0,ROUND(D45*I55,0))</f>
        <v>#REF!</v>
      </c>
      <c r="E55" s="1256" t="s">
        <v>1362</v>
      </c>
      <c r="F55" s="2340" t="str">
        <f>IF(H55="正常",I55,"免征")</f>
        <v>免征</v>
      </c>
      <c r="G55" s="2341"/>
      <c r="H55" s="2337"/>
      <c r="I55" s="157">
        <f>'数据-取费表'!B49</f>
        <v>5.0000000000000001E-4</v>
      </c>
      <c r="J55" s="2310">
        <f>IF(H59="非个人房产","",4)</f>
        <v>4</v>
      </c>
      <c r="K55" s="3779" t="str">
        <f>IF(H59="非个人房产","——","个人所得税")</f>
        <v>个人所得税</v>
      </c>
      <c r="L55" s="3779"/>
      <c r="M55" s="2315" t="e">
        <f ca="1">D59</f>
        <v>#REF!</v>
      </c>
      <c r="N55" s="1883" t="str">
        <f>E59</f>
        <v>差额计税</v>
      </c>
      <c r="O55" s="2316">
        <f>F59</f>
        <v>0.01</v>
      </c>
    </row>
    <row r="56" spans="1:35" ht="24.75">
      <c r="A56" s="3729" t="s">
        <v>1363</v>
      </c>
      <c r="B56" s="3730"/>
      <c r="C56" s="3730"/>
      <c r="D56" s="12" t="e">
        <f ca="1">IF(H56="个人住宅",D57,D58)</f>
        <v>#REF!</v>
      </c>
      <c r="E56" s="1256" t="s">
        <v>1364</v>
      </c>
      <c r="F56" s="2340" t="str">
        <f>IF(H56="正常",F58,"免征")</f>
        <v>免征</v>
      </c>
      <c r="G56" s="2343" t="s">
        <v>1365</v>
      </c>
      <c r="H56" s="2344"/>
      <c r="I56" s="1670"/>
      <c r="J56" s="2310" t="str">
        <f>IF(项目基本情况!K6="上海银行",IF(J55="",4,J55+1),"")</f>
        <v/>
      </c>
      <c r="K56" s="3802" t="str">
        <f>IF(项目基本情况!K6="上海银行","其他处置费用","")</f>
        <v/>
      </c>
      <c r="L56" s="3803"/>
      <c r="M56" s="2312" t="str">
        <f>IF(项目基本情况!K6="上海银行",M69,"")</f>
        <v/>
      </c>
      <c r="N56" s="3802" t="str">
        <f>IF(项目基本情况!K6="上海银行","包含处置中涉及的律师、诉讼、拍卖、评估等费用","")</f>
        <v/>
      </c>
      <c r="O56" s="3805"/>
    </row>
    <row r="57" spans="1:35" ht="12.75">
      <c r="A57" s="2153" t="s">
        <v>1341</v>
      </c>
      <c r="B57" s="3740" t="s">
        <v>1366</v>
      </c>
      <c r="C57" s="3741"/>
      <c r="D57" s="1478">
        <v>0</v>
      </c>
      <c r="E57" s="316" t="s">
        <v>1343</v>
      </c>
      <c r="F57" s="294"/>
      <c r="G57" s="2341"/>
      <c r="H57" s="2345"/>
      <c r="I57" s="1670"/>
      <c r="J57" s="3779">
        <f>IF(AND(J55="",J56=""),4,IF(项目基本情况!K6="上海银行",结果表!J56+1,结果表!J55+1))</f>
        <v>5</v>
      </c>
      <c r="K57" s="3779" t="s">
        <v>1367</v>
      </c>
      <c r="L57" s="2317" t="s">
        <v>1368</v>
      </c>
      <c r="M57" s="2318"/>
      <c r="N57" s="2319">
        <f ca="1">SUMIF(M52:M56,"&lt;9e307")</f>
        <v>0</v>
      </c>
      <c r="O57" s="2320"/>
      <c r="P57" s="2465" t="e">
        <f ca="1">N57/M49</f>
        <v>#VALUE!</v>
      </c>
    </row>
    <row r="58" spans="1:35" ht="24.75">
      <c r="A58" s="2153" t="s">
        <v>1352</v>
      </c>
      <c r="B58" s="3740" t="s">
        <v>1369</v>
      </c>
      <c r="C58" s="3714"/>
      <c r="D58" s="12" t="e">
        <f ca="1">IF(H58="转让取得",C81,C97)</f>
        <v>#REF!</v>
      </c>
      <c r="E58" s="1256" t="s">
        <v>1364</v>
      </c>
      <c r="F58" s="294" t="s">
        <v>28</v>
      </c>
      <c r="G58" s="2341"/>
      <c r="H58" s="2344"/>
      <c r="I58" s="1670"/>
      <c r="J58" s="3779"/>
      <c r="K58" s="3779"/>
      <c r="L58" s="2317" t="s">
        <v>1370</v>
      </c>
      <c r="M58" s="2321"/>
      <c r="N58" s="2322" t="str">
        <f ca="1">NUMBERSTRING(INT(N57*10000),2)&amp;"元整"</f>
        <v>零元整</v>
      </c>
      <c r="O58" s="2323"/>
    </row>
    <row r="59" spans="1:35" ht="24.75" thickBot="1">
      <c r="A59" s="3782" t="s">
        <v>1371</v>
      </c>
      <c r="B59" s="3783"/>
      <c r="C59" s="3783"/>
      <c r="D59" s="2346" t="e">
        <f ca="1">IF(H59="非个人房产","——",IF(H59="个人住宅（满五唯一有凭证）",0,IF(H59="个人其他（无凭证）",ROUND(D45/(1+'数据-取费表'!C42)*F59,0),ROUND(C67*F59,0))))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780">
        <f>J57+1</f>
        <v>6</v>
      </c>
      <c r="K59" s="3779" t="s">
        <v>1372</v>
      </c>
      <c r="L59" s="2310" t="s">
        <v>1368</v>
      </c>
      <c r="M59" s="2324"/>
      <c r="N59" s="2325" t="e">
        <f ca="1">M49-N57</f>
        <v>#VALUE!</v>
      </c>
      <c r="O59" s="2326"/>
    </row>
    <row r="60" spans="1:35" ht="12" customHeight="1">
      <c r="A60" s="1671"/>
      <c r="B60" s="646"/>
      <c r="C60" s="646"/>
      <c r="D60" s="646"/>
      <c r="E60" s="1466"/>
      <c r="F60" s="1670"/>
      <c r="G60" s="1670"/>
      <c r="H60" s="151"/>
      <c r="I60" s="121"/>
      <c r="J60" s="3781"/>
      <c r="K60" s="3779"/>
      <c r="L60" s="2317" t="s">
        <v>1370</v>
      </c>
      <c r="M60" s="2321"/>
      <c r="N60" s="2322" t="e">
        <f ca="1">NUMBERSTRING(INT(N59*10000),2)&amp;"元整"</f>
        <v>#VALUE!</v>
      </c>
      <c r="O60" s="2323"/>
    </row>
    <row r="61" spans="1:35" ht="13.5" thickBot="1">
      <c r="A61" s="3727" t="s">
        <v>1373</v>
      </c>
      <c r="B61" s="3727"/>
      <c r="C61" s="3727"/>
      <c r="D61" s="3727"/>
      <c r="E61" s="3727"/>
      <c r="F61" s="1670"/>
      <c r="G61" s="1670"/>
      <c r="H61" s="151"/>
      <c r="I61" s="121"/>
      <c r="J61" s="2310">
        <f>J59+1</f>
        <v>7</v>
      </c>
      <c r="K61" s="3779" t="s">
        <v>1374</v>
      </c>
      <c r="L61" s="3779"/>
      <c r="M61" s="2327"/>
      <c r="N61" s="2328" t="e">
        <f ca="1">ROUND(N59*10000/'数据-汇总表'!E3,0)</f>
        <v>#VALUE!</v>
      </c>
      <c r="O61" s="2329"/>
    </row>
    <row r="62" spans="1:35" ht="12.75">
      <c r="A62" s="3745" t="s">
        <v>1375</v>
      </c>
      <c r="B62" s="3746"/>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804"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80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804"/>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804"/>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80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804"/>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804"/>
      <c r="K69" s="1245" t="s">
        <v>1393</v>
      </c>
      <c r="L69" s="1245"/>
      <c r="M69" s="294" t="e">
        <f>ROUND(SUM(M63:M68),0)</f>
        <v>#VALUE!</v>
      </c>
      <c r="N69" s="2332" t="e">
        <f>M69/M49</f>
        <v>#VALUE!</v>
      </c>
      <c r="Z69" s="1623"/>
      <c r="AI69" s="1561"/>
    </row>
    <row r="70" spans="1:35" s="642" customFormat="1" ht="15" thickBot="1">
      <c r="A70" s="3766" t="s">
        <v>1394</v>
      </c>
      <c r="B70" s="3767"/>
      <c r="C70" s="3767"/>
      <c r="D70" s="3767"/>
      <c r="E70" s="3767"/>
      <c r="F70" s="3767"/>
      <c r="G70" s="3767"/>
      <c r="H70" s="376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745" t="s">
        <v>1375</v>
      </c>
      <c r="B71" s="374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740" t="s">
        <v>1402</v>
      </c>
      <c r="F76" s="3714"/>
      <c r="G76" s="3714"/>
      <c r="H76" s="376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724" t="s">
        <v>1406</v>
      </c>
      <c r="F78" s="3725"/>
      <c r="G78" s="3725"/>
      <c r="H78" s="373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766" t="s">
        <v>1410</v>
      </c>
      <c r="B83" s="3767"/>
      <c r="C83" s="3767"/>
      <c r="D83" s="3767"/>
      <c r="E83" s="3767"/>
      <c r="F83" s="3767"/>
      <c r="G83" s="3767"/>
      <c r="H83" s="376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745" t="s">
        <v>1375</v>
      </c>
      <c r="B84" s="374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806" t="s">
        <v>2129</v>
      </c>
      <c r="H90" s="380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724" t="s">
        <v>1419</v>
      </c>
      <c r="F91" s="3725"/>
      <c r="G91" s="372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724" t="s">
        <v>1422</v>
      </c>
      <c r="F92" s="3725"/>
      <c r="G92" s="3725"/>
      <c r="H92" s="3734"/>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724" t="s">
        <v>1406</v>
      </c>
      <c r="F93" s="3725"/>
      <c r="G93" s="3725"/>
      <c r="H93" s="373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735" t="s">
        <v>1426</v>
      </c>
      <c r="F94" s="3736"/>
      <c r="G94" s="3736"/>
      <c r="H94" s="373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708" t="s">
        <v>1428</v>
      </c>
      <c r="B100" s="3709"/>
      <c r="C100" s="3709"/>
      <c r="D100" s="3726"/>
      <c r="E100" s="3709" t="s">
        <v>1429</v>
      </c>
      <c r="F100" s="3709"/>
      <c r="G100" s="3709"/>
      <c r="H100" s="3726"/>
      <c r="I100" s="121"/>
    </row>
    <row r="101" spans="1:35" ht="18.75" customHeight="1">
      <c r="A101" s="3787" t="s">
        <v>1430</v>
      </c>
      <c r="B101" s="3788"/>
      <c r="C101" s="2371">
        <f>C4</f>
        <v>0</v>
      </c>
      <c r="D101" s="2372">
        <f>D4</f>
        <v>0</v>
      </c>
      <c r="E101" s="3801" t="s">
        <v>1431</v>
      </c>
      <c r="F101" s="3758"/>
      <c r="G101" s="1687" t="s">
        <v>1432</v>
      </c>
      <c r="H101" s="2381" t="e">
        <f ca="1">H118</f>
        <v>#REF!</v>
      </c>
      <c r="I101" s="121"/>
    </row>
    <row r="102" spans="1:35" ht="18.75" customHeight="1">
      <c r="A102" s="3760" t="s">
        <v>1433</v>
      </c>
      <c r="B102" s="2370" t="s">
        <v>1432</v>
      </c>
      <c r="C102" s="2371" t="e">
        <f ca="1">IF(D32="楼面单价",ROUND(C19,0),C19)</f>
        <v>#REF!</v>
      </c>
      <c r="D102" s="2372" t="e">
        <f ca="1">IF(D32="楼面单价",ROUND(D19,0),D19)</f>
        <v>#REF!</v>
      </c>
      <c r="E102" s="3801"/>
      <c r="F102" s="3758"/>
      <c r="G102" s="1687" t="s">
        <v>1434</v>
      </c>
      <c r="H102" s="2341" t="e">
        <f ca="1">I118</f>
        <v>#REF!</v>
      </c>
      <c r="I102" s="121"/>
    </row>
    <row r="103" spans="1:35" ht="42.75" customHeight="1">
      <c r="A103" s="3760"/>
      <c r="B103" s="2370" t="s">
        <v>1434</v>
      </c>
      <c r="C103" s="2373" t="e">
        <f ca="1">C20</f>
        <v>#REF!</v>
      </c>
      <c r="D103" s="2374" t="e">
        <f ca="1">D20</f>
        <v>#REF!</v>
      </c>
      <c r="E103" s="3795" t="s">
        <v>1435</v>
      </c>
      <c r="F103" s="3796"/>
      <c r="G103" s="1688" t="s">
        <v>1436</v>
      </c>
      <c r="H103" s="2381">
        <f>IF(D36="正常操作",H104+H105+H106,H105+H106)</f>
        <v>0</v>
      </c>
      <c r="I103" s="121"/>
    </row>
    <row r="104" spans="1:35" ht="18.75" customHeight="1">
      <c r="A104" s="376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761"/>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757" t="str">
        <f>IF(项目基本情况!E8="已注销","——","3.房地产抵押价值")</f>
        <v>3.房地产抵押价值</v>
      </c>
      <c r="F107" s="3758"/>
      <c r="G107" s="1687" t="s">
        <v>1432</v>
      </c>
      <c r="H107" s="2381" t="e">
        <f ca="1">IF(E107="——","——",H101-H103)</f>
        <v>#REF!</v>
      </c>
      <c r="I107" s="121"/>
    </row>
    <row r="108" spans="1:35" ht="18.75" customHeight="1">
      <c r="A108" s="121"/>
      <c r="B108" s="121"/>
      <c r="C108" s="121"/>
      <c r="D108" s="121"/>
      <c r="E108" s="3757"/>
      <c r="F108" s="3758"/>
      <c r="G108" s="1687" t="s">
        <v>1434</v>
      </c>
      <c r="H108" s="2341" t="e">
        <f ca="1">IF(H107=H101,H102,ROUND(H107*10000/'数据-汇总表'!E3,0))</f>
        <v>#REF!</v>
      </c>
      <c r="I108" s="121"/>
    </row>
    <row r="109" spans="1:35" ht="18.75" customHeight="1">
      <c r="A109" s="121"/>
      <c r="B109" s="121"/>
      <c r="C109" s="121"/>
      <c r="D109" s="121"/>
      <c r="E109" s="3757" t="str">
        <f>IF(项目基本情况!E8="已注销及未注销","4.抵押担保权已注销时的房地产抵押价值",IF(项目基本情况!E8="已注销","3.抵押担保权已注销时的房地产抵押价值","——"))</f>
        <v>——</v>
      </c>
      <c r="F109" s="3758"/>
      <c r="G109" s="1687" t="s">
        <v>1432</v>
      </c>
      <c r="H109" s="2384" t="str">
        <f>IF(E109="——","——",H101-H105-H106)</f>
        <v>——</v>
      </c>
      <c r="I109" s="121"/>
    </row>
    <row r="110" spans="1:35" ht="18.75" customHeight="1">
      <c r="A110" s="121"/>
      <c r="B110" s="121"/>
      <c r="C110" s="121"/>
      <c r="D110" s="121"/>
      <c r="E110" s="3757"/>
      <c r="F110" s="3758"/>
      <c r="G110" s="1687" t="s">
        <v>1434</v>
      </c>
      <c r="H110" s="2341" t="str">
        <f>IF(H109="——","——",ROUND(H109*10000/'数据-汇总表'!E3,0))</f>
        <v>——</v>
      </c>
      <c r="I110" s="121"/>
    </row>
    <row r="111" spans="1:35" ht="18.75" customHeight="1">
      <c r="A111" s="121"/>
      <c r="B111" s="121"/>
      <c r="C111" s="121"/>
      <c r="D111" s="121"/>
      <c r="E111" s="3789" t="str">
        <f>IF(项目基本情况!E9="抵押净值",IF(OR(项目基本情况!E8="已注销",项目基本情况!E8="房地产抵押价值"),"4.抵押净值","5.抵押净值"),"——")</f>
        <v>——</v>
      </c>
      <c r="F111" s="3759"/>
      <c r="G111" s="1687" t="s">
        <v>1432</v>
      </c>
      <c r="H111" s="2381" t="str">
        <f>IF(E111="——","——",N59)</f>
        <v>——</v>
      </c>
      <c r="I111" s="121"/>
    </row>
    <row r="112" spans="1:35" ht="18.75" customHeight="1" thickBot="1">
      <c r="A112" s="121"/>
      <c r="B112" s="121"/>
      <c r="C112" s="121"/>
      <c r="D112" s="121"/>
      <c r="E112" s="3790"/>
      <c r="F112" s="3791"/>
      <c r="G112" s="1690" t="s">
        <v>1434</v>
      </c>
      <c r="H112" s="2385" t="str">
        <f>IF(E111="——","——",N61)</f>
        <v>——</v>
      </c>
      <c r="I112" s="121"/>
    </row>
    <row r="113" spans="1:27" ht="18.75" customHeight="1">
      <c r="A113" s="121"/>
      <c r="B113" s="121"/>
      <c r="C113" s="121"/>
      <c r="D113" s="121"/>
      <c r="E113" s="3762" t="s">
        <v>1440</v>
      </c>
      <c r="F113" s="3762"/>
      <c r="G113" s="3762"/>
      <c r="H113" s="3762"/>
      <c r="I113" s="121"/>
    </row>
    <row r="114" spans="1:27" ht="3.75" customHeight="1">
      <c r="A114" s="646"/>
      <c r="B114" s="646"/>
      <c r="C114" s="646"/>
      <c r="D114" s="646"/>
      <c r="E114" s="1671"/>
      <c r="F114" s="1671"/>
      <c r="G114" s="1671"/>
      <c r="H114" s="1671"/>
      <c r="I114" s="646"/>
    </row>
    <row r="115" spans="1:27" ht="18.75" customHeight="1">
      <c r="A115" s="3772" t="s">
        <v>1442</v>
      </c>
      <c r="B115" s="3773"/>
      <c r="C115" s="3773"/>
      <c r="D115" s="3773"/>
      <c r="E115" s="3773"/>
      <c r="F115" s="3773"/>
      <c r="G115" s="3773"/>
      <c r="H115" s="3773"/>
      <c r="I115" s="3774"/>
    </row>
    <row r="116" spans="1:27" ht="27" customHeight="1">
      <c r="A116" s="3728" t="s">
        <v>1443</v>
      </c>
      <c r="B116" s="3763" t="s">
        <v>1444</v>
      </c>
      <c r="C116" s="3763" t="s">
        <v>1445</v>
      </c>
      <c r="D116" s="3776" t="s">
        <v>1446</v>
      </c>
      <c r="E116" s="3777"/>
      <c r="F116" s="3771" t="s">
        <v>1447</v>
      </c>
      <c r="G116" s="3771"/>
      <c r="H116" s="3728" t="s">
        <v>1448</v>
      </c>
      <c r="I116" s="3728"/>
    </row>
    <row r="117" spans="1:27" ht="18.75" customHeight="1">
      <c r="A117" s="3728"/>
      <c r="B117" s="3764"/>
      <c r="C117" s="376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48097.7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728" t="s">
        <v>1452</v>
      </c>
      <c r="B119" s="3728"/>
      <c r="C119" s="3728"/>
      <c r="D119" s="3768" t="e">
        <f ca="1">NUMBERSTRING(INT(D118*10000),2)&amp;"元整"</f>
        <v>#REF!</v>
      </c>
      <c r="E119" s="3770"/>
      <c r="F119" s="3768" t="e">
        <f ca="1">NUMBERSTRING(INT(F118*10000),2)&amp;"元整"</f>
        <v>#REF!</v>
      </c>
      <c r="G119" s="3770"/>
      <c r="H119" s="3768" t="e">
        <f ca="1">NUMBERSTRING(INT(H118*10000),2)&amp;"元整"</f>
        <v>#REF!</v>
      </c>
      <c r="I119" s="3770"/>
    </row>
    <row r="120" spans="1:27" ht="18.75" customHeight="1">
      <c r="A120" s="3792" t="str">
        <f>IF(项目基本情况!B9="房地产市场价值","",MID(E103,3,LEN(E103)-2))</f>
        <v>估价师知悉的法定优先受偿款</v>
      </c>
      <c r="B120" s="3793"/>
      <c r="C120" s="3794"/>
      <c r="D120" s="3792">
        <f>H103</f>
        <v>0</v>
      </c>
      <c r="E120" s="3793"/>
      <c r="F120" s="3793"/>
      <c r="G120" s="3793"/>
      <c r="H120" s="3793"/>
      <c r="I120" s="379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768" t="s">
        <v>1452</v>
      </c>
      <c r="B121" s="3769"/>
      <c r="C121" s="3770"/>
      <c r="D121" s="3768" t="str">
        <f>IF(D120=0,"零元整",NUMBERSTRING(INT(D120*10000),2)&amp;"元整")</f>
        <v>零元整</v>
      </c>
      <c r="E121" s="3769"/>
      <c r="F121" s="3769"/>
      <c r="G121" s="3769"/>
      <c r="H121" s="3769"/>
      <c r="I121" s="3770"/>
      <c r="AA121" s="684"/>
    </row>
    <row r="122" spans="1:27" ht="18.75" customHeight="1">
      <c r="A122" s="3759" t="str">
        <f>IF(项目基本情况!B9="房地产市场价值","",MID(E107,3,LEN(E107)-2))</f>
        <v>房地产抵押价值</v>
      </c>
      <c r="B122" s="3759"/>
      <c r="C122" s="3759"/>
      <c r="D122" s="3792" t="e">
        <f ca="1">H107</f>
        <v>#REF!</v>
      </c>
      <c r="E122" s="3793"/>
      <c r="F122" s="3793"/>
      <c r="G122" s="3793"/>
      <c r="H122" s="3793"/>
      <c r="I122" s="3794"/>
      <c r="AA122" s="684"/>
    </row>
    <row r="123" spans="1:27" ht="18.75" customHeight="1">
      <c r="A123" s="3728" t="s">
        <v>1452</v>
      </c>
      <c r="B123" s="3728"/>
      <c r="C123" s="3728"/>
      <c r="D123" s="3768" t="e">
        <f ca="1">NUMBERSTRING(INT(D122*10000),2)&amp;"元整"</f>
        <v>#REF!</v>
      </c>
      <c r="E123" s="3769"/>
      <c r="F123" s="3769"/>
      <c r="G123" s="3769"/>
      <c r="H123" s="3769"/>
      <c r="I123" s="3770"/>
      <c r="AA123" s="684"/>
    </row>
    <row r="124" spans="1:27" ht="18.75" customHeight="1">
      <c r="A124" s="3759" t="str">
        <f>IF(项目基本情况!B9="房地产市场价值","",MID(E109,3,LEN(E109)-2))</f>
        <v/>
      </c>
      <c r="B124" s="3759"/>
      <c r="C124" s="3759"/>
      <c r="D124" s="3792" t="str">
        <f>H109</f>
        <v>——</v>
      </c>
      <c r="E124" s="3793"/>
      <c r="F124" s="3793"/>
      <c r="G124" s="3793"/>
      <c r="H124" s="3793"/>
      <c r="I124" s="3794"/>
      <c r="AA124" s="684"/>
    </row>
    <row r="125" spans="1:27" ht="18.75" customHeight="1">
      <c r="A125" s="3728" t="s">
        <v>1452</v>
      </c>
      <c r="B125" s="3728"/>
      <c r="C125" s="3728"/>
      <c r="D125" s="3768" t="e">
        <f>NUMBERSTRING(INT(D124*10000),2)&amp;"元整"</f>
        <v>#VALUE!</v>
      </c>
      <c r="E125" s="3769"/>
      <c r="F125" s="3769"/>
      <c r="G125" s="3769"/>
      <c r="H125" s="3769"/>
      <c r="I125" s="3770"/>
      <c r="AA125" s="684"/>
    </row>
    <row r="126" spans="1:27" ht="18.75" customHeight="1">
      <c r="A126" s="3759" t="str">
        <f>IF(项目基本情况!B9="房地产市场价值","",MID(E111,3,LEN(E111)-2))</f>
        <v/>
      </c>
      <c r="B126" s="3759"/>
      <c r="C126" s="3759"/>
      <c r="D126" s="3792" t="str">
        <f>H111</f>
        <v>——</v>
      </c>
      <c r="E126" s="3793"/>
      <c r="F126" s="3793"/>
      <c r="G126" s="3793"/>
      <c r="H126" s="3793"/>
      <c r="I126" s="3794"/>
      <c r="AA126" s="684"/>
    </row>
    <row r="127" spans="1:27" ht="18.75" customHeight="1">
      <c r="A127" s="3728" t="s">
        <v>1452</v>
      </c>
      <c r="B127" s="3728"/>
      <c r="C127" s="3728"/>
      <c r="D127" s="3768" t="e">
        <f>NUMBERSTRING(INT(D126*10000),2)&amp;"元整"</f>
        <v>#VALUE!</v>
      </c>
      <c r="E127" s="3769"/>
      <c r="F127" s="3769"/>
      <c r="G127" s="3769"/>
      <c r="H127" s="3769"/>
      <c r="I127" s="3770"/>
      <c r="AA127" s="684"/>
    </row>
    <row r="128" spans="1:27" ht="21.75" customHeight="1">
      <c r="A128" s="3775" t="s">
        <v>1453</v>
      </c>
      <c r="B128" s="3775"/>
      <c r="C128" s="3775"/>
      <c r="D128" s="3775"/>
      <c r="E128" s="3775"/>
      <c r="F128" s="3775"/>
      <c r="G128" s="3775"/>
      <c r="H128" s="3775"/>
      <c r="I128" s="37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9</v>
      </c>
    </row>
    <row r="2" spans="1:9" s="192" customFormat="1" ht="18" customHeight="1">
      <c r="A2" s="193" t="s">
        <v>1462</v>
      </c>
      <c r="B2" s="194">
        <f ca="1">IF(D2="——",C52,C52-E2)</f>
        <v>12963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2695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519</v>
      </c>
      <c r="D9" s="795">
        <f ca="1">IF(B1="",'数据-汇总表'!E5,IF(INDIRECT("'数据-取费表'!c"&amp;$G$1)="住宅",INDIRECT("'数据-取费表'!k"&amp;$G$1),0))</f>
        <v>34587.24</v>
      </c>
      <c r="E9" s="217">
        <f>'数据-取费表'!B27</f>
        <v>150</v>
      </c>
      <c r="F9" s="213"/>
      <c r="G9" s="1715"/>
      <c r="H9" s="1070"/>
      <c r="I9" s="1716" t="s">
        <v>1479</v>
      </c>
    </row>
    <row r="10" spans="1:9" s="206" customFormat="1" ht="13.5" customHeight="1">
      <c r="A10" s="733" t="s">
        <v>356</v>
      </c>
      <c r="B10" s="216" t="s">
        <v>1480</v>
      </c>
      <c r="C10" s="217">
        <f ca="1">ROUND(D10*E10/10000,0)</f>
        <v>257</v>
      </c>
      <c r="D10" s="795">
        <f ca="1">IF(B1="",'数据-汇总表'!E6,IF(INDIRECT("'数据-取费表'!c"&amp;$G$1)="住宅",INDIRECT("'数据-取费表'!s"&amp;$G$1),INDIRECT("'数据-取费表'!k"&amp;$G$1)+INDIRECT("'数据-取费表'!s"&amp;$G$1)))</f>
        <v>13510.46</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962</v>
      </c>
      <c r="D19" s="204">
        <f ca="1">D9+D10</f>
        <v>48097.7</v>
      </c>
      <c r="E19" s="203">
        <f>'数据-取费表'!B31</f>
        <v>200</v>
      </c>
      <c r="F19" s="223"/>
      <c r="G19" s="1714"/>
    </row>
    <row r="20" spans="1:7" s="206" customFormat="1" ht="13.5" customHeight="1">
      <c r="A20" s="247" t="s">
        <v>1493</v>
      </c>
      <c r="B20" s="202" t="s">
        <v>1494</v>
      </c>
      <c r="C20" s="224">
        <f ca="1">ROUND((C5+C19)*F20,0)</f>
        <v>10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61</v>
      </c>
      <c r="D22" s="227">
        <f ca="1">C26</f>
        <v>8.9999999999999998E-4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61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78</v>
      </c>
      <c r="D27" s="227">
        <f ca="1">C29</f>
        <v>2.3999999999999998E-3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78</v>
      </c>
      <c r="D28" s="227"/>
      <c r="E28" s="228"/>
      <c r="F28" s="238"/>
      <c r="G28" s="239"/>
    </row>
    <row r="29" spans="1:7" s="206" customFormat="1" ht="13.5" customHeight="1">
      <c r="A29" s="734" t="s">
        <v>347</v>
      </c>
      <c r="B29" s="240" t="s">
        <v>1517</v>
      </c>
      <c r="C29" s="230">
        <f ca="1">ROUND(C21*F27*'数据-取费表'!B21/'数据-取费表'!B20,4)</f>
        <v>2.3999999999999998E-3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1215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11392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9619</v>
      </c>
      <c r="D34" s="209"/>
      <c r="E34" s="212"/>
      <c r="F34" s="249">
        <f ca="1">IF('数据-取费表'!B24=0,1,IF(B1="",'数据-取费表'!N16,INDIRECT("'数据-取费表'!n"&amp;$G$1)))</f>
        <v>1</v>
      </c>
      <c r="G34" s="211" t="s">
        <v>1526</v>
      </c>
    </row>
    <row r="35" spans="1:7" ht="13.5" customHeight="1">
      <c r="A35" s="734" t="s">
        <v>351</v>
      </c>
      <c r="B35" s="207" t="s">
        <v>1527</v>
      </c>
      <c r="C35" s="212">
        <f ca="1">ROUND(C34*F35,0)</f>
        <v>481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138</v>
      </c>
      <c r="D36" s="212"/>
      <c r="E36" s="212"/>
      <c r="F36" s="251">
        <f>'数据-取费表'!B34</f>
        <v>0.02</v>
      </c>
      <c r="G36" s="252" t="s">
        <v>1530</v>
      </c>
    </row>
    <row r="37" spans="1:7" s="250" customFormat="1" ht="13.5" customHeight="1">
      <c r="A37" s="734" t="s">
        <v>353</v>
      </c>
      <c r="B37" s="207" t="s">
        <v>1531</v>
      </c>
      <c r="C37" s="241">
        <f ca="1">ROUND(E37*D37*F34/10000,0)</f>
        <v>962</v>
      </c>
      <c r="D37" s="209">
        <f ca="1">D19</f>
        <v>48097.7</v>
      </c>
      <c r="E37" s="241">
        <f>'数据-取费表'!B35</f>
        <v>200</v>
      </c>
      <c r="F37" s="251"/>
      <c r="G37" s="253" t="s">
        <v>1532</v>
      </c>
    </row>
    <row r="38" spans="1:7" ht="13.5" customHeight="1">
      <c r="A38" s="734" t="s">
        <v>354</v>
      </c>
      <c r="B38" s="207" t="s">
        <v>1533</v>
      </c>
      <c r="C38" s="212">
        <f ca="1">ROUND(C34*F38,0)</f>
        <v>192</v>
      </c>
      <c r="D38" s="212"/>
      <c r="E38" s="212"/>
      <c r="F38" s="251">
        <f>'数据-取费表'!B36</f>
        <v>0.02</v>
      </c>
      <c r="G38" s="211" t="s">
        <v>1528</v>
      </c>
    </row>
    <row r="39" spans="1:7" s="206" customFormat="1" ht="13.5" customHeight="1">
      <c r="A39" s="247" t="s">
        <v>1534</v>
      </c>
      <c r="B39" s="202" t="s">
        <v>1535</v>
      </c>
      <c r="C39" s="224">
        <f ca="1">ROUND(C33*F20,0)</f>
        <v>114</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361</v>
      </c>
      <c r="D41" s="227">
        <f ca="1">C44</f>
        <v>8.9999999999999998E-4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357</v>
      </c>
      <c r="D42" s="230"/>
      <c r="E42" s="230"/>
      <c r="F42" s="231"/>
      <c r="G42" s="3808" t="s">
        <v>1544</v>
      </c>
    </row>
    <row r="43" spans="1:7" ht="13.5" customHeight="1">
      <c r="A43" s="734" t="s">
        <v>347</v>
      </c>
      <c r="B43" s="207" t="s">
        <v>1545</v>
      </c>
      <c r="C43" s="230">
        <f ca="1">ROUND(IF('数据-取费表'!B22&lt;=1,C39*F22*'数据-取费表'!B21/2,C39*(POWER((1+F22),'数据-取费表'!B21/2)-1)),0)</f>
        <v>4</v>
      </c>
      <c r="D43" s="230"/>
      <c r="E43" s="230"/>
      <c r="F43" s="231"/>
      <c r="G43" s="3809"/>
    </row>
    <row r="44" spans="1:7" ht="13.5" customHeight="1">
      <c r="A44" s="734" t="s">
        <v>348</v>
      </c>
      <c r="B44" s="207" t="s">
        <v>1546</v>
      </c>
      <c r="C44" s="230">
        <f ca="1">ROUND(IF('数据-取费表'!B22&lt;=1,C40*F22*'数据-取费表'!B21/2,C40*(POWER((1+F22),'数据-取费表'!B21/2)-1)),4)</f>
        <v>8.9999999999999998E-4</v>
      </c>
      <c r="D44" s="230"/>
      <c r="E44" s="230"/>
      <c r="F44" s="231"/>
      <c r="G44" s="3810"/>
    </row>
    <row r="45" spans="1:7" s="206" customFormat="1" ht="13.5" customHeight="1">
      <c r="A45" s="247" t="s">
        <v>1547</v>
      </c>
      <c r="B45" s="236" t="s">
        <v>1513</v>
      </c>
      <c r="C45" s="237">
        <f ca="1">C46</f>
        <v>920</v>
      </c>
      <c r="D45" s="227">
        <f ca="1">C47</f>
        <v>2.3999999999999998E-3</v>
      </c>
      <c r="E45" s="228" t="s">
        <v>1539</v>
      </c>
      <c r="F45" s="238">
        <f ca="1">F27</f>
        <v>0.08</v>
      </c>
      <c r="G45" s="239" t="s">
        <v>1548</v>
      </c>
    </row>
    <row r="46" spans="1:7" s="206" customFormat="1" ht="13.5" customHeight="1">
      <c r="A46" s="734" t="s">
        <v>346</v>
      </c>
      <c r="B46" s="240" t="s">
        <v>1549</v>
      </c>
      <c r="C46" s="241">
        <f ca="1">ROUND((C33+C39)*F27,0)</f>
        <v>920</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13986</v>
      </c>
      <c r="D49" s="224"/>
      <c r="E49" s="224"/>
      <c r="F49" s="256"/>
      <c r="G49" s="226" t="s">
        <v>1554</v>
      </c>
    </row>
    <row r="50" spans="1:7" s="250" customFormat="1" ht="24">
      <c r="A50" s="247" t="s">
        <v>1555</v>
      </c>
      <c r="B50" s="202" t="s">
        <v>1556</v>
      </c>
      <c r="C50" s="224"/>
      <c r="D50" s="224"/>
      <c r="E50" s="224"/>
      <c r="F50" s="256">
        <f>IF('数据-取费表'!B24=0,'数据-取费表'!N16,1)</f>
        <v>0.84</v>
      </c>
      <c r="G50" s="239" t="s">
        <v>1557</v>
      </c>
    </row>
    <row r="51" spans="1:7" ht="16.5" customHeight="1">
      <c r="A51" s="247" t="s">
        <v>1558</v>
      </c>
      <c r="B51" s="202" t="s">
        <v>1559</v>
      </c>
      <c r="C51" s="224">
        <f ca="1">ROUND(C49*F50,0)</f>
        <v>11748</v>
      </c>
      <c r="D51" s="224"/>
      <c r="E51" s="224"/>
      <c r="F51" s="256"/>
      <c r="G51" s="226" t="s">
        <v>1560</v>
      </c>
    </row>
    <row r="52" spans="1:7" s="200" customFormat="1" ht="16.5" thickBot="1">
      <c r="A52" s="257" t="s">
        <v>1561</v>
      </c>
      <c r="B52" s="258"/>
      <c r="C52" s="259">
        <f ca="1">C31+C51</f>
        <v>12963</v>
      </c>
      <c r="D52" s="258"/>
      <c r="E52" s="258"/>
      <c r="F52" s="258"/>
      <c r="G52" s="260"/>
    </row>
    <row r="55" spans="1:7" ht="15">
      <c r="B55" s="262" t="s">
        <v>1562</v>
      </c>
      <c r="C55" s="263"/>
    </row>
    <row r="56" spans="1:7">
      <c r="B56" s="265" t="s">
        <v>802</v>
      </c>
      <c r="C56" s="267">
        <f ca="1">1-C57</f>
        <v>9.3999999999999972E-2</v>
      </c>
    </row>
    <row r="57" spans="1:7">
      <c r="B57" s="265" t="s">
        <v>803</v>
      </c>
      <c r="C57" s="266">
        <f ca="1">ROUND(C51/C52,3)</f>
        <v>0.90600000000000003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626" t="str">
        <f>项目基本情况!B1</f>
        <v>北京市预评估</v>
      </c>
      <c r="C37" s="3626"/>
      <c r="D37" s="3626"/>
      <c r="E37" s="3626"/>
      <c r="F37" s="3626"/>
      <c r="G37" s="3626"/>
      <c r="H37" s="3626"/>
      <c r="I37" s="362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5C62-AA34-42F3-8757-1AB53A39D651}">
  <sheetPr>
    <tabColor rgb="FF92D050"/>
    <pageSetUpPr fitToPage="1"/>
  </sheetPr>
  <dimension ref="A1:AC148"/>
  <sheetViews>
    <sheetView tabSelected="1" view="pageBreakPreview" topLeftCell="B9" zoomScaleNormal="60" zoomScaleSheetLayoutView="100" workbookViewId="0">
      <selection activeCell="Q23" sqref="Q23"/>
    </sheetView>
  </sheetViews>
  <sheetFormatPr defaultColWidth="9" defaultRowHeight="14.25"/>
  <cols>
    <col min="1" max="1" width="10.5" style="3203" customWidth="1"/>
    <col min="2" max="3" width="15.75" style="3203" customWidth="1"/>
    <col min="4" max="4" width="12.25" style="3203" customWidth="1"/>
    <col min="5" max="5" width="17.125" style="3203" customWidth="1"/>
    <col min="6" max="6" width="12.25" style="3203" customWidth="1"/>
    <col min="7" max="7" width="16.5" style="3203" customWidth="1"/>
    <col min="8" max="8" width="12.25" style="3203" customWidth="1"/>
    <col min="9" max="9" width="15.625" style="3203" customWidth="1"/>
    <col min="10" max="10" width="12.25" style="3203" customWidth="1"/>
    <col min="11" max="11" width="12.25" style="3465" customWidth="1"/>
    <col min="12" max="12" width="12.25" style="3466" customWidth="1"/>
    <col min="13" max="15" width="12.25" style="3203" customWidth="1"/>
    <col min="16" max="16" width="4.75" style="3334" customWidth="1"/>
    <col min="17" max="17" width="19.5" style="3203" customWidth="1"/>
    <col min="18" max="22" width="6.125" style="3203" customWidth="1"/>
    <col min="23" max="23" width="5.75" style="3203" customWidth="1"/>
    <col min="24" max="24" width="4.25" style="3203" customWidth="1"/>
    <col min="25" max="25" width="3.5" style="3203" customWidth="1"/>
    <col min="26" max="26" width="19.75" style="3203" customWidth="1"/>
    <col min="27" max="28" width="9.375" style="3203" customWidth="1"/>
    <col min="29" max="16384" width="9" style="3203"/>
  </cols>
  <sheetData>
    <row r="1" spans="1:29" s="3183" customFormat="1" ht="28.5" customHeight="1" thickBot="1">
      <c r="A1" s="3170" t="s">
        <v>1660</v>
      </c>
      <c r="B1" s="3171" t="s">
        <v>1661</v>
      </c>
      <c r="C1" s="3172" t="s">
        <v>3419</v>
      </c>
      <c r="D1" s="3173" t="s">
        <v>3401</v>
      </c>
      <c r="E1" s="3174" t="s">
        <v>3420</v>
      </c>
      <c r="F1" s="3175" t="s">
        <v>3421</v>
      </c>
      <c r="G1" s="3176" t="s">
        <v>3422</v>
      </c>
      <c r="H1" s="3177"/>
      <c r="I1" s="3177"/>
      <c r="J1" s="3177"/>
      <c r="K1" s="3178"/>
      <c r="L1" s="3179"/>
      <c r="M1" s="3172"/>
      <c r="N1" s="3172"/>
      <c r="O1" s="3172"/>
      <c r="P1" s="3180"/>
      <c r="Q1" s="3181"/>
      <c r="R1" s="3181"/>
      <c r="S1" s="3181"/>
      <c r="T1" s="3181"/>
      <c r="U1" s="3181"/>
      <c r="V1" s="3181"/>
      <c r="W1" s="3181"/>
      <c r="X1" s="3181"/>
      <c r="Y1" s="3181"/>
      <c r="Z1" s="3181"/>
      <c r="AA1" s="3181"/>
      <c r="AB1" s="3181"/>
      <c r="AC1" s="3182"/>
    </row>
    <row r="2" spans="1:29" s="3192" customFormat="1" ht="28.5" customHeight="1" thickTop="1">
      <c r="A2" s="1138" t="s">
        <v>1934</v>
      </c>
      <c r="B2" s="3184" t="e">
        <f>IF(E1="项目模式",IF(C2="——",ROUND(C49*D3/10000,0),ROUND(C49*D3/10000,0)-D2),IF(E1="单套模式",IF(C2="——",ROUND(C49*D3/10000,4),ROUND(C49*D3/10000,4)-D2)))</f>
        <v>#VALUE!</v>
      </c>
      <c r="C2" s="1737" t="s">
        <v>43</v>
      </c>
      <c r="D2" s="191" t="e">
        <f ca="1">IF(E1="项目模式",SUMIF(INDIRECT("'"&amp;F2&amp;"'"&amp;"!A:A"),"承租人权益价值",INDIRECT("'"&amp;F2&amp;"'"&amp;"!c:c")),SUMIF(INDIRECT("'"&amp;F2&amp;"'"&amp;"!A:A"),"承租人权益价值（单套）",INDIRECT("'"&amp;F2&amp;"'"&amp;"!c:c")))</f>
        <v>#REF!</v>
      </c>
      <c r="E2" s="1738" t="s">
        <v>1935</v>
      </c>
      <c r="F2" s="1739"/>
      <c r="G2" s="3185"/>
      <c r="H2" s="3185"/>
      <c r="I2" s="3185"/>
      <c r="J2" s="3185"/>
      <c r="K2" s="3186"/>
      <c r="L2" s="3187"/>
      <c r="M2" s="3188"/>
      <c r="N2" s="3188"/>
      <c r="O2" s="3188"/>
      <c r="P2" s="3189"/>
      <c r="Q2" s="3190"/>
      <c r="R2" s="3190"/>
      <c r="S2" s="3190"/>
      <c r="T2" s="3190"/>
      <c r="U2" s="3190"/>
      <c r="V2" s="3190"/>
      <c r="W2" s="3190"/>
      <c r="X2" s="3190"/>
      <c r="Y2" s="3190"/>
      <c r="Z2" s="3190"/>
      <c r="AA2" s="3190"/>
      <c r="AB2" s="3190"/>
      <c r="AC2" s="3191"/>
    </row>
    <row r="3" spans="1:29" s="3192" customFormat="1" ht="28.5" customHeight="1" thickBot="1">
      <c r="A3" s="195" t="s">
        <v>1940</v>
      </c>
      <c r="B3" s="196">
        <f>IF(C2="——",C49,ROUND(B2*10000/D3,0))</f>
        <v>23.2</v>
      </c>
      <c r="C3" s="3193" t="s">
        <v>3423</v>
      </c>
      <c r="D3" s="196" t="e">
        <f>IF(D1="",'[3]数据-汇总表'!E3,SUMIF('[3]数据-汇总表'!$C19:$C33,D1,'[3]数据-汇总表'!$E19:$E33))</f>
        <v>#VALUE!</v>
      </c>
      <c r="E3" s="3185"/>
      <c r="F3" s="3194"/>
      <c r="G3" s="3185"/>
      <c r="H3" s="3185"/>
      <c r="I3" s="3185"/>
      <c r="J3" s="3185"/>
      <c r="K3" s="3186"/>
      <c r="L3" s="3187"/>
      <c r="M3" s="3188"/>
      <c r="N3" s="3188"/>
      <c r="O3" s="3188"/>
      <c r="P3" s="3189"/>
      <c r="Q3" s="3190"/>
      <c r="R3" s="3190"/>
      <c r="S3" s="3190"/>
      <c r="T3" s="3190"/>
      <c r="U3" s="3190"/>
      <c r="V3" s="3190"/>
      <c r="W3" s="3190"/>
      <c r="X3" s="3190"/>
      <c r="Y3" s="3190"/>
      <c r="Z3" s="3190"/>
      <c r="AA3" s="3190"/>
      <c r="AB3" s="3190"/>
      <c r="AC3" s="3191"/>
    </row>
    <row r="4" spans="1:29" ht="15">
      <c r="A4" s="3195" t="s">
        <v>1666</v>
      </c>
      <c r="B4" s="3196"/>
      <c r="C4" s="3814" t="s">
        <v>1667</v>
      </c>
      <c r="D4" s="3815"/>
      <c r="E4" s="3816" t="s">
        <v>1668</v>
      </c>
      <c r="F4" s="3817"/>
      <c r="G4" s="3814" t="s">
        <v>1669</v>
      </c>
      <c r="H4" s="3815"/>
      <c r="I4" s="3814" t="s">
        <v>1670</v>
      </c>
      <c r="J4" s="3815"/>
      <c r="K4" s="3198" t="s">
        <v>1671</v>
      </c>
      <c r="L4" s="3199"/>
      <c r="M4" s="3200"/>
      <c r="N4" s="3200"/>
      <c r="O4" s="3200"/>
      <c r="P4" s="3818" t="s">
        <v>1672</v>
      </c>
      <c r="Q4" s="3819"/>
      <c r="R4" s="3824" t="s">
        <v>1668</v>
      </c>
      <c r="S4" s="3825"/>
      <c r="T4" s="3824" t="s">
        <v>1669</v>
      </c>
      <c r="U4" s="3825"/>
      <c r="V4" s="3836" t="s">
        <v>1670</v>
      </c>
      <c r="W4" s="3836"/>
      <c r="X4" s="3202"/>
      <c r="Y4" s="3824" t="s">
        <v>1672</v>
      </c>
      <c r="Z4" s="3825"/>
      <c r="AA4" s="3811" t="s">
        <v>1668</v>
      </c>
      <c r="AB4" s="3811" t="s">
        <v>1669</v>
      </c>
      <c r="AC4" s="3811" t="s">
        <v>1670</v>
      </c>
    </row>
    <row r="5" spans="1:29" ht="15">
      <c r="A5" s="3204"/>
      <c r="B5" s="3205"/>
      <c r="C5" s="3828" t="s">
        <v>3424</v>
      </c>
      <c r="D5" s="3829"/>
      <c r="E5" s="3828" t="str">
        <f>住宅中指数据!A23</f>
        <v>鹿牌家园小区</v>
      </c>
      <c r="F5" s="3829"/>
      <c r="G5" s="3828" t="str">
        <f>[13]Sheet2!Q5</f>
        <v>水厂路</v>
      </c>
      <c r="H5" s="3829"/>
      <c r="I5" s="3828" t="str">
        <f>住宅中指数据!A8</f>
        <v>南口兴隆小区</v>
      </c>
      <c r="J5" s="3829"/>
      <c r="K5" s="3206"/>
      <c r="L5" s="3199"/>
      <c r="M5" s="3200"/>
      <c r="N5" s="3200"/>
      <c r="O5" s="3200"/>
      <c r="P5" s="3820"/>
      <c r="Q5" s="3821"/>
      <c r="R5" s="3826"/>
      <c r="S5" s="3827"/>
      <c r="T5" s="3826"/>
      <c r="U5" s="3827"/>
      <c r="V5" s="3836"/>
      <c r="W5" s="3836"/>
      <c r="X5" s="3202"/>
      <c r="Y5" s="3826"/>
      <c r="Z5" s="3827"/>
      <c r="AA5" s="3812"/>
      <c r="AB5" s="3812"/>
      <c r="AC5" s="3812"/>
    </row>
    <row r="6" spans="1:29" ht="15.75" thickBot="1">
      <c r="A6" s="3207"/>
      <c r="B6" s="3208"/>
      <c r="C6" s="3830" t="s">
        <v>1919</v>
      </c>
      <c r="D6" s="3831"/>
      <c r="E6" s="3832" t="s">
        <v>1919</v>
      </c>
      <c r="F6" s="3833"/>
      <c r="G6" s="3830" t="s">
        <v>1919</v>
      </c>
      <c r="H6" s="3831"/>
      <c r="I6" s="3830" t="s">
        <v>1919</v>
      </c>
      <c r="J6" s="3831"/>
      <c r="K6" s="3206" t="s">
        <v>1678</v>
      </c>
      <c r="L6" s="3199"/>
      <c r="M6" s="3200"/>
      <c r="N6" s="3200"/>
      <c r="O6" s="3200"/>
      <c r="P6" s="3822"/>
      <c r="Q6" s="3823"/>
      <c r="R6" s="3826"/>
      <c r="S6" s="3827"/>
      <c r="T6" s="3834"/>
      <c r="U6" s="3835"/>
      <c r="V6" s="3836"/>
      <c r="W6" s="3836"/>
      <c r="X6" s="3202"/>
      <c r="Y6" s="3834"/>
      <c r="Z6" s="3835"/>
      <c r="AA6" s="3813"/>
      <c r="AB6" s="3813"/>
      <c r="AC6" s="3813"/>
    </row>
    <row r="7" spans="1:29" s="3221" customFormat="1" ht="15.75" thickBot="1">
      <c r="A7" s="3209" t="s">
        <v>1679</v>
      </c>
      <c r="B7" s="3210"/>
      <c r="C7" s="3211">
        <v>45962</v>
      </c>
      <c r="D7" s="3212">
        <v>100</v>
      </c>
      <c r="E7" s="3213">
        <v>45962</v>
      </c>
      <c r="F7" s="3214">
        <f>SUMIF(58:58,YEAR(E7)&amp;"-"&amp;MONTH(E7),59:59)</f>
        <v>100</v>
      </c>
      <c r="G7" s="3213">
        <v>45962</v>
      </c>
      <c r="H7" s="3212">
        <f>SUMIF(58:58,YEAR(G7)&amp;"-"&amp;MONTH(G7),59:59)</f>
        <v>100</v>
      </c>
      <c r="I7" s="3213">
        <v>45962</v>
      </c>
      <c r="J7" s="3212">
        <f>SUMIF(58:58,YEAR(I7)&amp;"-"&amp;MONTH(I7),59:59)</f>
        <v>100</v>
      </c>
      <c r="K7" s="3215"/>
      <c r="L7" s="3216"/>
      <c r="M7" s="3217"/>
      <c r="N7" s="3217"/>
      <c r="O7" s="3217"/>
      <c r="P7" s="3837" t="s">
        <v>1680</v>
      </c>
      <c r="Q7" s="3838"/>
      <c r="R7" s="3218" t="s">
        <v>14</v>
      </c>
      <c r="S7" s="3219">
        <f t="shared" ref="S7:S15" si="0">F7</f>
        <v>100</v>
      </c>
      <c r="T7" s="3218" t="s">
        <v>14</v>
      </c>
      <c r="U7" s="3219">
        <f t="shared" ref="U7:U15" si="1">H7</f>
        <v>100</v>
      </c>
      <c r="V7" s="3218" t="s">
        <v>14</v>
      </c>
      <c r="W7" s="3219">
        <f t="shared" ref="W7:W15" si="2">J7</f>
        <v>100</v>
      </c>
      <c r="X7" s="3220"/>
      <c r="Y7" s="3837" t="s">
        <v>1680</v>
      </c>
      <c r="Z7" s="3839"/>
      <c r="AA7" s="64">
        <f>D7/F7</f>
        <v>1</v>
      </c>
      <c r="AB7" s="64">
        <f>D7/H7</f>
        <v>1</v>
      </c>
      <c r="AC7" s="64">
        <f>D7/J7</f>
        <v>1</v>
      </c>
    </row>
    <row r="8" spans="1:29" s="3221" customFormat="1" ht="15.75" thickBot="1">
      <c r="A8" s="3209" t="s">
        <v>1681</v>
      </c>
      <c r="B8" s="3210"/>
      <c r="C8" s="3222" t="s">
        <v>3425</v>
      </c>
      <c r="D8" s="3212">
        <v>100</v>
      </c>
      <c r="E8" s="3223" t="s">
        <v>3425</v>
      </c>
      <c r="F8" s="3214">
        <f>SUMIF(61:61,E8,62:62)-SUMIF(61:61,C8,62:62)+100</f>
        <v>100</v>
      </c>
      <c r="G8" s="3223" t="s">
        <v>3425</v>
      </c>
      <c r="H8" s="3212">
        <f>SUMIF(61:61,G8,62:62)-SUMIF(61:61,C8,62:62)+100</f>
        <v>100</v>
      </c>
      <c r="I8" s="3223" t="s">
        <v>3425</v>
      </c>
      <c r="J8" s="3212">
        <f>SUMIF(61:61,I8,62:62)-SUMIF(61:61,C8,62:62)+100</f>
        <v>100</v>
      </c>
      <c r="K8" s="3215"/>
      <c r="L8" s="3216"/>
      <c r="M8" s="3217"/>
      <c r="N8" s="3217"/>
      <c r="O8" s="3217"/>
      <c r="P8" s="3837" t="s">
        <v>1683</v>
      </c>
      <c r="Q8" s="3839"/>
      <c r="R8" s="3218" t="s">
        <v>14</v>
      </c>
      <c r="S8" s="3219">
        <f t="shared" si="0"/>
        <v>100</v>
      </c>
      <c r="T8" s="3218" t="s">
        <v>14</v>
      </c>
      <c r="U8" s="3219">
        <f t="shared" si="1"/>
        <v>100</v>
      </c>
      <c r="V8" s="3218" t="s">
        <v>14</v>
      </c>
      <c r="W8" s="3219">
        <f t="shared" si="2"/>
        <v>100</v>
      </c>
      <c r="X8" s="3220"/>
      <c r="Y8" s="3837" t="s">
        <v>1683</v>
      </c>
      <c r="Z8" s="3839"/>
      <c r="AA8" s="64">
        <f t="shared" ref="AA8:AA19" si="3">D8/F8</f>
        <v>1</v>
      </c>
      <c r="AB8" s="64">
        <f t="shared" ref="AB8:AB19" si="4">D8/H8</f>
        <v>1</v>
      </c>
      <c r="AC8" s="64">
        <f t="shared" ref="AC8:AC19" si="5">D8/J8</f>
        <v>1</v>
      </c>
    </row>
    <row r="9" spans="1:29" s="3221" customFormat="1">
      <c r="A9" s="3224" t="s">
        <v>1684</v>
      </c>
      <c r="B9" s="1580" t="s">
        <v>1685</v>
      </c>
      <c r="C9" s="3225" t="s">
        <v>308</v>
      </c>
      <c r="D9" s="3226">
        <v>100</v>
      </c>
      <c r="E9" s="3227" t="s">
        <v>3401</v>
      </c>
      <c r="F9" s="1580">
        <f>SUMIF(63:63,E9,64:64)-SUMIF(63:63,C9,64:64)+100</f>
        <v>100</v>
      </c>
      <c r="G9" s="3227" t="s">
        <v>3401</v>
      </c>
      <c r="H9" s="3226">
        <f>SUMIF(63:63,G9,64:64)-SUMIF(63:63,C9,64:64)+100</f>
        <v>100</v>
      </c>
      <c r="I9" s="3227" t="s">
        <v>3401</v>
      </c>
      <c r="J9" s="3226">
        <f>SUMIF(63:63,I9,64:64)-SUMIF(63:63,C9,64:64)+100</f>
        <v>100</v>
      </c>
      <c r="K9" s="3215"/>
      <c r="L9" s="3216"/>
      <c r="M9" s="3217"/>
      <c r="N9" s="3217"/>
      <c r="O9" s="3217"/>
      <c r="P9" s="3840" t="s">
        <v>1686</v>
      </c>
      <c r="Q9" s="1585" t="str">
        <f t="shared" ref="Q9:Q15" si="6">B9</f>
        <v>用途</v>
      </c>
      <c r="R9" s="3218" t="s">
        <v>14</v>
      </c>
      <c r="S9" s="3219">
        <f t="shared" si="0"/>
        <v>100</v>
      </c>
      <c r="T9" s="3218" t="s">
        <v>14</v>
      </c>
      <c r="U9" s="3219">
        <f t="shared" si="1"/>
        <v>100</v>
      </c>
      <c r="V9" s="3218" t="s">
        <v>14</v>
      </c>
      <c r="W9" s="3219">
        <f t="shared" si="2"/>
        <v>100</v>
      </c>
      <c r="X9" s="3220"/>
      <c r="Y9" s="3841" t="s">
        <v>1687</v>
      </c>
      <c r="Z9" s="64" t="str">
        <f t="shared" ref="Z9:Z15" si="7">Q9</f>
        <v>用途</v>
      </c>
      <c r="AA9" s="64">
        <f t="shared" si="3"/>
        <v>1</v>
      </c>
      <c r="AB9" s="64">
        <f t="shared" si="4"/>
        <v>1</v>
      </c>
      <c r="AC9" s="64">
        <f t="shared" si="5"/>
        <v>1</v>
      </c>
    </row>
    <row r="10" spans="1:29" s="3235" customFormat="1" ht="27">
      <c r="A10" s="3228"/>
      <c r="B10" s="3229" t="s">
        <v>1688</v>
      </c>
      <c r="C10" s="3230"/>
      <c r="D10" s="3231">
        <v>100</v>
      </c>
      <c r="E10" s="3232"/>
      <c r="F10" s="3229">
        <f>SUMIF(65:65,E10,66:66)-SUMIF(65:65,C10,66:66)+100</f>
        <v>100</v>
      </c>
      <c r="G10" s="3230"/>
      <c r="H10" s="3231">
        <f>SUMIF(65:65,G10,66:66)-SUMIF(65:65,C10,66:66)+100</f>
        <v>100</v>
      </c>
      <c r="I10" s="3230"/>
      <c r="J10" s="3231">
        <f>SUMIF(65:65,I10,66:66)-SUMIF(65:65,C10,66:66)+100</f>
        <v>100</v>
      </c>
      <c r="K10" s="3215"/>
      <c r="L10" s="3233"/>
      <c r="M10" s="3234"/>
      <c r="N10" s="3234"/>
      <c r="O10" s="3234"/>
      <c r="P10" s="3840"/>
      <c r="Q10" s="1585" t="str">
        <f t="shared" si="6"/>
        <v>土地使用年限（年）</v>
      </c>
      <c r="R10" s="3218" t="s">
        <v>14</v>
      </c>
      <c r="S10" s="3219">
        <f t="shared" si="0"/>
        <v>100</v>
      </c>
      <c r="T10" s="3218" t="s">
        <v>14</v>
      </c>
      <c r="U10" s="3219">
        <f t="shared" si="1"/>
        <v>100</v>
      </c>
      <c r="V10" s="3218" t="s">
        <v>14</v>
      </c>
      <c r="W10" s="3219">
        <f t="shared" si="2"/>
        <v>100</v>
      </c>
      <c r="X10" s="3220"/>
      <c r="Y10" s="3841"/>
      <c r="Z10" s="64" t="str">
        <f t="shared" si="7"/>
        <v>土地使用年限（年）</v>
      </c>
      <c r="AA10" s="64">
        <f t="shared" si="3"/>
        <v>1</v>
      </c>
      <c r="AB10" s="64">
        <f t="shared" si="4"/>
        <v>1</v>
      </c>
      <c r="AC10" s="64">
        <f t="shared" si="5"/>
        <v>1</v>
      </c>
    </row>
    <row r="11" spans="1:29" ht="15">
      <c r="A11" s="3236"/>
      <c r="B11" s="3229" t="s">
        <v>1689</v>
      </c>
      <c r="C11" s="3237"/>
      <c r="D11" s="3231">
        <v>100</v>
      </c>
      <c r="E11" s="3238"/>
      <c r="F11" s="3229">
        <f>LOOKUP(E11,68:68,69:69)-LOOKUP(C11,68:68,69:69)+100</f>
        <v>100</v>
      </c>
      <c r="G11" s="3237"/>
      <c r="H11" s="3231">
        <f>LOOKUP(G11,68:68,69:69)-LOOKUP(C11,68:68,69:69)+100</f>
        <v>100</v>
      </c>
      <c r="I11" s="3237"/>
      <c r="J11" s="3231">
        <f>LOOKUP(I11,68:68,69:69)-LOOKUP(C11,68:68,69:69)+100</f>
        <v>100</v>
      </c>
      <c r="K11" s="3239"/>
      <c r="L11" s="3240"/>
      <c r="M11" s="3200"/>
      <c r="N11" s="3200"/>
      <c r="O11" s="3200"/>
      <c r="P11" s="3840"/>
      <c r="Q11" s="1585" t="str">
        <f t="shared" si="6"/>
        <v>容积率</v>
      </c>
      <c r="R11" s="3218" t="s">
        <v>14</v>
      </c>
      <c r="S11" s="3219">
        <f t="shared" si="0"/>
        <v>100</v>
      </c>
      <c r="T11" s="3218" t="s">
        <v>14</v>
      </c>
      <c r="U11" s="3219">
        <f t="shared" si="1"/>
        <v>100</v>
      </c>
      <c r="V11" s="3218" t="s">
        <v>14</v>
      </c>
      <c r="W11" s="3219">
        <f t="shared" si="2"/>
        <v>100</v>
      </c>
      <c r="X11" s="3220"/>
      <c r="Y11" s="3841"/>
      <c r="Z11" s="64" t="str">
        <f t="shared" si="7"/>
        <v>容积率</v>
      </c>
      <c r="AA11" s="64">
        <f t="shared" si="3"/>
        <v>1</v>
      </c>
      <c r="AB11" s="64">
        <f t="shared" si="4"/>
        <v>1</v>
      </c>
      <c r="AC11" s="64">
        <f t="shared" si="5"/>
        <v>1</v>
      </c>
    </row>
    <row r="12" spans="1:29" s="3221" customFormat="1" ht="15">
      <c r="A12" s="3241"/>
      <c r="B12" s="3242">
        <v>111</v>
      </c>
      <c r="C12" s="3243"/>
      <c r="D12" s="3244">
        <v>100</v>
      </c>
      <c r="E12" s="3243"/>
      <c r="F12" s="3229">
        <f>SUMIF(70:70,E12,71:71)-SUMIF(70:70,C12,71:71)+100</f>
        <v>100</v>
      </c>
      <c r="G12" s="3243"/>
      <c r="H12" s="3231">
        <f>SUMIF(70:70,G12,71:71)-SUMIF(70:70,C12,71:71)+100</f>
        <v>100</v>
      </c>
      <c r="I12" s="3243"/>
      <c r="J12" s="3231">
        <f>SUMIF(70:70,I12,71:71)-SUMIF(70:70,C12,71:71)+100</f>
        <v>100</v>
      </c>
      <c r="K12" s="3245"/>
      <c r="L12" s="3216"/>
      <c r="M12" s="3217"/>
      <c r="N12" s="3217"/>
      <c r="O12" s="3217"/>
      <c r="P12" s="3840"/>
      <c r="Q12" s="1585">
        <f t="shared" si="6"/>
        <v>111</v>
      </c>
      <c r="R12" s="3218" t="s">
        <v>14</v>
      </c>
      <c r="S12" s="3219">
        <f t="shared" si="0"/>
        <v>100</v>
      </c>
      <c r="T12" s="3218" t="s">
        <v>14</v>
      </c>
      <c r="U12" s="3219">
        <f t="shared" si="1"/>
        <v>100</v>
      </c>
      <c r="V12" s="3218" t="s">
        <v>14</v>
      </c>
      <c r="W12" s="3219">
        <f t="shared" si="2"/>
        <v>100</v>
      </c>
      <c r="X12" s="3220"/>
      <c r="Y12" s="3841"/>
      <c r="Z12" s="64">
        <f t="shared" si="7"/>
        <v>111</v>
      </c>
      <c r="AA12" s="64">
        <f>D12/F12</f>
        <v>1</v>
      </c>
      <c r="AB12" s="64">
        <f>D12/H12</f>
        <v>1</v>
      </c>
      <c r="AC12" s="64">
        <f>D12/J12</f>
        <v>1</v>
      </c>
    </row>
    <row r="13" spans="1:29" ht="15">
      <c r="A13" s="3236"/>
      <c r="B13" s="3242">
        <v>111</v>
      </c>
      <c r="C13" s="3246"/>
      <c r="D13" s="3247">
        <v>100</v>
      </c>
      <c r="E13" s="3246"/>
      <c r="F13" s="3229">
        <f>SUMIF(72:72,E13,73:73)-SUMIF(72:72,C13,73:73)+100</f>
        <v>100</v>
      </c>
      <c r="G13" s="3246"/>
      <c r="H13" s="3247">
        <f>SUMIF(72:72,G13,73:73)-SUMIF(72:72,C13,73:73)+100</f>
        <v>100</v>
      </c>
      <c r="I13" s="3246"/>
      <c r="J13" s="3247">
        <f>SUMIF(72:72,I13,73:73)-SUMIF(72:72,C13,73:73)+100</f>
        <v>100</v>
      </c>
      <c r="K13" s="3245"/>
      <c r="L13" s="3248"/>
      <c r="M13" s="3200"/>
      <c r="N13" s="3200"/>
      <c r="O13" s="3200"/>
      <c r="P13" s="3840"/>
      <c r="Q13" s="1585">
        <f t="shared" si="6"/>
        <v>111</v>
      </c>
      <c r="R13" s="3218" t="s">
        <v>14</v>
      </c>
      <c r="S13" s="3219">
        <f t="shared" si="0"/>
        <v>100</v>
      </c>
      <c r="T13" s="3218" t="s">
        <v>14</v>
      </c>
      <c r="U13" s="3219">
        <f t="shared" si="1"/>
        <v>100</v>
      </c>
      <c r="V13" s="3218" t="s">
        <v>14</v>
      </c>
      <c r="W13" s="3219">
        <f t="shared" si="2"/>
        <v>100</v>
      </c>
      <c r="X13" s="3220"/>
      <c r="Y13" s="3841"/>
      <c r="Z13" s="64">
        <f t="shared" si="7"/>
        <v>111</v>
      </c>
      <c r="AA13" s="64">
        <f t="shared" si="3"/>
        <v>1</v>
      </c>
      <c r="AB13" s="64">
        <f t="shared" si="4"/>
        <v>1</v>
      </c>
      <c r="AC13" s="64">
        <f t="shared" si="5"/>
        <v>1</v>
      </c>
    </row>
    <row r="14" spans="1:29" ht="15.75" thickBot="1">
      <c r="A14" s="3249"/>
      <c r="B14" s="3250">
        <v>111</v>
      </c>
      <c r="C14" s="3251"/>
      <c r="D14" s="3252">
        <v>100</v>
      </c>
      <c r="E14" s="3251"/>
      <c r="F14" s="3253">
        <f>SUMIF(74:74,E14,75:75)-SUMIF(74:74,C14,75:75)+100</f>
        <v>100</v>
      </c>
      <c r="G14" s="3251"/>
      <c r="H14" s="3252">
        <f>SUMIF(74:74,G14,75:75)-SUMIF(74:74,C14,75:75)+100</f>
        <v>100</v>
      </c>
      <c r="I14" s="3251"/>
      <c r="J14" s="3252">
        <f>SUMIF(74:74,I14,75:75)-SUMIF(74:74,C14,75:75)+100</f>
        <v>100</v>
      </c>
      <c r="K14" s="3245"/>
      <c r="L14" s="3248"/>
      <c r="M14" s="3200"/>
      <c r="N14" s="3200"/>
      <c r="O14" s="3200"/>
      <c r="P14" s="3840"/>
      <c r="Q14" s="1585">
        <f t="shared" si="6"/>
        <v>111</v>
      </c>
      <c r="R14" s="3218" t="s">
        <v>14</v>
      </c>
      <c r="S14" s="3219">
        <f t="shared" si="0"/>
        <v>100</v>
      </c>
      <c r="T14" s="3218" t="s">
        <v>14</v>
      </c>
      <c r="U14" s="3219">
        <f t="shared" si="1"/>
        <v>100</v>
      </c>
      <c r="V14" s="3218" t="s">
        <v>14</v>
      </c>
      <c r="W14" s="3219">
        <f t="shared" si="2"/>
        <v>100</v>
      </c>
      <c r="X14" s="3220"/>
      <c r="Y14" s="3841"/>
      <c r="Z14" s="64">
        <f t="shared" si="7"/>
        <v>111</v>
      </c>
      <c r="AA14" s="64">
        <f t="shared" si="3"/>
        <v>1</v>
      </c>
      <c r="AB14" s="64">
        <f t="shared" si="4"/>
        <v>1</v>
      </c>
      <c r="AC14" s="64">
        <f t="shared" si="5"/>
        <v>1</v>
      </c>
    </row>
    <row r="15" spans="1:29" ht="48" customHeight="1">
      <c r="A15" s="3254" t="s">
        <v>1690</v>
      </c>
      <c r="B15" s="3255" t="s">
        <v>1257</v>
      </c>
      <c r="C15" s="3256" t="str">
        <f>[3]估价对象房地状况!C3</f>
        <v>估价对象周边有CBD玲珑墅、朗悦家园、朝丰家园等住宅小区，居住社区发展完善程度较高，居住社区成熟度较好。</v>
      </c>
      <c r="D15" s="3257">
        <v>100</v>
      </c>
      <c r="E15" s="3258"/>
      <c r="F15" s="3257">
        <f>SUMIF(76:76,E16,77:77)-SUMIF(76:76,C16,77:77)+100</f>
        <v>100</v>
      </c>
      <c r="G15" s="3259"/>
      <c r="H15" s="3257">
        <f>SUMIF(76:76,G16,77:77)-SUMIF(76:76,C16,77:77)+100</f>
        <v>100</v>
      </c>
      <c r="I15" s="3259"/>
      <c r="J15" s="3257">
        <f>SUMIF(76:76,I16,77:77)-SUMIF(76:76,C16,77:77)+100</f>
        <v>100</v>
      </c>
      <c r="K15" s="3260"/>
      <c r="L15" s="3248"/>
      <c r="M15" s="3200"/>
      <c r="N15" s="3200"/>
      <c r="O15" s="3200"/>
      <c r="P15" s="3842" t="s">
        <v>1691</v>
      </c>
      <c r="Q15" s="3262" t="str">
        <f t="shared" si="6"/>
        <v>居住社区成熟度</v>
      </c>
      <c r="R15" s="3263" t="s">
        <v>14</v>
      </c>
      <c r="S15" s="3264">
        <f t="shared" si="0"/>
        <v>100</v>
      </c>
      <c r="T15" s="3263" t="s">
        <v>14</v>
      </c>
      <c r="U15" s="3264">
        <f t="shared" si="1"/>
        <v>100</v>
      </c>
      <c r="V15" s="3263" t="s">
        <v>14</v>
      </c>
      <c r="W15" s="3264">
        <f t="shared" si="2"/>
        <v>100</v>
      </c>
      <c r="X15" s="3202"/>
      <c r="Y15" s="3844" t="s">
        <v>1691</v>
      </c>
      <c r="Z15" s="3201" t="str">
        <f t="shared" si="7"/>
        <v>居住社区成熟度</v>
      </c>
      <c r="AA15" s="3201">
        <f t="shared" si="3"/>
        <v>1</v>
      </c>
      <c r="AB15" s="3201">
        <f t="shared" si="4"/>
        <v>1</v>
      </c>
      <c r="AC15" s="3201">
        <f t="shared" si="5"/>
        <v>1</v>
      </c>
    </row>
    <row r="16" spans="1:29" ht="15">
      <c r="A16" s="3236"/>
      <c r="B16" s="3265"/>
      <c r="C16" s="3591" t="s">
        <v>3638</v>
      </c>
      <c r="D16" s="3266"/>
      <c r="E16" s="3591" t="s">
        <v>3638</v>
      </c>
      <c r="F16" s="3266"/>
      <c r="G16" s="3591" t="s">
        <v>3638</v>
      </c>
      <c r="H16" s="3267"/>
      <c r="I16" s="3591" t="s">
        <v>3638</v>
      </c>
      <c r="J16" s="3266"/>
      <c r="K16" s="3268"/>
      <c r="L16" s="3248"/>
      <c r="M16" s="3200"/>
      <c r="N16" s="3200"/>
      <c r="O16" s="3200"/>
      <c r="P16" s="3843"/>
      <c r="Q16" s="3262"/>
      <c r="R16" s="3263"/>
      <c r="S16" s="3264"/>
      <c r="T16" s="3263"/>
      <c r="U16" s="3264"/>
      <c r="V16" s="3263"/>
      <c r="W16" s="3264"/>
      <c r="X16" s="3202"/>
      <c r="Y16" s="3845"/>
      <c r="Z16" s="3201"/>
      <c r="AA16" s="3201">
        <v>1</v>
      </c>
      <c r="AB16" s="3201">
        <v>1</v>
      </c>
      <c r="AC16" s="3201">
        <v>1</v>
      </c>
    </row>
    <row r="17" spans="1:29" ht="50.25" customHeight="1">
      <c r="A17" s="3236"/>
      <c r="B17" s="3270" t="s">
        <v>1259</v>
      </c>
      <c r="C17" s="3261" t="str">
        <f>[3]估价对象房地状况!C6</f>
        <v>估价对象距离地铁7号线郎辛庄站约100米，周边有411路、457路、专170、专171等公交通过并设站，综合评价交通便捷度较好。</v>
      </c>
      <c r="D17" s="3267">
        <v>100</v>
      </c>
      <c r="E17" s="3271"/>
      <c r="F17" s="3267">
        <f>SUMIF(78:78,E18,79:79)-SUMIF(78:78,C18,79:79)+100</f>
        <v>100</v>
      </c>
      <c r="G17" s="3272"/>
      <c r="H17" s="3273">
        <f>SUMIF(78:78,G18,79:79)-SUMIF(78:78,C18,79:79)+100</f>
        <v>100</v>
      </c>
      <c r="I17" s="3272"/>
      <c r="J17" s="3273">
        <f>SUMIF(78:78,I18,79:79)-SUMIF(78:78,C18,79:79)+100</f>
        <v>100</v>
      </c>
      <c r="K17" s="3260"/>
      <c r="L17" s="3248"/>
      <c r="M17" s="3200"/>
      <c r="N17" s="3200"/>
      <c r="O17" s="3200"/>
      <c r="P17" s="3843"/>
      <c r="Q17" s="3262" t="str">
        <f>B17</f>
        <v>交通便捷度</v>
      </c>
      <c r="R17" s="3263" t="s">
        <v>14</v>
      </c>
      <c r="S17" s="3264">
        <f>F17</f>
        <v>100</v>
      </c>
      <c r="T17" s="3263" t="s">
        <v>14</v>
      </c>
      <c r="U17" s="3264">
        <f>H17</f>
        <v>100</v>
      </c>
      <c r="V17" s="3263" t="s">
        <v>14</v>
      </c>
      <c r="W17" s="3264">
        <f>J17</f>
        <v>100</v>
      </c>
      <c r="X17" s="3202"/>
      <c r="Y17" s="3845"/>
      <c r="Z17" s="3201" t="str">
        <f>Q17</f>
        <v>交通便捷度</v>
      </c>
      <c r="AA17" s="3201">
        <f t="shared" si="3"/>
        <v>1</v>
      </c>
      <c r="AB17" s="3201">
        <f t="shared" si="4"/>
        <v>1</v>
      </c>
      <c r="AC17" s="3201">
        <f t="shared" si="5"/>
        <v>1</v>
      </c>
    </row>
    <row r="18" spans="1:29" ht="15">
      <c r="A18" s="3236"/>
      <c r="B18" s="3274"/>
      <c r="C18" s="3591" t="s">
        <v>3638</v>
      </c>
      <c r="D18" s="3267"/>
      <c r="E18" s="3591" t="s">
        <v>3638</v>
      </c>
      <c r="F18" s="3267"/>
      <c r="G18" s="3591" t="s">
        <v>3638</v>
      </c>
      <c r="H18" s="3266"/>
      <c r="I18" s="3591" t="s">
        <v>3638</v>
      </c>
      <c r="J18" s="3266"/>
      <c r="K18" s="3268"/>
      <c r="L18" s="3248"/>
      <c r="M18" s="3200"/>
      <c r="N18" s="3200"/>
      <c r="O18" s="3200"/>
      <c r="P18" s="3843"/>
      <c r="Q18" s="3262"/>
      <c r="R18" s="3263"/>
      <c r="S18" s="3264"/>
      <c r="T18" s="3263"/>
      <c r="U18" s="3264"/>
      <c r="V18" s="3263"/>
      <c r="W18" s="3264"/>
      <c r="X18" s="3202"/>
      <c r="Y18" s="3845"/>
      <c r="Z18" s="3201"/>
      <c r="AA18" s="3201">
        <v>1</v>
      </c>
      <c r="AB18" s="3201">
        <v>1</v>
      </c>
      <c r="AC18" s="3201">
        <v>1</v>
      </c>
    </row>
    <row r="19" spans="1:29" ht="28.5" customHeight="1">
      <c r="A19" s="3236"/>
      <c r="B19" s="3270" t="s">
        <v>1727</v>
      </c>
      <c r="C19" s="3261" t="str">
        <f>[3]估价对象房地状况!C7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273">
        <v>100</v>
      </c>
      <c r="E19" s="3276"/>
      <c r="F19" s="3273">
        <f>SUMIF(80:80,E20,81:81)-SUMIF(80:80,C20,81:81)+100</f>
        <v>100</v>
      </c>
      <c r="G19" s="3277"/>
      <c r="H19" s="3267">
        <f>SUMIF(80:80,G20,81:81)-SUMIF(80:80,C20,81:81)+100</f>
        <v>100</v>
      </c>
      <c r="I19" s="3277"/>
      <c r="J19" s="3267">
        <f>SUMIF(80:80,I20,81:81)-SUMIF(80:80,C20,81:81)+100</f>
        <v>100</v>
      </c>
      <c r="K19" s="3260"/>
      <c r="L19" s="3248"/>
      <c r="M19" s="3200"/>
      <c r="N19" s="3200"/>
      <c r="O19" s="3200"/>
      <c r="P19" s="3843"/>
      <c r="Q19" s="3262" t="str">
        <f>B19</f>
        <v>公共配套设施</v>
      </c>
      <c r="R19" s="3263" t="s">
        <v>14</v>
      </c>
      <c r="S19" s="3264">
        <f>F19</f>
        <v>100</v>
      </c>
      <c r="T19" s="3263" t="s">
        <v>14</v>
      </c>
      <c r="U19" s="3264">
        <f>H19</f>
        <v>100</v>
      </c>
      <c r="V19" s="3263" t="s">
        <v>14</v>
      </c>
      <c r="W19" s="3264">
        <f>J19</f>
        <v>100</v>
      </c>
      <c r="X19" s="3202"/>
      <c r="Y19" s="3845"/>
      <c r="Z19" s="3201" t="str">
        <f>Q19</f>
        <v>公共配套设施</v>
      </c>
      <c r="AA19" s="3201">
        <f t="shared" si="3"/>
        <v>1</v>
      </c>
      <c r="AB19" s="3201">
        <f t="shared" si="4"/>
        <v>1</v>
      </c>
      <c r="AC19" s="3201">
        <f t="shared" si="5"/>
        <v>1</v>
      </c>
    </row>
    <row r="20" spans="1:29" ht="15">
      <c r="A20" s="3236"/>
      <c r="B20" s="3274"/>
      <c r="C20" s="3591" t="s">
        <v>3638</v>
      </c>
      <c r="D20" s="3266"/>
      <c r="E20" s="3591" t="s">
        <v>3638</v>
      </c>
      <c r="F20" s="3266"/>
      <c r="G20" s="3591" t="s">
        <v>3638</v>
      </c>
      <c r="H20" s="3266"/>
      <c r="I20" s="3591" t="s">
        <v>3638</v>
      </c>
      <c r="J20" s="3266"/>
      <c r="K20" s="3268"/>
      <c r="L20" s="3248"/>
      <c r="M20" s="3200"/>
      <c r="N20" s="3200"/>
      <c r="O20" s="3200"/>
      <c r="P20" s="3843"/>
      <c r="Q20" s="3262"/>
      <c r="R20" s="3263"/>
      <c r="S20" s="3264"/>
      <c r="T20" s="3263"/>
      <c r="U20" s="3264"/>
      <c r="V20" s="3263"/>
      <c r="W20" s="3264"/>
      <c r="X20" s="3202"/>
      <c r="Y20" s="3845"/>
      <c r="Z20" s="3201"/>
      <c r="AA20" s="3201">
        <v>1</v>
      </c>
      <c r="AB20" s="3201">
        <v>1</v>
      </c>
      <c r="AC20" s="3201">
        <v>1</v>
      </c>
    </row>
    <row r="21" spans="1:29" ht="28.5">
      <c r="A21" s="3236"/>
      <c r="B21" s="3278" t="s">
        <v>3427</v>
      </c>
      <c r="C21" s="3261" t="str">
        <f>[3]估价对象房地状况!C8</f>
        <v>估价对象所在区域基础设施水平</v>
      </c>
      <c r="D21" s="3267">
        <v>100</v>
      </c>
      <c r="E21" s="3276"/>
      <c r="F21" s="3273">
        <f>SUMIF(82:82,E22,83:83)-SUMIF(82:82,C22,83:83)+100</f>
        <v>100</v>
      </c>
      <c r="G21" s="3277"/>
      <c r="H21" s="3267">
        <f>SUMIF(82:82,G22,83:83)-SUMIF(82:82,C22,83:83)+100</f>
        <v>100</v>
      </c>
      <c r="I21" s="3277"/>
      <c r="J21" s="3267">
        <f>SUMIF(82:82,I22,83:83)-SUMIF(82:82,C22,83:83)+100</f>
        <v>100</v>
      </c>
      <c r="K21" s="3260"/>
      <c r="L21" s="3248"/>
      <c r="M21" s="3200"/>
      <c r="N21" s="3200"/>
      <c r="O21" s="3200"/>
      <c r="P21" s="3843"/>
      <c r="Q21" s="3262" t="str">
        <f>B21</f>
        <v>基础设施水平</v>
      </c>
      <c r="R21" s="3263" t="s">
        <v>14</v>
      </c>
      <c r="S21" s="3264">
        <f>F21</f>
        <v>100</v>
      </c>
      <c r="T21" s="3263" t="s">
        <v>14</v>
      </c>
      <c r="U21" s="3264">
        <f>H21</f>
        <v>100</v>
      </c>
      <c r="V21" s="3263" t="s">
        <v>14</v>
      </c>
      <c r="W21" s="3264">
        <f>J21</f>
        <v>100</v>
      </c>
      <c r="X21" s="3202"/>
      <c r="Y21" s="3845"/>
      <c r="Z21" s="3201" t="str">
        <f>Q21</f>
        <v>基础设施水平</v>
      </c>
      <c r="AA21" s="3201">
        <f t="shared" ref="AA21" si="8">D21/F21</f>
        <v>1</v>
      </c>
      <c r="AB21" s="3201">
        <f t="shared" ref="AB21" si="9">D21/H21</f>
        <v>1</v>
      </c>
      <c r="AC21" s="3201">
        <f t="shared" ref="AC21" si="10">D21/J21</f>
        <v>1</v>
      </c>
    </row>
    <row r="22" spans="1:29" ht="15">
      <c r="A22" s="3236"/>
      <c r="B22" s="3278"/>
      <c r="C22" s="3275" t="s">
        <v>3428</v>
      </c>
      <c r="D22" s="3266"/>
      <c r="E22" s="3275" t="s">
        <v>3428</v>
      </c>
      <c r="F22" s="3266"/>
      <c r="G22" s="3275" t="s">
        <v>3428</v>
      </c>
      <c r="H22" s="3266"/>
      <c r="I22" s="3275" t="s">
        <v>3428</v>
      </c>
      <c r="J22" s="3266"/>
      <c r="K22" s="3279"/>
      <c r="L22" s="3248"/>
      <c r="M22" s="3200"/>
      <c r="N22" s="3200"/>
      <c r="O22" s="3200"/>
      <c r="P22" s="3843"/>
      <c r="Q22" s="3262"/>
      <c r="R22" s="3263"/>
      <c r="S22" s="3264"/>
      <c r="T22" s="3263"/>
      <c r="U22" s="3264"/>
      <c r="V22" s="3263"/>
      <c r="W22" s="3264"/>
      <c r="X22" s="3202"/>
      <c r="Y22" s="3845"/>
      <c r="Z22" s="3201"/>
      <c r="AA22" s="3201">
        <v>1</v>
      </c>
      <c r="AB22" s="3201">
        <v>1</v>
      </c>
      <c r="AC22" s="3201">
        <v>1</v>
      </c>
    </row>
    <row r="23" spans="1:29" ht="39.75" customHeight="1">
      <c r="A23" s="3236"/>
      <c r="B23" s="3270" t="s">
        <v>1261</v>
      </c>
      <c r="C23" s="3261" t="str">
        <f>[3]估价对象房地状况!C9</f>
        <v>周边有通惠河灌渠、马家湾湿地公园、聿博文体公园等自然人文环境，综合评价环境状况较好。</v>
      </c>
      <c r="D23" s="3267">
        <v>100</v>
      </c>
      <c r="E23" s="3271"/>
      <c r="F23" s="3267">
        <f>SUMIF(84:84,E24,85:85)-SUMIF(84:84,C24,85:85)+100</f>
        <v>100</v>
      </c>
      <c r="G23" s="3272"/>
      <c r="H23" s="3267">
        <f>SUMIF(84:84,G24,85:85)-SUMIF(84:84,C24,85:85)+100</f>
        <v>100</v>
      </c>
      <c r="I23" s="3272"/>
      <c r="J23" s="3267">
        <f>SUMIF(84:84,I24,85:85)-SUMIF(84:84,C24,85:85)+100</f>
        <v>100</v>
      </c>
      <c r="K23" s="3260"/>
      <c r="L23" s="3248"/>
      <c r="M23" s="3200">
        <v>26.4</v>
      </c>
      <c r="N23" s="3200"/>
      <c r="O23" s="3200"/>
      <c r="P23" s="3843"/>
      <c r="Q23" s="3262" t="str">
        <f>B23</f>
        <v>自然及人文环境</v>
      </c>
      <c r="R23" s="3263" t="s">
        <v>14</v>
      </c>
      <c r="S23" s="3264">
        <f>F23</f>
        <v>100</v>
      </c>
      <c r="T23" s="3263" t="s">
        <v>14</v>
      </c>
      <c r="U23" s="3264">
        <f>H23</f>
        <v>100</v>
      </c>
      <c r="V23" s="3263" t="s">
        <v>14</v>
      </c>
      <c r="W23" s="3264">
        <f>J23</f>
        <v>100</v>
      </c>
      <c r="X23" s="3202"/>
      <c r="Y23" s="3845"/>
      <c r="Z23" s="3201" t="str">
        <f>Q23</f>
        <v>自然及人文环境</v>
      </c>
      <c r="AA23" s="3201">
        <f>D23/F23</f>
        <v>1</v>
      </c>
      <c r="AB23" s="3201">
        <f>D23/H23</f>
        <v>1</v>
      </c>
      <c r="AC23" s="3201">
        <f>D23/J23</f>
        <v>1</v>
      </c>
    </row>
    <row r="24" spans="1:29" ht="15">
      <c r="A24" s="3236"/>
      <c r="B24" s="3274"/>
      <c r="C24" s="3591" t="s">
        <v>3638</v>
      </c>
      <c r="D24" s="3266"/>
      <c r="E24" s="3591" t="s">
        <v>3638</v>
      </c>
      <c r="F24" s="3266"/>
      <c r="G24" s="3591" t="s">
        <v>3638</v>
      </c>
      <c r="H24" s="3266"/>
      <c r="I24" s="3591" t="s">
        <v>3638</v>
      </c>
      <c r="J24" s="3266"/>
      <c r="K24" s="3268"/>
      <c r="L24" s="3248"/>
      <c r="M24" s="3200">
        <f>(M23-C48)/C48</f>
        <v>0.13793103448275859</v>
      </c>
      <c r="N24" s="3200"/>
      <c r="O24" s="3200"/>
      <c r="P24" s="3843"/>
      <c r="Q24" s="3262"/>
      <c r="R24" s="3263"/>
      <c r="S24" s="3264"/>
      <c r="T24" s="3263"/>
      <c r="U24" s="3264"/>
      <c r="V24" s="3263"/>
      <c r="W24" s="3264"/>
      <c r="X24" s="3202"/>
      <c r="Y24" s="3845"/>
      <c r="Z24" s="3201"/>
      <c r="AA24" s="3201">
        <v>1</v>
      </c>
      <c r="AB24" s="3201">
        <v>1</v>
      </c>
      <c r="AC24" s="3201">
        <v>1</v>
      </c>
    </row>
    <row r="25" spans="1:29" ht="15">
      <c r="A25" s="3236"/>
      <c r="B25" s="3229" t="s">
        <v>1734</v>
      </c>
      <c r="C25" s="3280"/>
      <c r="D25" s="3247">
        <v>100</v>
      </c>
      <c r="E25" s="3281"/>
      <c r="F25" s="3247">
        <f>SUMIF(86:86,E25,87:87)-SUMIF(86:86,C25,87:87)+100</f>
        <v>100</v>
      </c>
      <c r="G25" s="3282"/>
      <c r="H25" s="3247">
        <f>SUMIF(86:86,G25,87:87)-SUMIF(86:86,C25,87:87)+100</f>
        <v>100</v>
      </c>
      <c r="I25" s="3282"/>
      <c r="J25" s="3247">
        <f>SUMIF(86:86,I25,87:87)-SUMIF(86:86,C25,87:87)+100</f>
        <v>100</v>
      </c>
      <c r="K25" s="3239"/>
      <c r="L25" s="3248"/>
      <c r="M25" s="3200"/>
      <c r="N25" s="3200"/>
      <c r="O25" s="3200"/>
      <c r="P25" s="3843"/>
      <c r="Q25" s="3262" t="str">
        <f t="shared" ref="Q25:Q46" si="11">B25</f>
        <v>楼层-1</v>
      </c>
      <c r="R25" s="3263" t="s">
        <v>14</v>
      </c>
      <c r="S25" s="3264">
        <f t="shared" ref="S25:S46" si="12">F25</f>
        <v>100</v>
      </c>
      <c r="T25" s="3263" t="s">
        <v>14</v>
      </c>
      <c r="U25" s="3264">
        <f t="shared" ref="U25:U46" si="13">H25</f>
        <v>100</v>
      </c>
      <c r="V25" s="3263" t="s">
        <v>14</v>
      </c>
      <c r="W25" s="3264">
        <f t="shared" ref="W25:W46" si="14">J25</f>
        <v>100</v>
      </c>
      <c r="X25" s="3202"/>
      <c r="Y25" s="3845"/>
      <c r="Z25" s="3201" t="str">
        <f>Q25</f>
        <v>楼层-1</v>
      </c>
      <c r="AA25" s="3201">
        <f t="shared" ref="AA25:AA46" si="15">D25/F25</f>
        <v>1</v>
      </c>
      <c r="AB25" s="3201">
        <f t="shared" ref="AB25:AB46" si="16">D25/H25</f>
        <v>1</v>
      </c>
      <c r="AC25" s="3201">
        <f t="shared" ref="AC25:AC46" si="17">D25/J25</f>
        <v>1</v>
      </c>
    </row>
    <row r="26" spans="1:29" ht="15">
      <c r="A26" s="3236"/>
      <c r="B26" s="3229" t="s">
        <v>1693</v>
      </c>
      <c r="C26" s="3280" t="s">
        <v>3429</v>
      </c>
      <c r="D26" s="3247">
        <v>100</v>
      </c>
      <c r="E26" s="3280" t="s">
        <v>3429</v>
      </c>
      <c r="F26" s="3247">
        <f>SUMIF(88:88,E26,89:89)-SUMIF(88:88,C26,89:89)+100</f>
        <v>100</v>
      </c>
      <c r="G26" s="3280" t="s">
        <v>3429</v>
      </c>
      <c r="H26" s="3247">
        <f>SUMIF(88:88,G26,89:89)-SUMIF(88:88,C26,89:89)+100</f>
        <v>100</v>
      </c>
      <c r="I26" s="3280" t="s">
        <v>3429</v>
      </c>
      <c r="J26" s="3247">
        <f>SUMIF(88:88,I26,89:89)-SUMIF(88:88,C26,89:89)+100</f>
        <v>100</v>
      </c>
      <c r="K26" s="3239"/>
      <c r="L26" s="3248"/>
      <c r="M26" s="3200"/>
      <c r="N26" s="3200"/>
      <c r="O26" s="3200"/>
      <c r="P26" s="3843"/>
      <c r="Q26" s="3262" t="str">
        <f t="shared" si="11"/>
        <v>朝向</v>
      </c>
      <c r="R26" s="3263" t="s">
        <v>14</v>
      </c>
      <c r="S26" s="3264">
        <f t="shared" si="12"/>
        <v>100</v>
      </c>
      <c r="T26" s="3263" t="s">
        <v>14</v>
      </c>
      <c r="U26" s="3264">
        <f t="shared" si="13"/>
        <v>100</v>
      </c>
      <c r="V26" s="3263" t="s">
        <v>14</v>
      </c>
      <c r="W26" s="3264">
        <f t="shared" si="14"/>
        <v>100</v>
      </c>
      <c r="X26" s="3202"/>
      <c r="Y26" s="3845"/>
      <c r="Z26" s="3201" t="str">
        <f>Q26</f>
        <v>朝向</v>
      </c>
      <c r="AA26" s="3201">
        <f t="shared" si="15"/>
        <v>1</v>
      </c>
      <c r="AB26" s="3201">
        <f t="shared" si="16"/>
        <v>1</v>
      </c>
      <c r="AC26" s="3201">
        <f t="shared" si="17"/>
        <v>1</v>
      </c>
    </row>
    <row r="27" spans="1:29" s="3221" customFormat="1" ht="15">
      <c r="A27" s="3241"/>
      <c r="B27" s="3283">
        <v>111</v>
      </c>
      <c r="C27" s="3243"/>
      <c r="D27" s="3284">
        <v>100</v>
      </c>
      <c r="E27" s="3285"/>
      <c r="F27" s="3284">
        <f>SUMIF(90:90,E27,91:91)-SUMIF(90:90,C27,91:91)+100</f>
        <v>100</v>
      </c>
      <c r="G27" s="3286"/>
      <c r="H27" s="3284">
        <f>SUMIF(90:90,G27,91:91)-SUMIF(90:90,C27,91:91)+100</f>
        <v>100</v>
      </c>
      <c r="I27" s="3286"/>
      <c r="J27" s="3284">
        <f>SUMIF(90:90,I27,91:91)-SUMIF(90:90,C27,91:91)+100</f>
        <v>100</v>
      </c>
      <c r="K27" s="3245"/>
      <c r="L27" s="3216"/>
      <c r="M27" s="3217"/>
      <c r="N27" s="3217"/>
      <c r="O27" s="3217"/>
      <c r="P27" s="3843"/>
      <c r="Q27" s="1585">
        <f t="shared" si="11"/>
        <v>111</v>
      </c>
      <c r="R27" s="3218" t="s">
        <v>14</v>
      </c>
      <c r="S27" s="3219">
        <f t="shared" si="12"/>
        <v>100</v>
      </c>
      <c r="T27" s="3218" t="s">
        <v>14</v>
      </c>
      <c r="U27" s="3219">
        <f t="shared" si="13"/>
        <v>100</v>
      </c>
      <c r="V27" s="3218" t="s">
        <v>14</v>
      </c>
      <c r="W27" s="3219">
        <f t="shared" si="14"/>
        <v>100</v>
      </c>
      <c r="X27" s="3220"/>
      <c r="Y27" s="3845"/>
      <c r="Z27" s="64">
        <f>Q27</f>
        <v>111</v>
      </c>
      <c r="AA27" s="3201">
        <f t="shared" si="15"/>
        <v>1</v>
      </c>
      <c r="AB27" s="3201">
        <f t="shared" si="16"/>
        <v>1</v>
      </c>
      <c r="AC27" s="3201">
        <f t="shared" si="17"/>
        <v>1</v>
      </c>
    </row>
    <row r="28" spans="1:29" ht="15" hidden="1">
      <c r="A28" s="3236"/>
      <c r="B28" s="3283">
        <v>111</v>
      </c>
      <c r="C28" s="3246"/>
      <c r="D28" s="3247">
        <v>100</v>
      </c>
      <c r="E28" s="3246"/>
      <c r="F28" s="3247">
        <f>SUMIF(92:92,E28,93:93)-SUMIF(92:92,C28,93:93)+100</f>
        <v>100</v>
      </c>
      <c r="G28" s="3287"/>
      <c r="H28" s="3247">
        <f>SUMIF(92:92,G28,93:93)-SUMIF(92:92,C28,93:93)+100</f>
        <v>100</v>
      </c>
      <c r="I28" s="3246"/>
      <c r="J28" s="3247">
        <f>SUMIF(92:92,I28,93:93)-SUMIF(92:92,C28,93:93)+100</f>
        <v>100</v>
      </c>
      <c r="K28" s="3245"/>
      <c r="L28" s="3248"/>
      <c r="M28" s="3200"/>
      <c r="N28" s="3200"/>
      <c r="O28" s="3200"/>
      <c r="P28" s="3843"/>
      <c r="Q28" s="3262">
        <f t="shared" si="11"/>
        <v>111</v>
      </c>
      <c r="R28" s="3263" t="s">
        <v>14</v>
      </c>
      <c r="S28" s="3264">
        <f t="shared" si="12"/>
        <v>100</v>
      </c>
      <c r="T28" s="3263" t="s">
        <v>14</v>
      </c>
      <c r="U28" s="3264">
        <f t="shared" si="13"/>
        <v>100</v>
      </c>
      <c r="V28" s="3263" t="s">
        <v>14</v>
      </c>
      <c r="W28" s="3264">
        <f t="shared" si="14"/>
        <v>100</v>
      </c>
      <c r="X28" s="3202"/>
      <c r="Y28" s="3845"/>
      <c r="Z28" s="3201">
        <f t="shared" ref="Z28:Z46" si="18">Q28</f>
        <v>111</v>
      </c>
      <c r="AA28" s="3201">
        <f t="shared" si="15"/>
        <v>1</v>
      </c>
      <c r="AB28" s="3201">
        <f t="shared" si="16"/>
        <v>1</v>
      </c>
      <c r="AC28" s="3201">
        <f t="shared" si="17"/>
        <v>1</v>
      </c>
    </row>
    <row r="29" spans="1:29" ht="15" hidden="1">
      <c r="A29" s="3236"/>
      <c r="B29" s="3283">
        <v>111</v>
      </c>
      <c r="C29" s="3246"/>
      <c r="D29" s="3247">
        <v>100</v>
      </c>
      <c r="E29" s="3246"/>
      <c r="F29" s="3247">
        <f>SUMIF(94:94,E29,95:95)-SUMIF(94:94,C29,95:95)+100</f>
        <v>100</v>
      </c>
      <c r="G29" s="3287"/>
      <c r="H29" s="3247">
        <f>SUMIF(94:94,G29,95:95)-SUMIF(94:94,C29,95:95)+100</f>
        <v>100</v>
      </c>
      <c r="I29" s="3246"/>
      <c r="J29" s="3247">
        <f>SUMIF(94:94,I29,95:95)-SUMIF(94:94,C29,95:95)+100</f>
        <v>100</v>
      </c>
      <c r="K29" s="3245"/>
      <c r="L29" s="3248"/>
      <c r="M29" s="3200"/>
      <c r="N29" s="3200"/>
      <c r="O29" s="3200"/>
      <c r="P29" s="3843"/>
      <c r="Q29" s="3262">
        <f t="shared" si="11"/>
        <v>111</v>
      </c>
      <c r="R29" s="3263" t="s">
        <v>14</v>
      </c>
      <c r="S29" s="3264">
        <f t="shared" si="12"/>
        <v>100</v>
      </c>
      <c r="T29" s="3263" t="s">
        <v>14</v>
      </c>
      <c r="U29" s="3264">
        <f t="shared" si="13"/>
        <v>100</v>
      </c>
      <c r="V29" s="3263" t="s">
        <v>14</v>
      </c>
      <c r="W29" s="3264">
        <f t="shared" si="14"/>
        <v>100</v>
      </c>
      <c r="X29" s="3202"/>
      <c r="Y29" s="3845"/>
      <c r="Z29" s="3201">
        <f t="shared" si="18"/>
        <v>111</v>
      </c>
      <c r="AA29" s="3201">
        <f t="shared" si="15"/>
        <v>1</v>
      </c>
      <c r="AB29" s="3201">
        <f t="shared" si="16"/>
        <v>1</v>
      </c>
      <c r="AC29" s="3201">
        <f t="shared" si="17"/>
        <v>1</v>
      </c>
    </row>
    <row r="30" spans="1:29" ht="15" hidden="1">
      <c r="A30" s="3236"/>
      <c r="B30" s="3283">
        <v>111</v>
      </c>
      <c r="C30" s="3246"/>
      <c r="D30" s="3247">
        <v>100</v>
      </c>
      <c r="E30" s="3246"/>
      <c r="F30" s="3247">
        <f>SUMIF(96:96,E30,97:97)-SUMIF(96:96,C30,97:97)+100</f>
        <v>100</v>
      </c>
      <c r="G30" s="3287"/>
      <c r="H30" s="3247">
        <f>SUMIF(96:96,G30,97:97)-SUMIF(96:96,C30,97:97)+100</f>
        <v>100</v>
      </c>
      <c r="I30" s="3246"/>
      <c r="J30" s="3247">
        <f>SUMIF(96:96,I30,97:97)-SUMIF(96:96,C30,97:97)+100</f>
        <v>100</v>
      </c>
      <c r="K30" s="3245"/>
      <c r="L30" s="3248"/>
      <c r="M30" s="3200"/>
      <c r="N30" s="3200"/>
      <c r="O30" s="3200"/>
      <c r="P30" s="3843"/>
      <c r="Q30" s="3262">
        <f t="shared" si="11"/>
        <v>111</v>
      </c>
      <c r="R30" s="3263" t="s">
        <v>14</v>
      </c>
      <c r="S30" s="3264">
        <f t="shared" si="12"/>
        <v>100</v>
      </c>
      <c r="T30" s="3263" t="s">
        <v>14</v>
      </c>
      <c r="U30" s="3264">
        <f t="shared" si="13"/>
        <v>100</v>
      </c>
      <c r="V30" s="3263" t="s">
        <v>14</v>
      </c>
      <c r="W30" s="3264">
        <f t="shared" si="14"/>
        <v>100</v>
      </c>
      <c r="X30" s="3202"/>
      <c r="Y30" s="3845"/>
      <c r="Z30" s="3201">
        <f t="shared" si="18"/>
        <v>111</v>
      </c>
      <c r="AA30" s="3201">
        <f t="shared" si="15"/>
        <v>1</v>
      </c>
      <c r="AB30" s="3201">
        <f t="shared" si="16"/>
        <v>1</v>
      </c>
      <c r="AC30" s="3201">
        <f t="shared" si="17"/>
        <v>1</v>
      </c>
    </row>
    <row r="31" spans="1:29" ht="15.75" thickBot="1">
      <c r="A31" s="3249"/>
      <c r="B31" s="3283">
        <v>111</v>
      </c>
      <c r="C31" s="3251"/>
      <c r="D31" s="3252">
        <v>100</v>
      </c>
      <c r="E31" s="3251"/>
      <c r="F31" s="3252">
        <f>SUMIF(98:98,E31,99:99)-SUMIF(98:98,C31,99:99)+100</f>
        <v>100</v>
      </c>
      <c r="G31" s="3288"/>
      <c r="H31" s="3252">
        <f>SUMIF(98:98,G31,99:99)-SUMIF(98:98,C31,99:99)+100</f>
        <v>100</v>
      </c>
      <c r="I31" s="3251"/>
      <c r="J31" s="3252">
        <f>SUMIF(98:98,I31,99:99)-SUMIF(98:98,C31,99:99)+100</f>
        <v>100</v>
      </c>
      <c r="K31" s="3245"/>
      <c r="L31" s="3585"/>
      <c r="M31" s="3586"/>
      <c r="N31" s="3200"/>
      <c r="O31" s="3200"/>
      <c r="P31" s="3843"/>
      <c r="Q31" s="3262">
        <f t="shared" si="11"/>
        <v>111</v>
      </c>
      <c r="R31" s="3263" t="s">
        <v>14</v>
      </c>
      <c r="S31" s="3264">
        <f t="shared" si="12"/>
        <v>100</v>
      </c>
      <c r="T31" s="3263" t="s">
        <v>14</v>
      </c>
      <c r="U31" s="3264">
        <f t="shared" si="13"/>
        <v>100</v>
      </c>
      <c r="V31" s="3263" t="s">
        <v>14</v>
      </c>
      <c r="W31" s="3264">
        <f t="shared" si="14"/>
        <v>100</v>
      </c>
      <c r="X31" s="3202"/>
      <c r="Y31" s="3845"/>
      <c r="Z31" s="3201">
        <f t="shared" si="18"/>
        <v>111</v>
      </c>
      <c r="AA31" s="3201">
        <f t="shared" si="15"/>
        <v>1</v>
      </c>
      <c r="AB31" s="3201">
        <f t="shared" si="16"/>
        <v>1</v>
      </c>
      <c r="AC31" s="3201">
        <f t="shared" si="17"/>
        <v>1</v>
      </c>
    </row>
    <row r="32" spans="1:29" ht="15">
      <c r="A32" s="3254" t="s">
        <v>1694</v>
      </c>
      <c r="B32" s="1580" t="s">
        <v>1695</v>
      </c>
      <c r="C32" s="3289" t="s">
        <v>3707</v>
      </c>
      <c r="D32" s="3197">
        <v>100</v>
      </c>
      <c r="E32" s="3289" t="s">
        <v>3634</v>
      </c>
      <c r="F32" s="3290">
        <f>SUMIF(100:100,E32,101:101)-SUMIF(100:100,C32,101:101)+100</f>
        <v>102</v>
      </c>
      <c r="G32" s="3289" t="s">
        <v>3634</v>
      </c>
      <c r="H32" s="3197">
        <f>SUMIF(100:100,G32,101:101)-SUMIF(100:100,C32,101:101)+100</f>
        <v>102</v>
      </c>
      <c r="I32" s="3289" t="s">
        <v>3634</v>
      </c>
      <c r="J32" s="3247">
        <f>SUMIF(100:100,I32,101:101)-SUMIF(100:100,C32,101:101)+100</f>
        <v>102</v>
      </c>
      <c r="K32" s="3239">
        <v>2</v>
      </c>
      <c r="L32" s="3248"/>
      <c r="M32" s="3200"/>
      <c r="N32" s="3200"/>
      <c r="O32" s="3200"/>
      <c r="P32" s="3846" t="s">
        <v>1696</v>
      </c>
      <c r="Q32" s="3262" t="str">
        <f t="shared" si="11"/>
        <v>建筑类型</v>
      </c>
      <c r="R32" s="3263" t="s">
        <v>14</v>
      </c>
      <c r="S32" s="3264">
        <f t="shared" si="12"/>
        <v>102</v>
      </c>
      <c r="T32" s="3263" t="s">
        <v>14</v>
      </c>
      <c r="U32" s="3264">
        <f t="shared" si="13"/>
        <v>102</v>
      </c>
      <c r="V32" s="3263" t="s">
        <v>14</v>
      </c>
      <c r="W32" s="3264">
        <f t="shared" si="14"/>
        <v>102</v>
      </c>
      <c r="X32" s="3202"/>
      <c r="Y32" s="3849" t="s">
        <v>1696</v>
      </c>
      <c r="Z32" s="3201" t="str">
        <f t="shared" si="18"/>
        <v>建筑类型</v>
      </c>
      <c r="AA32" s="3201">
        <f t="shared" si="15"/>
        <v>0.98039215686274506</v>
      </c>
      <c r="AB32" s="3201">
        <f t="shared" si="16"/>
        <v>0.98039215686274506</v>
      </c>
      <c r="AC32" s="3201">
        <f t="shared" si="17"/>
        <v>0.98039215686274506</v>
      </c>
    </row>
    <row r="33" spans="1:29" s="3299" customFormat="1" ht="15" hidden="1">
      <c r="A33" s="3291"/>
      <c r="B33" s="3229" t="s">
        <v>1697</v>
      </c>
      <c r="C33" s="3292">
        <v>110</v>
      </c>
      <c r="D33" s="3231">
        <v>100</v>
      </c>
      <c r="E33" s="3238">
        <f>[13]Sheet2!R4</f>
        <v>92.81</v>
      </c>
      <c r="F33" s="3229">
        <f>LOOKUP(E33,103:103,104:104)-LOOKUP(C33,103:103,104:104)+100</f>
        <v>100</v>
      </c>
      <c r="G33" s="3237">
        <f>[13]Sheet2!R5</f>
        <v>87.92</v>
      </c>
      <c r="H33" s="3231">
        <f>LOOKUP(G33,103:103,104:104)-LOOKUP(C33,103:103,104:104)+100</f>
        <v>100</v>
      </c>
      <c r="I33" s="3238">
        <f>[13]Sheet2!R7</f>
        <v>79.72</v>
      </c>
      <c r="J33" s="3231">
        <f>LOOKUP(I33,103:103,104:104)-LOOKUP(C33,103:103,104:104)+100</f>
        <v>100</v>
      </c>
      <c r="K33" s="3245"/>
      <c r="L33" s="3240"/>
      <c r="M33" s="3200"/>
      <c r="N33" s="3293"/>
      <c r="O33" s="3293"/>
      <c r="P33" s="3847"/>
      <c r="Q33" s="3294" t="str">
        <f t="shared" si="11"/>
        <v>项目建筑规模</v>
      </c>
      <c r="R33" s="3295" t="s">
        <v>14</v>
      </c>
      <c r="S33" s="3296">
        <f t="shared" si="12"/>
        <v>100</v>
      </c>
      <c r="T33" s="3295" t="s">
        <v>14</v>
      </c>
      <c r="U33" s="3296">
        <f t="shared" si="13"/>
        <v>100</v>
      </c>
      <c r="V33" s="3295" t="s">
        <v>14</v>
      </c>
      <c r="W33" s="3296">
        <f t="shared" si="14"/>
        <v>100</v>
      </c>
      <c r="X33" s="3297"/>
      <c r="Y33" s="3849"/>
      <c r="Z33" s="3298" t="str">
        <f t="shared" si="18"/>
        <v>项目建筑规模</v>
      </c>
      <c r="AA33" s="3201">
        <f t="shared" si="15"/>
        <v>1</v>
      </c>
      <c r="AB33" s="3201">
        <f t="shared" si="16"/>
        <v>1</v>
      </c>
      <c r="AC33" s="3201">
        <f t="shared" si="17"/>
        <v>1</v>
      </c>
    </row>
    <row r="34" spans="1:29" ht="15">
      <c r="A34" s="3300"/>
      <c r="B34" s="3229" t="s">
        <v>1698</v>
      </c>
      <c r="C34" s="3280" t="s">
        <v>3639</v>
      </c>
      <c r="D34" s="3247">
        <v>100</v>
      </c>
      <c r="E34" s="3280" t="s">
        <v>3639</v>
      </c>
      <c r="F34" s="3290">
        <f>SUMIF(105:105,E34,106:106)-SUMIF(105:105,C34,106:106)+100</f>
        <v>100</v>
      </c>
      <c r="G34" s="3280" t="s">
        <v>3639</v>
      </c>
      <c r="H34" s="3247">
        <f>SUMIF(105:105,G34,106:106)-SUMIF(105:105,C34,106:106)+100</f>
        <v>100</v>
      </c>
      <c r="I34" s="3280" t="s">
        <v>3639</v>
      </c>
      <c r="J34" s="3247">
        <f>SUMIF(105:105,I34,106:106)-SUMIF(105:105,C34,106:106)+100</f>
        <v>100</v>
      </c>
      <c r="K34" s="3239"/>
      <c r="L34" s="3248"/>
      <c r="M34" s="3200"/>
      <c r="N34" s="3200"/>
      <c r="O34" s="3200"/>
      <c r="P34" s="3847"/>
      <c r="Q34" s="3262" t="str">
        <f t="shared" si="11"/>
        <v>建筑结构</v>
      </c>
      <c r="R34" s="3263" t="s">
        <v>14</v>
      </c>
      <c r="S34" s="3264">
        <f t="shared" si="12"/>
        <v>100</v>
      </c>
      <c r="T34" s="3263" t="s">
        <v>14</v>
      </c>
      <c r="U34" s="3264">
        <f t="shared" si="13"/>
        <v>100</v>
      </c>
      <c r="V34" s="3263" t="s">
        <v>14</v>
      </c>
      <c r="W34" s="3264">
        <f t="shared" si="14"/>
        <v>100</v>
      </c>
      <c r="X34" s="3202"/>
      <c r="Y34" s="3849"/>
      <c r="Z34" s="3201" t="str">
        <f t="shared" si="18"/>
        <v>建筑结构</v>
      </c>
      <c r="AA34" s="3201">
        <f t="shared" si="15"/>
        <v>1</v>
      </c>
      <c r="AB34" s="3201">
        <f t="shared" si="16"/>
        <v>1</v>
      </c>
      <c r="AC34" s="3201">
        <f t="shared" si="17"/>
        <v>1</v>
      </c>
    </row>
    <row r="35" spans="1:29" ht="15">
      <c r="A35" s="3300"/>
      <c r="B35" s="3229" t="s">
        <v>1699</v>
      </c>
      <c r="C35" s="3281"/>
      <c r="D35" s="3247">
        <v>100</v>
      </c>
      <c r="E35" s="3282"/>
      <c r="F35" s="3290">
        <f>SUMIF(107:107,E35,108:108)-SUMIF(107:107,C35,108:108)+100</f>
        <v>100</v>
      </c>
      <c r="G35" s="3281"/>
      <c r="H35" s="3247">
        <f>SUMIF(107:107,G35,108:108)-SUMIF(107:107,C35,108:108)+100</f>
        <v>100</v>
      </c>
      <c r="I35" s="3282"/>
      <c r="J35" s="3247">
        <f>SUMIF(107:107,I35,108:108)-SUMIF(107:107,C35,108:108)+100</f>
        <v>100</v>
      </c>
      <c r="K35" s="3239"/>
      <c r="L35" s="3248"/>
      <c r="M35" s="3200"/>
      <c r="N35" s="3200"/>
      <c r="O35" s="3200"/>
      <c r="P35" s="3847"/>
      <c r="Q35" s="3262" t="str">
        <f t="shared" si="11"/>
        <v>建筑品质</v>
      </c>
      <c r="R35" s="3263" t="s">
        <v>14</v>
      </c>
      <c r="S35" s="3264">
        <f t="shared" si="12"/>
        <v>100</v>
      </c>
      <c r="T35" s="3263" t="s">
        <v>14</v>
      </c>
      <c r="U35" s="3264">
        <f t="shared" si="13"/>
        <v>100</v>
      </c>
      <c r="V35" s="3263" t="s">
        <v>14</v>
      </c>
      <c r="W35" s="3264">
        <f t="shared" si="14"/>
        <v>100</v>
      </c>
      <c r="X35" s="3202"/>
      <c r="Y35" s="3849"/>
      <c r="Z35" s="3201" t="str">
        <f t="shared" si="18"/>
        <v>建筑品质</v>
      </c>
      <c r="AA35" s="3201">
        <f t="shared" si="15"/>
        <v>1</v>
      </c>
      <c r="AB35" s="3201">
        <f t="shared" si="16"/>
        <v>1</v>
      </c>
      <c r="AC35" s="3201">
        <f t="shared" si="17"/>
        <v>1</v>
      </c>
    </row>
    <row r="36" spans="1:29" ht="15">
      <c r="A36" s="3300"/>
      <c r="B36" s="3229" t="s">
        <v>1700</v>
      </c>
      <c r="C36" s="3281"/>
      <c r="D36" s="3247">
        <v>100</v>
      </c>
      <c r="E36" s="3282"/>
      <c r="F36" s="3290">
        <f>SUMIF(109:109,E36,110:110)-SUMIF(109:109,C36,110:110)+100</f>
        <v>100</v>
      </c>
      <c r="G36" s="3281"/>
      <c r="H36" s="3247">
        <f>SUMIF(109:109,G36,110:110)-SUMIF(109:109,C36,110:110)+100</f>
        <v>100</v>
      </c>
      <c r="I36" s="3282"/>
      <c r="J36" s="3247">
        <f>SUMIF(109:109,I36,110:110)-SUMIF(109:109,C36,110:110)+100</f>
        <v>100</v>
      </c>
      <c r="K36" s="3239"/>
      <c r="L36" s="3248"/>
      <c r="M36" s="3200"/>
      <c r="N36" s="3200"/>
      <c r="O36" s="3200"/>
      <c r="P36" s="3847"/>
      <c r="Q36" s="3262" t="str">
        <f t="shared" si="11"/>
        <v>公共部分装修</v>
      </c>
      <c r="R36" s="3263" t="s">
        <v>14</v>
      </c>
      <c r="S36" s="3264">
        <f t="shared" si="12"/>
        <v>100</v>
      </c>
      <c r="T36" s="3263" t="s">
        <v>14</v>
      </c>
      <c r="U36" s="3264">
        <f t="shared" si="13"/>
        <v>100</v>
      </c>
      <c r="V36" s="3263" t="s">
        <v>14</v>
      </c>
      <c r="W36" s="3264">
        <f t="shared" si="14"/>
        <v>100</v>
      </c>
      <c r="X36" s="3202"/>
      <c r="Y36" s="3849"/>
      <c r="Z36" s="3201" t="str">
        <f t="shared" si="18"/>
        <v>公共部分装修</v>
      </c>
      <c r="AA36" s="3201">
        <f t="shared" si="15"/>
        <v>1</v>
      </c>
      <c r="AB36" s="3201">
        <f t="shared" si="16"/>
        <v>1</v>
      </c>
      <c r="AC36" s="3201">
        <f t="shared" si="17"/>
        <v>1</v>
      </c>
    </row>
    <row r="37" spans="1:29" s="3221" customFormat="1" ht="15">
      <c r="A37" s="3301"/>
      <c r="B37" s="3229" t="s">
        <v>1701</v>
      </c>
      <c r="C37" s="3302">
        <v>0.84</v>
      </c>
      <c r="D37" s="3231">
        <v>100</v>
      </c>
      <c r="E37" s="3302">
        <v>0.6</v>
      </c>
      <c r="F37" s="3229">
        <f>LOOKUP(E37,112:112,113:113)-LOOKUP(C37,112:112,113:113)+100</f>
        <v>100</v>
      </c>
      <c r="G37" s="3303">
        <f>E37</f>
        <v>0.6</v>
      </c>
      <c r="H37" s="3231">
        <f>LOOKUP(G37,112:112,113:113)-LOOKUP(C37,112:112,113:113)+100</f>
        <v>100</v>
      </c>
      <c r="I37" s="3304">
        <f>E37</f>
        <v>0.6</v>
      </c>
      <c r="J37" s="3231">
        <f>LOOKUP(I37,112:112,113:113)-LOOKUP(C37,112:112,113:113)+100</f>
        <v>100</v>
      </c>
      <c r="K37" s="3239">
        <v>0</v>
      </c>
      <c r="L37" s="3216"/>
      <c r="M37" s="3217"/>
      <c r="N37" s="3217"/>
      <c r="O37" s="3217"/>
      <c r="P37" s="3847"/>
      <c r="Q37" s="1585" t="str">
        <f t="shared" si="11"/>
        <v>成新度</v>
      </c>
      <c r="R37" s="3218" t="s">
        <v>14</v>
      </c>
      <c r="S37" s="3219">
        <f t="shared" si="12"/>
        <v>100</v>
      </c>
      <c r="T37" s="3218" t="s">
        <v>14</v>
      </c>
      <c r="U37" s="3219">
        <f t="shared" si="13"/>
        <v>100</v>
      </c>
      <c r="V37" s="3218" t="s">
        <v>14</v>
      </c>
      <c r="W37" s="3219">
        <f t="shared" si="14"/>
        <v>100</v>
      </c>
      <c r="X37" s="3220"/>
      <c r="Y37" s="3849"/>
      <c r="Z37" s="64" t="str">
        <f t="shared" si="18"/>
        <v>成新度</v>
      </c>
      <c r="AA37" s="64">
        <f t="shared" si="15"/>
        <v>1</v>
      </c>
      <c r="AB37" s="64">
        <f t="shared" si="16"/>
        <v>1</v>
      </c>
      <c r="AC37" s="64">
        <f t="shared" si="17"/>
        <v>1</v>
      </c>
    </row>
    <row r="38" spans="1:29" ht="15">
      <c r="A38" s="3300"/>
      <c r="B38" s="3229" t="s">
        <v>1702</v>
      </c>
      <c r="C38" s="3281" t="s">
        <v>3430</v>
      </c>
      <c r="D38" s="3247">
        <v>100</v>
      </c>
      <c r="E38" s="3281" t="s">
        <v>3430</v>
      </c>
      <c r="F38" s="3290">
        <f>SUMIF(114:114,E38,115:115)-SUMIF(114:114,C38,115:115)+100</f>
        <v>100</v>
      </c>
      <c r="G38" s="3281" t="s">
        <v>3430</v>
      </c>
      <c r="H38" s="3247">
        <f>SUMIF(114:114,G38,115:115)-SUMIF(114:114,C38,115:115)+100</f>
        <v>100</v>
      </c>
      <c r="I38" s="3281" t="s">
        <v>3430</v>
      </c>
      <c r="J38" s="3247">
        <f>SUMIF(114:114,I38,115:115)-SUMIF(114:114,C38,115:115)+100</f>
        <v>100</v>
      </c>
      <c r="K38" s="3239"/>
      <c r="L38" s="3248"/>
      <c r="M38" s="3200"/>
      <c r="N38" s="3200"/>
      <c r="O38" s="3200"/>
      <c r="P38" s="3847" t="s">
        <v>1696</v>
      </c>
      <c r="Q38" s="3262" t="str">
        <f t="shared" si="11"/>
        <v>物业管理</v>
      </c>
      <c r="R38" s="3263" t="s">
        <v>14</v>
      </c>
      <c r="S38" s="3264">
        <f t="shared" si="12"/>
        <v>100</v>
      </c>
      <c r="T38" s="3263" t="s">
        <v>14</v>
      </c>
      <c r="U38" s="3264">
        <f t="shared" si="13"/>
        <v>100</v>
      </c>
      <c r="V38" s="3263" t="s">
        <v>14</v>
      </c>
      <c r="W38" s="3264">
        <f t="shared" si="14"/>
        <v>100</v>
      </c>
      <c r="X38" s="3202"/>
      <c r="Y38" s="3849" t="s">
        <v>1696</v>
      </c>
      <c r="Z38" s="3201" t="str">
        <f t="shared" si="18"/>
        <v>物业管理</v>
      </c>
      <c r="AA38" s="3201">
        <f t="shared" si="15"/>
        <v>1</v>
      </c>
      <c r="AB38" s="3201">
        <f t="shared" si="16"/>
        <v>1</v>
      </c>
      <c r="AC38" s="3201">
        <f t="shared" si="17"/>
        <v>1</v>
      </c>
    </row>
    <row r="39" spans="1:29" ht="15">
      <c r="A39" s="3300"/>
      <c r="B39" s="3229" t="s">
        <v>1742</v>
      </c>
      <c r="C39" s="3281"/>
      <c r="D39" s="3247">
        <v>100</v>
      </c>
      <c r="E39" s="3282"/>
      <c r="F39" s="3290">
        <f>SUMIF(116:116,E39,117:117)-SUMIF(116:116,C39,117:117)+100</f>
        <v>100</v>
      </c>
      <c r="G39" s="3281"/>
      <c r="H39" s="3247">
        <f>SUMIF(116:116,G39,117:117)-SUMIF(116:116,C39,117:117)+100</f>
        <v>100</v>
      </c>
      <c r="I39" s="3282"/>
      <c r="J39" s="3247">
        <f>SUMIF(116:116,I39,117:117)-SUMIF(116:116,C39,117:117)+100</f>
        <v>100</v>
      </c>
      <c r="K39" s="3239"/>
      <c r="L39" s="3248"/>
      <c r="M39" s="3200"/>
      <c r="N39" s="3200"/>
      <c r="O39" s="3200"/>
      <c r="P39" s="3847"/>
      <c r="Q39" s="3262" t="str">
        <f t="shared" si="11"/>
        <v>市政基础设施</v>
      </c>
      <c r="R39" s="3263" t="s">
        <v>14</v>
      </c>
      <c r="S39" s="3264">
        <f t="shared" si="12"/>
        <v>100</v>
      </c>
      <c r="T39" s="3263" t="s">
        <v>14</v>
      </c>
      <c r="U39" s="3264">
        <f t="shared" si="13"/>
        <v>100</v>
      </c>
      <c r="V39" s="3263" t="s">
        <v>14</v>
      </c>
      <c r="W39" s="3264">
        <f t="shared" si="14"/>
        <v>100</v>
      </c>
      <c r="X39" s="3202"/>
      <c r="Y39" s="3849"/>
      <c r="Z39" s="3201" t="str">
        <f t="shared" si="18"/>
        <v>市政基础设施</v>
      </c>
      <c r="AA39" s="3201">
        <f t="shared" si="15"/>
        <v>1</v>
      </c>
      <c r="AB39" s="3201">
        <f t="shared" si="16"/>
        <v>1</v>
      </c>
      <c r="AC39" s="3201">
        <f t="shared" si="17"/>
        <v>1</v>
      </c>
    </row>
    <row r="40" spans="1:29" ht="15">
      <c r="A40" s="3300"/>
      <c r="B40" s="3229" t="s">
        <v>1704</v>
      </c>
      <c r="C40" s="3281"/>
      <c r="D40" s="3247">
        <v>100</v>
      </c>
      <c r="E40" s="3282"/>
      <c r="F40" s="3290">
        <f>SUMIF(118:118,E40,119:119)-SUMIF(118:118,C40,119:119)+100</f>
        <v>100</v>
      </c>
      <c r="G40" s="3281"/>
      <c r="H40" s="3247">
        <f>SUMIF(118:118,G40,119:119)-SUMIF(118:118,C40,119:119)+100</f>
        <v>100</v>
      </c>
      <c r="I40" s="3282"/>
      <c r="J40" s="3247">
        <f>SUMIF(118:118,I40,119:119)-SUMIF(118:118,C40,119:119)+100</f>
        <v>100</v>
      </c>
      <c r="K40" s="3239"/>
      <c r="L40" s="3248"/>
      <c r="M40" s="3200"/>
      <c r="N40" s="3200"/>
      <c r="O40" s="3200"/>
      <c r="P40" s="3847"/>
      <c r="Q40" s="3262" t="str">
        <f t="shared" si="11"/>
        <v>房型</v>
      </c>
      <c r="R40" s="3263" t="s">
        <v>14</v>
      </c>
      <c r="S40" s="3264">
        <f t="shared" si="12"/>
        <v>100</v>
      </c>
      <c r="T40" s="3263" t="s">
        <v>14</v>
      </c>
      <c r="U40" s="3264">
        <f t="shared" si="13"/>
        <v>100</v>
      </c>
      <c r="V40" s="3263" t="s">
        <v>14</v>
      </c>
      <c r="W40" s="3264">
        <f t="shared" si="14"/>
        <v>100</v>
      </c>
      <c r="X40" s="3202"/>
      <c r="Y40" s="3849"/>
      <c r="Z40" s="3201" t="str">
        <f t="shared" si="18"/>
        <v>房型</v>
      </c>
      <c r="AA40" s="3201">
        <f t="shared" si="15"/>
        <v>1</v>
      </c>
      <c r="AB40" s="3201">
        <f t="shared" si="16"/>
        <v>1</v>
      </c>
      <c r="AC40" s="3201">
        <f t="shared" si="17"/>
        <v>1</v>
      </c>
    </row>
    <row r="41" spans="1:29" s="3299" customFormat="1" ht="28.5">
      <c r="A41" s="3291"/>
      <c r="B41" s="3229" t="s">
        <v>1705</v>
      </c>
      <c r="C41" s="3292"/>
      <c r="D41" s="3231">
        <v>100</v>
      </c>
      <c r="E41" s="3238"/>
      <c r="F41" s="3229">
        <f>SUMIF(120:120,E41,121:121)-SUMIF(120:120,C41,121:121)+100</f>
        <v>100</v>
      </c>
      <c r="G41" s="3237"/>
      <c r="H41" s="3231">
        <f>SUMIF(120:120,G41,121:121)-SUMIF(120:120,C41,121:121)+100</f>
        <v>100</v>
      </c>
      <c r="I41" s="3305"/>
      <c r="J41" s="3247">
        <f>SUMIF(120:120,I41,121:121)-SUMIF(120:120,C41,121:121)+100</f>
        <v>100</v>
      </c>
      <c r="K41" s="3245"/>
      <c r="L41" s="3240"/>
      <c r="M41" s="3293">
        <v>2017</v>
      </c>
      <c r="N41" s="3293"/>
      <c r="O41" s="3293"/>
      <c r="P41" s="3847"/>
      <c r="Q41" s="3294" t="str">
        <f t="shared" si="11"/>
        <v>单套/主力户型建筑面积</v>
      </c>
      <c r="R41" s="3295" t="s">
        <v>14</v>
      </c>
      <c r="S41" s="3296">
        <f t="shared" si="12"/>
        <v>100</v>
      </c>
      <c r="T41" s="3295" t="s">
        <v>14</v>
      </c>
      <c r="U41" s="3296">
        <f t="shared" si="13"/>
        <v>100</v>
      </c>
      <c r="V41" s="3295" t="s">
        <v>14</v>
      </c>
      <c r="W41" s="3296">
        <f t="shared" si="14"/>
        <v>100</v>
      </c>
      <c r="X41" s="3297"/>
      <c r="Y41" s="3849"/>
      <c r="Z41" s="3298" t="str">
        <f t="shared" si="18"/>
        <v>单套/主力户型建筑面积</v>
      </c>
      <c r="AA41" s="3201">
        <f t="shared" si="15"/>
        <v>1</v>
      </c>
      <c r="AB41" s="3201">
        <f t="shared" si="16"/>
        <v>1</v>
      </c>
      <c r="AC41" s="3201">
        <f t="shared" si="17"/>
        <v>1</v>
      </c>
    </row>
    <row r="42" spans="1:29" ht="15">
      <c r="A42" s="3300"/>
      <c r="B42" s="3229" t="s">
        <v>1706</v>
      </c>
      <c r="C42" s="3281" t="s">
        <v>3631</v>
      </c>
      <c r="D42" s="3247">
        <v>100</v>
      </c>
      <c r="E42" s="3281" t="s">
        <v>3431</v>
      </c>
      <c r="F42" s="3290">
        <f>SUMIF(122:122,E42,123:123)-SUMIF(122:122,C42,123:123)+100</f>
        <v>110</v>
      </c>
      <c r="G42" s="3281" t="s">
        <v>3431</v>
      </c>
      <c r="H42" s="3247">
        <f>SUMIF(122:122,G42,123:123)-SUMIF(122:122,C42,123:123)+100</f>
        <v>110</v>
      </c>
      <c r="I42" s="3281" t="s">
        <v>3431</v>
      </c>
      <c r="J42" s="3247">
        <f>SUMIF(122:122,I42,123:123)-SUMIF(122:122,C42,123:123)+100</f>
        <v>110</v>
      </c>
      <c r="K42" s="3239">
        <v>10</v>
      </c>
      <c r="L42" s="3248"/>
      <c r="M42" s="3200">
        <f>1-(1-2%)*(2025-M41)/50</f>
        <v>0.84319999999999995</v>
      </c>
      <c r="N42" s="3200"/>
      <c r="O42" s="3200"/>
      <c r="P42" s="3847"/>
      <c r="Q42" s="3262" t="str">
        <f t="shared" si="11"/>
        <v>内部装修</v>
      </c>
      <c r="R42" s="3263" t="s">
        <v>14</v>
      </c>
      <c r="S42" s="3264">
        <f t="shared" si="12"/>
        <v>110</v>
      </c>
      <c r="T42" s="3263" t="s">
        <v>14</v>
      </c>
      <c r="U42" s="3264">
        <f t="shared" si="13"/>
        <v>110</v>
      </c>
      <c r="V42" s="3263" t="s">
        <v>14</v>
      </c>
      <c r="W42" s="3264">
        <f t="shared" si="14"/>
        <v>110</v>
      </c>
      <c r="X42" s="3202"/>
      <c r="Y42" s="3849"/>
      <c r="Z42" s="3201" t="str">
        <f t="shared" si="18"/>
        <v>内部装修</v>
      </c>
      <c r="AA42" s="3201">
        <f t="shared" si="15"/>
        <v>0.90909090909090906</v>
      </c>
      <c r="AB42" s="3201">
        <f t="shared" si="16"/>
        <v>0.90909090909090906</v>
      </c>
      <c r="AC42" s="3201">
        <f t="shared" si="17"/>
        <v>0.90909090909090906</v>
      </c>
    </row>
    <row r="43" spans="1:29" ht="15">
      <c r="A43" s="3300"/>
      <c r="B43" s="3229" t="s">
        <v>1707</v>
      </c>
      <c r="C43" s="3281" t="s">
        <v>3426</v>
      </c>
      <c r="D43" s="3247">
        <v>100</v>
      </c>
      <c r="E43" s="3281" t="s">
        <v>3426</v>
      </c>
      <c r="F43" s="3290">
        <f>SUMIF(124:124,E43,125:125)-SUMIF(124:124,C43,125:125)+100</f>
        <v>100</v>
      </c>
      <c r="G43" s="3281" t="s">
        <v>3426</v>
      </c>
      <c r="H43" s="3247">
        <f>SUMIF(124:124,G43,125:125)-SUMIF(124:124,C43,125:125)+100</f>
        <v>100</v>
      </c>
      <c r="I43" s="3281" t="s">
        <v>3426</v>
      </c>
      <c r="J43" s="3247">
        <f>SUMIF(124:124,I43,125:125)-SUMIF(124:124,C43,125:125)+100</f>
        <v>100</v>
      </c>
      <c r="K43" s="3239"/>
      <c r="L43" s="3248"/>
      <c r="M43" s="3200">
        <f>1-(1-2%)*(2025-E50)/50</f>
        <v>0.35320000000000007</v>
      </c>
      <c r="N43" s="3200"/>
      <c r="O43" s="3200"/>
      <c r="P43" s="3847"/>
      <c r="Q43" s="3262" t="str">
        <f t="shared" si="11"/>
        <v>内部装修维护情况</v>
      </c>
      <c r="R43" s="3263" t="s">
        <v>14</v>
      </c>
      <c r="S43" s="3264">
        <f t="shared" si="12"/>
        <v>100</v>
      </c>
      <c r="T43" s="3263" t="s">
        <v>14</v>
      </c>
      <c r="U43" s="3264">
        <f t="shared" si="13"/>
        <v>100</v>
      </c>
      <c r="V43" s="3263" t="s">
        <v>14</v>
      </c>
      <c r="W43" s="3264">
        <f t="shared" si="14"/>
        <v>100</v>
      </c>
      <c r="X43" s="3202"/>
      <c r="Y43" s="3849"/>
      <c r="Z43" s="3201" t="str">
        <f t="shared" si="18"/>
        <v>内部装修维护情况</v>
      </c>
      <c r="AA43" s="3201">
        <f t="shared" si="15"/>
        <v>1</v>
      </c>
      <c r="AB43" s="3201">
        <f t="shared" si="16"/>
        <v>1</v>
      </c>
      <c r="AC43" s="3201">
        <f t="shared" si="17"/>
        <v>1</v>
      </c>
    </row>
    <row r="44" spans="1:29" s="3221" customFormat="1" ht="15">
      <c r="A44" s="3301"/>
      <c r="B44" s="3306" t="s">
        <v>3432</v>
      </c>
      <c r="C44" s="3307" t="s">
        <v>3433</v>
      </c>
      <c r="D44" s="3231">
        <v>100</v>
      </c>
      <c r="E44" s="3307" t="s">
        <v>3434</v>
      </c>
      <c r="F44" s="3229">
        <f>SUMIF(126:126,E44,127:127)-SUMIF(126:126,C44,127:127)+100</f>
        <v>110</v>
      </c>
      <c r="G44" s="3307" t="s">
        <v>3434</v>
      </c>
      <c r="H44" s="3231">
        <f>SUMIF(126:126,G44,127:127)-SUMIF(126:126,C44,127:127)+100</f>
        <v>110</v>
      </c>
      <c r="I44" s="3307" t="s">
        <v>3434</v>
      </c>
      <c r="J44" s="3231">
        <f>SUMIF(126:126,I44,127:127)-SUMIF(126:126,C44,127:127)+100</f>
        <v>110</v>
      </c>
      <c r="K44" s="3245"/>
      <c r="L44" s="3216"/>
      <c r="M44" s="3200">
        <f>1-(1-2%)*(2025-I50)/50</f>
        <v>0.51</v>
      </c>
      <c r="N44" s="3217"/>
      <c r="O44" s="3217"/>
      <c r="P44" s="3847"/>
      <c r="Q44" s="1585" t="str">
        <f t="shared" si="11"/>
        <v>家具家电</v>
      </c>
      <c r="R44" s="3218" t="s">
        <v>14</v>
      </c>
      <c r="S44" s="3219">
        <f t="shared" si="12"/>
        <v>110</v>
      </c>
      <c r="T44" s="3218" t="s">
        <v>14</v>
      </c>
      <c r="U44" s="3219">
        <f t="shared" si="13"/>
        <v>110</v>
      </c>
      <c r="V44" s="3218" t="s">
        <v>14</v>
      </c>
      <c r="W44" s="3219">
        <f t="shared" si="14"/>
        <v>110</v>
      </c>
      <c r="X44" s="3220"/>
      <c r="Y44" s="3849"/>
      <c r="Z44" s="64" t="str">
        <f t="shared" si="18"/>
        <v>家具家电</v>
      </c>
      <c r="AA44" s="64">
        <f t="shared" si="15"/>
        <v>0.90909090909090906</v>
      </c>
      <c r="AB44" s="64">
        <f t="shared" si="16"/>
        <v>0.90909090909090906</v>
      </c>
      <c r="AC44" s="64">
        <f t="shared" si="17"/>
        <v>0.90909090909090906</v>
      </c>
    </row>
    <row r="45" spans="1:29" ht="15">
      <c r="A45" s="3300"/>
      <c r="B45" s="3283">
        <v>111</v>
      </c>
      <c r="C45" s="3246"/>
      <c r="D45" s="3247">
        <v>100</v>
      </c>
      <c r="E45" s="3246"/>
      <c r="F45" s="3290">
        <f>SUMIF(128:128,E45,129:129)-SUMIF(128:128,C45,129:129)+100</f>
        <v>100</v>
      </c>
      <c r="G45" s="3246"/>
      <c r="H45" s="3247">
        <f>SUMIF(128:128,G45,129:129)-SUMIF(128:128,C45,129:129)+100</f>
        <v>100</v>
      </c>
      <c r="I45" s="3246"/>
      <c r="J45" s="3247">
        <f>SUMIF(128:128,I45,129:129)-SUMIF(128:128,C45,129:129)+100</f>
        <v>100</v>
      </c>
      <c r="K45" s="3245"/>
      <c r="L45" s="3248"/>
      <c r="N45" s="3200"/>
      <c r="O45" s="3200"/>
      <c r="P45" s="3847"/>
      <c r="Q45" s="3262">
        <f t="shared" si="11"/>
        <v>111</v>
      </c>
      <c r="R45" s="3263" t="s">
        <v>14</v>
      </c>
      <c r="S45" s="3264">
        <f t="shared" si="12"/>
        <v>100</v>
      </c>
      <c r="T45" s="3263" t="s">
        <v>14</v>
      </c>
      <c r="U45" s="3264">
        <f t="shared" si="13"/>
        <v>100</v>
      </c>
      <c r="V45" s="3263" t="s">
        <v>14</v>
      </c>
      <c r="W45" s="3264">
        <f t="shared" si="14"/>
        <v>100</v>
      </c>
      <c r="X45" s="3202"/>
      <c r="Y45" s="3849"/>
      <c r="Z45" s="3201">
        <f t="shared" si="18"/>
        <v>111</v>
      </c>
      <c r="AA45" s="3201">
        <f t="shared" si="15"/>
        <v>1</v>
      </c>
      <c r="AB45" s="3201">
        <f t="shared" si="16"/>
        <v>1</v>
      </c>
      <c r="AC45" s="3201">
        <f t="shared" si="17"/>
        <v>1</v>
      </c>
    </row>
    <row r="46" spans="1:29" ht="15.75" thickBot="1">
      <c r="A46" s="3308"/>
      <c r="B46" s="3250">
        <v>111</v>
      </c>
      <c r="C46" s="3251"/>
      <c r="D46" s="3252">
        <v>100</v>
      </c>
      <c r="E46" s="3251"/>
      <c r="F46" s="3253">
        <f>SUMIF(130:130,E46,131:131)-SUMIF(130:130,C46,131:131)+100</f>
        <v>100</v>
      </c>
      <c r="G46" s="3251"/>
      <c r="H46" s="3252">
        <f>SUMIF(130:130,G46,131:131)-SUMIF(130:130,C46,131:131)+100</f>
        <v>100</v>
      </c>
      <c r="I46" s="3251"/>
      <c r="J46" s="3252">
        <f>SUMIF(130:130,I46,131:131)-SUMIF(130:130,C46,131:131)+100</f>
        <v>100</v>
      </c>
      <c r="K46" s="3245"/>
      <c r="L46" s="3248"/>
      <c r="M46" s="3203">
        <f>C48*K42/100*12*10</f>
        <v>278.39999999999998</v>
      </c>
      <c r="N46" s="3200"/>
      <c r="O46" s="3200"/>
      <c r="P46" s="3848"/>
      <c r="Q46" s="3262">
        <f t="shared" si="11"/>
        <v>111</v>
      </c>
      <c r="R46" s="3263" t="s">
        <v>14</v>
      </c>
      <c r="S46" s="3264">
        <f t="shared" si="12"/>
        <v>100</v>
      </c>
      <c r="T46" s="3263" t="s">
        <v>14</v>
      </c>
      <c r="U46" s="3264">
        <f t="shared" si="13"/>
        <v>100</v>
      </c>
      <c r="V46" s="3263" t="s">
        <v>14</v>
      </c>
      <c r="W46" s="3264">
        <f t="shared" si="14"/>
        <v>100</v>
      </c>
      <c r="X46" s="3202"/>
      <c r="Y46" s="3850"/>
      <c r="Z46" s="3201">
        <f t="shared" si="18"/>
        <v>111</v>
      </c>
      <c r="AA46" s="3201">
        <f t="shared" si="15"/>
        <v>1</v>
      </c>
      <c r="AB46" s="3201">
        <f t="shared" si="16"/>
        <v>1</v>
      </c>
      <c r="AC46" s="3201">
        <f t="shared" si="17"/>
        <v>1</v>
      </c>
    </row>
    <row r="47" spans="1:29" ht="15">
      <c r="A47" s="3309" t="s">
        <v>1708</v>
      </c>
      <c r="B47" s="3310"/>
      <c r="C47" s="3311" t="s">
        <v>0</v>
      </c>
      <c r="D47" s="3312"/>
      <c r="E47" s="3313">
        <f>住宅中指数据!R23</f>
        <v>28.990000000000002</v>
      </c>
      <c r="F47" s="3314"/>
      <c r="G47" s="3315">
        <f>住宅中指数据!R24</f>
        <v>27.49</v>
      </c>
      <c r="H47" s="3316"/>
      <c r="I47" s="3313">
        <f>住宅中指数据!R8</f>
        <v>29.289999999999996</v>
      </c>
      <c r="J47" s="3316"/>
      <c r="K47" s="3317"/>
      <c r="L47" s="3318"/>
      <c r="M47" s="3200"/>
      <c r="N47" s="3200"/>
      <c r="O47" s="3200"/>
      <c r="P47" s="3851" t="str">
        <f>A47</f>
        <v>成交单价（元/平方米）</v>
      </c>
      <c r="Q47" s="3851"/>
      <c r="R47" s="3836">
        <f>E47</f>
        <v>28.990000000000002</v>
      </c>
      <c r="S47" s="3836"/>
      <c r="T47" s="3836">
        <f>G47</f>
        <v>27.49</v>
      </c>
      <c r="U47" s="3836"/>
      <c r="V47" s="3836">
        <f>I47</f>
        <v>29.289999999999996</v>
      </c>
      <c r="W47" s="3836"/>
      <c r="X47" s="3265"/>
      <c r="Y47" s="3319"/>
      <c r="Z47" s="3265"/>
      <c r="AA47" s="3265"/>
      <c r="AB47" s="3265"/>
      <c r="AC47" s="3265"/>
    </row>
    <row r="48" spans="1:29" ht="15.75" thickBot="1">
      <c r="A48" s="3320" t="s">
        <v>1709</v>
      </c>
      <c r="B48" s="3321"/>
      <c r="C48" s="3322">
        <f>R49</f>
        <v>23.2</v>
      </c>
      <c r="D48" s="3323" t="s">
        <v>2138</v>
      </c>
      <c r="E48" s="3324">
        <f>R48</f>
        <v>23.5</v>
      </c>
      <c r="F48" s="3325"/>
      <c r="G48" s="3322">
        <f>T48</f>
        <v>22.3</v>
      </c>
      <c r="H48" s="3325"/>
      <c r="I48" s="3324">
        <f>V48</f>
        <v>23.7</v>
      </c>
      <c r="J48" s="3325"/>
      <c r="K48" s="3326">
        <f>F48+H48+J48</f>
        <v>0</v>
      </c>
      <c r="L48" s="3318"/>
      <c r="M48" s="3200">
        <v>10</v>
      </c>
      <c r="N48" s="3200"/>
      <c r="O48" s="3200"/>
      <c r="P48" s="3851" t="str">
        <f>A48</f>
        <v>比较价值（元/平方米）</v>
      </c>
      <c r="Q48" s="3851"/>
      <c r="R48" s="3836">
        <f>IF(F1="售价",ROUND(PRODUCT(R47,AA7:AA46),0),ROUND(PRODUCT(R47,AA7:AA46),1))</f>
        <v>23.5</v>
      </c>
      <c r="S48" s="3836"/>
      <c r="T48" s="3836">
        <f>IF(F1="售价",ROUND(PRODUCT(T47,AB7:AB46),0),ROUND(PRODUCT(T47,AB7:AB46),1))</f>
        <v>22.3</v>
      </c>
      <c r="U48" s="3836"/>
      <c r="V48" s="3836">
        <f>IF(F1="售价",ROUND(PRODUCT(V47,AC7:AC46),0),ROUND(PRODUCT(V47,AC7:AC46),1))</f>
        <v>23.7</v>
      </c>
      <c r="W48" s="3836"/>
      <c r="X48" s="3265"/>
      <c r="Y48" s="3265"/>
      <c r="Z48" s="3265"/>
      <c r="AA48" s="3265"/>
      <c r="AB48" s="3265"/>
      <c r="AC48" s="3265"/>
    </row>
    <row r="49" spans="1:29" ht="15.75" thickBot="1">
      <c r="A49" s="3327" t="s">
        <v>1710</v>
      </c>
      <c r="B49" s="3328"/>
      <c r="C49" s="3329">
        <f>R49</f>
        <v>23.2</v>
      </c>
      <c r="D49" s="3208"/>
      <c r="E49" s="3208"/>
      <c r="F49" s="3208"/>
      <c r="G49" s="3208"/>
      <c r="H49" s="3208"/>
      <c r="I49" s="3208"/>
      <c r="J49" s="3208"/>
      <c r="K49" s="3330"/>
      <c r="L49" s="3318"/>
      <c r="M49" s="3200">
        <f>M48*C48/100*12*5</f>
        <v>139.19999999999999</v>
      </c>
      <c r="N49" s="3200"/>
      <c r="O49" s="3200"/>
      <c r="P49" s="3852" t="str">
        <f>A49</f>
        <v>估价对象XX用房的比较价值（楼面单价，元/平方米）</v>
      </c>
      <c r="Q49" s="3853"/>
      <c r="R49" s="3854">
        <f>IF(F1="售价",ROUND(IF(D48="简单平均",AVERAGE(R48:V48),R48*F48+T48*H48+V48*J48),0),ROUND(IF(D48="简单平均",AVERAGE(R48:V48),R48*F48+T48*H48+V48*J48),1))</f>
        <v>23.2</v>
      </c>
      <c r="S49" s="3854"/>
      <c r="T49" s="3854"/>
      <c r="U49" s="3854"/>
      <c r="V49" s="3854"/>
      <c r="W49" s="3854"/>
      <c r="X49" s="3265"/>
      <c r="Y49" s="3265"/>
      <c r="Z49" s="3265"/>
      <c r="AA49" s="3265"/>
      <c r="AB49" s="3265"/>
      <c r="AC49" s="3265"/>
    </row>
    <row r="50" spans="1:29">
      <c r="A50" s="3200"/>
      <c r="B50" s="3200"/>
      <c r="C50" s="3203">
        <v>2017</v>
      </c>
      <c r="D50" s="3200"/>
      <c r="E50" s="3200">
        <v>1992</v>
      </c>
      <c r="F50" s="3200"/>
      <c r="G50" s="3331">
        <v>20</v>
      </c>
      <c r="H50" s="3200"/>
      <c r="I50" s="3200">
        <v>2000</v>
      </c>
      <c r="J50" s="3200"/>
      <c r="K50" s="3332"/>
      <c r="L50" s="3333"/>
      <c r="M50" s="3200"/>
      <c r="N50" s="3200"/>
      <c r="O50" s="3200"/>
    </row>
    <row r="51" spans="1:29">
      <c r="A51" s="3200"/>
      <c r="B51" s="3200"/>
      <c r="D51" s="3200"/>
      <c r="E51" s="3200"/>
      <c r="F51" s="3200"/>
      <c r="G51" s="3200"/>
      <c r="H51" s="3200"/>
      <c r="I51" s="3200"/>
      <c r="J51" s="3200"/>
      <c r="K51" s="3332"/>
      <c r="L51" s="3333"/>
      <c r="M51" s="3200"/>
      <c r="N51" s="3200"/>
      <c r="O51" s="3200"/>
    </row>
    <row r="52" spans="1:29" ht="13.5" customHeight="1">
      <c r="A52" s="3200"/>
      <c r="B52" s="3200"/>
      <c r="C52" s="3335" t="s">
        <v>1711</v>
      </c>
      <c r="D52" s="3336"/>
      <c r="E52" s="3337">
        <f>IF(E47&lt;E48,E48/E47-1,E47/E48-1)</f>
        <v>0.23361702127659578</v>
      </c>
      <c r="F52" s="3338" t="str">
        <f>IF(OR(E52&gt;=0.3,E52&lt;=-0.3),"超过30%","")</f>
        <v/>
      </c>
      <c r="G52" s="3337">
        <f>IF(G47&lt;G48,G48/G47-1,G47/G48-1)</f>
        <v>0.23273542600896846</v>
      </c>
      <c r="H52" s="3338" t="str">
        <f>IF(OR(G52&gt;=0.3,G52&lt;=-0.3),"超过30%","")</f>
        <v/>
      </c>
      <c r="I52" s="3337">
        <f>IF(I47&lt;I48,I48/I47-1,I47/I48-1)</f>
        <v>0.23586497890295344</v>
      </c>
      <c r="J52" s="3338" t="str">
        <f>IF(OR(I52&gt;=0.3,I52&lt;=-0.3),"超过30%","")</f>
        <v/>
      </c>
      <c r="K52" s="3332"/>
      <c r="L52" s="3333"/>
      <c r="M52" s="3200"/>
      <c r="N52" s="3200"/>
      <c r="O52" s="3200"/>
    </row>
    <row r="53" spans="1:29" ht="13.5" customHeight="1">
      <c r="A53" s="3200"/>
      <c r="B53" s="3200"/>
      <c r="C53" s="3335" t="s">
        <v>1712</v>
      </c>
      <c r="D53" s="3339"/>
      <c r="E53" s="3337">
        <f>IF(E48&lt;G48,G48/E48-1,E48/G48-1)</f>
        <v>5.3811659192825045E-2</v>
      </c>
      <c r="F53" s="3338" t="str">
        <f>IF(OR(E53&gt;=0.2,E53&lt;=-0.2),"超过20%","")</f>
        <v/>
      </c>
      <c r="G53" s="3337">
        <f>IF(G48&lt;I48,I48/G48-1,G48/I48-1)</f>
        <v>6.2780269058295923E-2</v>
      </c>
      <c r="H53" s="3338" t="str">
        <f>IF(OR(G53&gt;=0.2,G53&lt;=-0.2),"超过20%","")</f>
        <v/>
      </c>
      <c r="I53" s="3337">
        <f>IF(I48&lt;E48,E48/I48-1,I48/E48-1)</f>
        <v>8.5106382978723527E-3</v>
      </c>
      <c r="J53" s="3338" t="str">
        <f>IF(OR(I53&gt;=0.2,I53&lt;=-0.2),"超过20%","")</f>
        <v/>
      </c>
      <c r="K53" s="3332"/>
      <c r="L53" s="3333"/>
      <c r="M53" s="3200"/>
      <c r="N53" s="3200"/>
      <c r="O53" s="3200"/>
    </row>
    <row r="54" spans="1:29" s="3344" customFormat="1" ht="13.5" customHeight="1">
      <c r="A54" s="3340"/>
      <c r="B54" s="3340"/>
      <c r="C54" s="3335" t="s">
        <v>1713</v>
      </c>
      <c r="D54" s="3339"/>
      <c r="E54" s="3337">
        <f>IF(E47&lt;G47,G47/E47-1,E47/G47-1)</f>
        <v>5.4565296471444258E-2</v>
      </c>
      <c r="F54" s="3338" t="str">
        <f>IF(OR(E54&gt;=0.3,E54&lt;=-0.3),"超过30%","")</f>
        <v/>
      </c>
      <c r="G54" s="3337">
        <f>IF(G47&lt;I47,I47/G47-1,G47/I47-1)</f>
        <v>6.5478355765732799E-2</v>
      </c>
      <c r="H54" s="3338" t="str">
        <f>IF(OR(G54&gt;=0.3,G54&lt;=-0.3),"超过30%","")</f>
        <v/>
      </c>
      <c r="I54" s="3337">
        <f>IF(I47&lt;E47,E47/I47-1,I47/E47-1)</f>
        <v>1.0348395998619919E-2</v>
      </c>
      <c r="J54" s="3338" t="str">
        <f>IF(OR(I54&gt;=0.3,I54&lt;=-0.3),"超过30%","")</f>
        <v/>
      </c>
      <c r="K54" s="3341"/>
      <c r="L54" s="3342"/>
      <c r="M54" s="3340"/>
      <c r="N54" s="3340"/>
      <c r="O54" s="3340"/>
      <c r="P54" s="3343"/>
    </row>
    <row r="55" spans="1:29" s="3344" customFormat="1">
      <c r="A55" s="3340"/>
      <c r="B55" s="3345"/>
      <c r="C55" s="3346"/>
      <c r="D55" s="3340"/>
      <c r="E55" s="3340"/>
      <c r="F55" s="3340"/>
      <c r="G55" s="3340"/>
      <c r="H55" s="3340"/>
      <c r="I55" s="3340"/>
      <c r="J55" s="3340"/>
      <c r="K55" s="3341"/>
      <c r="L55" s="3342"/>
      <c r="M55" s="3340"/>
      <c r="N55" s="3340"/>
      <c r="O55" s="3340"/>
      <c r="P55" s="3343"/>
    </row>
    <row r="56" spans="1:29">
      <c r="A56" s="3200"/>
      <c r="B56" s="3345"/>
      <c r="C56" s="3346"/>
      <c r="D56" s="3200"/>
      <c r="E56" s="3200"/>
      <c r="F56" s="3200"/>
      <c r="G56" s="3200"/>
      <c r="H56" s="3200"/>
      <c r="I56" s="3200"/>
      <c r="J56" s="3200"/>
      <c r="K56" s="3332"/>
      <c r="L56" s="3333"/>
      <c r="M56" s="3200"/>
      <c r="N56" s="3200"/>
      <c r="O56" s="3200"/>
    </row>
    <row r="57" spans="1:29" ht="21.75" thickBot="1">
      <c r="A57" s="3347" t="s">
        <v>1714</v>
      </c>
      <c r="B57" s="3265"/>
      <c r="C57" s="3348"/>
      <c r="D57" s="3348"/>
      <c r="E57" s="3348"/>
      <c r="F57" s="3349"/>
      <c r="G57" s="3349"/>
      <c r="H57" s="3348"/>
      <c r="I57" s="3348"/>
      <c r="J57" s="3348"/>
      <c r="K57" s="3350"/>
      <c r="L57" s="3351"/>
      <c r="M57" s="3352"/>
      <c r="N57" s="3352"/>
      <c r="O57" s="3352"/>
      <c r="P57" s="3353"/>
      <c r="Q57" s="3354"/>
    </row>
    <row r="58" spans="1:29" s="3360" customFormat="1" ht="15">
      <c r="A58" s="3355" t="s">
        <v>1679</v>
      </c>
      <c r="B58" s="3356"/>
      <c r="C58" s="3357" t="str">
        <f>YEAR(C7)&amp;"-"&amp;MONTH(C7)</f>
        <v>2025-11</v>
      </c>
      <c r="D58" s="3358">
        <f>EDATE(C58,-1)</f>
        <v>45931</v>
      </c>
      <c r="E58" s="3358">
        <f>EDATE(D58,-1)</f>
        <v>45901</v>
      </c>
      <c r="F58" s="3358">
        <f t="shared" ref="F58:O58" si="19">EDATE(E58,-1)</f>
        <v>45870</v>
      </c>
      <c r="G58" s="3358">
        <f t="shared" si="19"/>
        <v>45839</v>
      </c>
      <c r="H58" s="3358">
        <f t="shared" si="19"/>
        <v>45809</v>
      </c>
      <c r="I58" s="3358">
        <f t="shared" si="19"/>
        <v>45778</v>
      </c>
      <c r="J58" s="3358">
        <f t="shared" si="19"/>
        <v>45748</v>
      </c>
      <c r="K58" s="3358">
        <f t="shared" si="19"/>
        <v>45717</v>
      </c>
      <c r="L58" s="3358">
        <f t="shared" si="19"/>
        <v>45689</v>
      </c>
      <c r="M58" s="3358">
        <f t="shared" si="19"/>
        <v>45658</v>
      </c>
      <c r="N58" s="3358">
        <f t="shared" si="19"/>
        <v>45627</v>
      </c>
      <c r="O58" s="3358">
        <f t="shared" si="19"/>
        <v>45597</v>
      </c>
      <c r="P58" s="3359"/>
    </row>
    <row r="59" spans="1:29" s="3221" customFormat="1" ht="15">
      <c r="A59" s="3361"/>
      <c r="B59" s="3362"/>
      <c r="C59" s="3363">
        <v>100</v>
      </c>
      <c r="D59" s="3364">
        <v>100</v>
      </c>
      <c r="E59" s="3365">
        <v>100</v>
      </c>
      <c r="F59" s="3365">
        <v>99.5</v>
      </c>
      <c r="G59" s="3365">
        <f>F59</f>
        <v>99.5</v>
      </c>
      <c r="H59" s="3365">
        <f>G59</f>
        <v>99.5</v>
      </c>
      <c r="I59" s="3365"/>
      <c r="J59" s="3365"/>
      <c r="K59" s="3365"/>
      <c r="L59" s="3365"/>
      <c r="M59" s="3242"/>
      <c r="N59" s="3365"/>
      <c r="O59" s="3242"/>
      <c r="P59" s="3366"/>
    </row>
    <row r="60" spans="1:29" s="3221" customFormat="1" ht="15.75" thickBot="1">
      <c r="A60" s="3367" t="s">
        <v>3435</v>
      </c>
      <c r="B60" s="3368"/>
      <c r="C60" s="3369"/>
      <c r="D60" s="3370"/>
      <c r="E60" s="3370"/>
      <c r="F60" s="3370"/>
      <c r="G60" s="3370"/>
      <c r="H60" s="3370"/>
      <c r="I60" s="3370"/>
      <c r="J60" s="3370"/>
      <c r="K60" s="3370"/>
      <c r="L60" s="3370"/>
      <c r="M60" s="3371"/>
      <c r="N60" s="3370"/>
      <c r="O60" s="3371"/>
      <c r="P60" s="3366"/>
      <c r="Q60" s="3354"/>
    </row>
    <row r="61" spans="1:29" s="3221" customFormat="1" ht="15">
      <c r="A61" s="3372" t="s">
        <v>1681</v>
      </c>
      <c r="B61" s="3373"/>
      <c r="C61" s="3374" t="s">
        <v>3436</v>
      </c>
      <c r="D61" s="3375"/>
      <c r="E61" s="3375"/>
      <c r="F61" s="3375"/>
      <c r="G61" s="3375"/>
      <c r="H61" s="3375"/>
      <c r="I61" s="3375"/>
      <c r="J61" s="3375"/>
      <c r="K61" s="3375"/>
      <c r="L61" s="3376"/>
      <c r="M61" s="3377"/>
      <c r="N61" s="3378"/>
      <c r="O61" s="3378"/>
      <c r="P61" s="3379"/>
      <c r="Q61" s="3354"/>
    </row>
    <row r="62" spans="1:29" s="3221" customFormat="1" ht="15.75" thickBot="1">
      <c r="A62" s="3372"/>
      <c r="B62" s="3373"/>
      <c r="C62" s="3364">
        <v>100</v>
      </c>
      <c r="D62" s="3365"/>
      <c r="E62" s="3365"/>
      <c r="F62" s="3365"/>
      <c r="G62" s="3365"/>
      <c r="H62" s="3365"/>
      <c r="I62" s="3365"/>
      <c r="J62" s="3365"/>
      <c r="K62" s="3365"/>
      <c r="L62" s="3365"/>
      <c r="M62" s="3380"/>
      <c r="N62" s="3378"/>
      <c r="O62" s="3378"/>
      <c r="P62" s="3366"/>
      <c r="Q62" s="3354"/>
    </row>
    <row r="63" spans="1:29">
      <c r="A63" s="3254" t="s">
        <v>1719</v>
      </c>
      <c r="B63" s="3381" t="s">
        <v>1685</v>
      </c>
      <c r="C63" s="3382" t="str">
        <f>C9</f>
        <v>住宅</v>
      </c>
      <c r="D63" s="3383"/>
      <c r="E63" s="3383"/>
      <c r="F63" s="3383"/>
      <c r="G63" s="3383"/>
      <c r="H63" s="3383"/>
      <c r="I63" s="3383"/>
      <c r="J63" s="3383"/>
      <c r="K63" s="3384"/>
      <c r="L63" s="3385"/>
      <c r="M63" s="3386"/>
      <c r="N63" s="3387"/>
      <c r="O63" s="3387"/>
      <c r="P63" s="3388"/>
      <c r="Q63" s="3354"/>
    </row>
    <row r="64" spans="1:29" ht="15.75" thickBot="1">
      <c r="A64" s="3236"/>
      <c r="B64" s="3389"/>
      <c r="C64" s="3390">
        <v>100</v>
      </c>
      <c r="D64" s="3390"/>
      <c r="E64" s="3390"/>
      <c r="F64" s="3390"/>
      <c r="G64" s="3390"/>
      <c r="H64" s="3390"/>
      <c r="I64" s="3390"/>
      <c r="J64" s="3390"/>
      <c r="K64" s="3390"/>
      <c r="L64" s="3390"/>
      <c r="M64" s="3391"/>
      <c r="N64" s="3392"/>
      <c r="O64" s="3392"/>
      <c r="P64" s="3388"/>
      <c r="Q64" s="3354"/>
    </row>
    <row r="65" spans="1:17" ht="27.75" thickTop="1">
      <c r="A65" s="3236"/>
      <c r="B65" s="3393" t="s">
        <v>1688</v>
      </c>
      <c r="C65" s="3394"/>
      <c r="D65" s="3394"/>
      <c r="E65" s="3394"/>
      <c r="F65" s="3394"/>
      <c r="G65" s="3394"/>
      <c r="H65" s="3394"/>
      <c r="I65" s="3394"/>
      <c r="J65" s="3394"/>
      <c r="K65" s="3394"/>
      <c r="L65" s="3394"/>
      <c r="M65" s="3394"/>
      <c r="N65" s="3392"/>
      <c r="O65" s="3392"/>
      <c r="P65" s="3388"/>
      <c r="Q65" s="3354"/>
    </row>
    <row r="66" spans="1:17" ht="15.75" thickBot="1">
      <c r="A66" s="3236"/>
      <c r="B66" s="3395"/>
      <c r="C66" s="3390"/>
      <c r="D66" s="3390"/>
      <c r="E66" s="3390"/>
      <c r="F66" s="3390"/>
      <c r="G66" s="3390"/>
      <c r="H66" s="3390"/>
      <c r="I66" s="3390"/>
      <c r="J66" s="3390"/>
      <c r="K66" s="3390"/>
      <c r="L66" s="3390"/>
      <c r="M66" s="3391"/>
      <c r="N66" s="3392"/>
      <c r="O66" s="3392"/>
      <c r="P66" s="3388"/>
      <c r="Q66" s="3354"/>
    </row>
    <row r="67" spans="1:17" ht="15.75" thickTop="1">
      <c r="A67" s="3236"/>
      <c r="B67" s="3396" t="s">
        <v>1689</v>
      </c>
      <c r="C67" s="3397" t="str">
        <f>C68&amp;"（含）"&amp;"-"&amp;D68</f>
        <v>0（含）-1</v>
      </c>
      <c r="D67" s="3397" t="str">
        <f t="shared" ref="D67:L67" si="20">D68&amp;"（含）"&amp;"-"&amp;E68</f>
        <v>1（含）-2</v>
      </c>
      <c r="E67" s="3397" t="str">
        <f t="shared" si="20"/>
        <v>2（含）-3</v>
      </c>
      <c r="F67" s="3397" t="str">
        <f t="shared" si="20"/>
        <v>3（含）-</v>
      </c>
      <c r="G67" s="3397" t="str">
        <f t="shared" si="20"/>
        <v>（含）-</v>
      </c>
      <c r="H67" s="3397" t="str">
        <f t="shared" si="20"/>
        <v>（含）-</v>
      </c>
      <c r="I67" s="3397" t="str">
        <f t="shared" si="20"/>
        <v>（含）-</v>
      </c>
      <c r="J67" s="3397" t="str">
        <f t="shared" si="20"/>
        <v>（含）-</v>
      </c>
      <c r="K67" s="3397" t="str">
        <f>K68&amp;"（含）"&amp;"-"&amp;L68</f>
        <v>（含）-</v>
      </c>
      <c r="L67" s="3397" t="str">
        <f t="shared" si="20"/>
        <v>（含）-</v>
      </c>
      <c r="M67" s="3266" t="str">
        <f>M68&amp;"（含）"&amp;"-"&amp;P68</f>
        <v>（含）-</v>
      </c>
      <c r="N67" s="3392"/>
      <c r="O67" s="3392"/>
      <c r="P67" s="3388"/>
      <c r="Q67" s="3354"/>
    </row>
    <row r="68" spans="1:17" ht="15">
      <c r="A68" s="3236"/>
      <c r="B68" s="3398"/>
      <c r="C68" s="3399">
        <v>0</v>
      </c>
      <c r="D68" s="3399">
        <v>1</v>
      </c>
      <c r="E68" s="3399">
        <v>2</v>
      </c>
      <c r="F68" s="3399">
        <v>3</v>
      </c>
      <c r="G68" s="3399"/>
      <c r="H68" s="3399"/>
      <c r="I68" s="3399"/>
      <c r="J68" s="3399"/>
      <c r="K68" s="3400"/>
      <c r="L68" s="3401"/>
      <c r="M68" s="3402"/>
      <c r="N68" s="3387"/>
      <c r="O68" s="3387"/>
      <c r="P68" s="3388"/>
      <c r="Q68" s="3354"/>
    </row>
    <row r="69" spans="1:17" ht="15.75" thickBot="1">
      <c r="A69" s="3236"/>
      <c r="B69" s="3389"/>
      <c r="C69" s="3403">
        <v>100</v>
      </c>
      <c r="D69" s="3403">
        <f t="shared" ref="D69:M69" si="21">C69-$K11</f>
        <v>100</v>
      </c>
      <c r="E69" s="3403">
        <f t="shared" si="21"/>
        <v>100</v>
      </c>
      <c r="F69" s="3403">
        <f t="shared" si="21"/>
        <v>100</v>
      </c>
      <c r="G69" s="3403">
        <f t="shared" si="21"/>
        <v>100</v>
      </c>
      <c r="H69" s="3403">
        <f t="shared" si="21"/>
        <v>100</v>
      </c>
      <c r="I69" s="3403">
        <f t="shared" si="21"/>
        <v>100</v>
      </c>
      <c r="J69" s="3403">
        <f t="shared" si="21"/>
        <v>100</v>
      </c>
      <c r="K69" s="3403">
        <f t="shared" si="21"/>
        <v>100</v>
      </c>
      <c r="L69" s="3403">
        <f t="shared" si="21"/>
        <v>100</v>
      </c>
      <c r="M69" s="3404">
        <f t="shared" si="21"/>
        <v>100</v>
      </c>
      <c r="N69" s="3392"/>
      <c r="O69" s="3392"/>
      <c r="P69" s="3388"/>
      <c r="Q69" s="3354"/>
    </row>
    <row r="70" spans="1:17" s="3299" customFormat="1" ht="15.75" thickTop="1">
      <c r="A70" s="3405"/>
      <c r="B70" s="3393">
        <f>B12</f>
        <v>111</v>
      </c>
      <c r="C70" s="3406"/>
      <c r="D70" s="3406"/>
      <c r="E70" s="3406"/>
      <c r="F70" s="3406"/>
      <c r="G70" s="3406"/>
      <c r="H70" s="3407"/>
      <c r="I70" s="3407"/>
      <c r="J70" s="3407"/>
      <c r="K70" s="3407"/>
      <c r="L70" s="3408"/>
      <c r="M70" s="3409"/>
      <c r="N70" s="3410"/>
      <c r="O70" s="3410"/>
      <c r="P70" s="3411"/>
      <c r="Q70" s="3412"/>
    </row>
    <row r="71" spans="1:17" s="3299" customFormat="1" ht="15.75" thickBot="1">
      <c r="A71" s="3405"/>
      <c r="B71" s="3395"/>
      <c r="C71" s="3413"/>
      <c r="D71" s="3390"/>
      <c r="E71" s="3390"/>
      <c r="F71" s="3390"/>
      <c r="G71" s="3390"/>
      <c r="H71" s="3390"/>
      <c r="I71" s="3390"/>
      <c r="J71" s="3390"/>
      <c r="K71" s="3390"/>
      <c r="L71" s="3390"/>
      <c r="M71" s="3391"/>
      <c r="N71" s="3392"/>
      <c r="O71" s="3392"/>
      <c r="P71" s="3411"/>
      <c r="Q71" s="3412"/>
    </row>
    <row r="72" spans="1:17" s="3299" customFormat="1" ht="15.75" thickTop="1">
      <c r="A72" s="3405"/>
      <c r="B72" s="3393">
        <f>B13</f>
        <v>111</v>
      </c>
      <c r="C72" s="3406"/>
      <c r="D72" s="3406"/>
      <c r="E72" s="3406"/>
      <c r="F72" s="3406"/>
      <c r="G72" s="3406"/>
      <c r="H72" s="3407"/>
      <c r="I72" s="3407"/>
      <c r="J72" s="3407"/>
      <c r="K72" s="3407"/>
      <c r="L72" s="3408"/>
      <c r="M72" s="3409"/>
      <c r="N72" s="3410"/>
      <c r="O72" s="3410"/>
      <c r="P72" s="3414"/>
      <c r="Q72" s="3415"/>
    </row>
    <row r="73" spans="1:17" s="3299" customFormat="1" ht="15.75" thickBot="1">
      <c r="A73" s="3405"/>
      <c r="B73" s="3395"/>
      <c r="C73" s="3413"/>
      <c r="D73" s="3413"/>
      <c r="E73" s="3413"/>
      <c r="F73" s="3413"/>
      <c r="G73" s="3413"/>
      <c r="H73" s="3416"/>
      <c r="I73" s="3416"/>
      <c r="J73" s="3416"/>
      <c r="K73" s="3416"/>
      <c r="L73" s="3416"/>
      <c r="M73" s="3417"/>
      <c r="N73" s="3410"/>
      <c r="O73" s="3410"/>
      <c r="P73" s="3411"/>
      <c r="Q73" s="3412"/>
    </row>
    <row r="74" spans="1:17" s="3299" customFormat="1" ht="15.75" thickTop="1">
      <c r="A74" s="3405"/>
      <c r="B74" s="3396">
        <f>B14</f>
        <v>111</v>
      </c>
      <c r="C74" s="3406"/>
      <c r="D74" s="3406"/>
      <c r="E74" s="3406"/>
      <c r="F74" s="3406"/>
      <c r="G74" s="3375"/>
      <c r="H74" s="3418"/>
      <c r="I74" s="3418"/>
      <c r="J74" s="3418"/>
      <c r="K74" s="3418"/>
      <c r="L74" s="3419"/>
      <c r="M74" s="3420"/>
      <c r="N74" s="3410"/>
      <c r="O74" s="3410"/>
      <c r="P74" s="3421"/>
      <c r="Q74" s="3412"/>
    </row>
    <row r="75" spans="1:17" s="3299" customFormat="1" ht="15.75" thickBot="1">
      <c r="A75" s="3422"/>
      <c r="B75" s="3423"/>
      <c r="C75" s="3424"/>
      <c r="D75" s="3424"/>
      <c r="E75" s="3424"/>
      <c r="F75" s="3424"/>
      <c r="G75" s="3424"/>
      <c r="H75" s="3425"/>
      <c r="I75" s="3425"/>
      <c r="J75" s="3425"/>
      <c r="K75" s="3425"/>
      <c r="L75" s="3425"/>
      <c r="M75" s="3426"/>
      <c r="N75" s="3410"/>
      <c r="O75" s="3410"/>
      <c r="P75" s="3411"/>
      <c r="Q75" s="3412"/>
    </row>
    <row r="76" spans="1:17">
      <c r="A76" s="3254" t="s">
        <v>1690</v>
      </c>
      <c r="B76" s="3381" t="s">
        <v>1720</v>
      </c>
      <c r="C76" s="1577" t="s">
        <v>1721</v>
      </c>
      <c r="D76" s="1577" t="s">
        <v>1722</v>
      </c>
      <c r="E76" s="1577" t="s">
        <v>1723</v>
      </c>
      <c r="F76" s="1577" t="s">
        <v>1724</v>
      </c>
      <c r="G76" s="1577" t="s">
        <v>1725</v>
      </c>
      <c r="H76" s="3382"/>
      <c r="I76" s="3382"/>
      <c r="J76" s="3382"/>
      <c r="K76" s="3427"/>
      <c r="L76" s="3428"/>
      <c r="M76" s="3429"/>
      <c r="N76" s="3387"/>
      <c r="O76" s="3387"/>
      <c r="P76" s="3430"/>
      <c r="Q76" s="3354"/>
    </row>
    <row r="77" spans="1:17" ht="15.75" thickBot="1">
      <c r="A77" s="3236"/>
      <c r="B77" s="3395"/>
      <c r="C77" s="3403">
        <v>100</v>
      </c>
      <c r="D77" s="3403">
        <f>C77-$K15</f>
        <v>100</v>
      </c>
      <c r="E77" s="3403">
        <f>D77-$K15</f>
        <v>100</v>
      </c>
      <c r="F77" s="3403">
        <f>E77-$K15</f>
        <v>100</v>
      </c>
      <c r="G77" s="3403">
        <f>F77-$K15</f>
        <v>100</v>
      </c>
      <c r="H77" s="3403"/>
      <c r="I77" s="3403"/>
      <c r="J77" s="3403"/>
      <c r="K77" s="3403"/>
      <c r="L77" s="3403"/>
      <c r="M77" s="3404"/>
      <c r="N77" s="3392"/>
      <c r="O77" s="3392"/>
      <c r="P77" s="3388"/>
      <c r="Q77" s="3354"/>
    </row>
    <row r="78" spans="1:17" ht="15.75" thickTop="1">
      <c r="A78" s="3236"/>
      <c r="B78" s="3393" t="s">
        <v>1726</v>
      </c>
      <c r="C78" s="3431" t="s">
        <v>1721</v>
      </c>
      <c r="D78" s="3431" t="s">
        <v>1722</v>
      </c>
      <c r="E78" s="3431" t="s">
        <v>1723</v>
      </c>
      <c r="F78" s="3431" t="s">
        <v>1724</v>
      </c>
      <c r="G78" s="3431" t="s">
        <v>1725</v>
      </c>
      <c r="H78" s="3432"/>
      <c r="I78" s="3432"/>
      <c r="J78" s="3432"/>
      <c r="K78" s="3433"/>
      <c r="L78" s="3434"/>
      <c r="M78" s="3435"/>
      <c r="N78" s="3387"/>
      <c r="O78" s="3387"/>
      <c r="P78" s="3388"/>
      <c r="Q78" s="3354"/>
    </row>
    <row r="79" spans="1:17" ht="15.75" thickBot="1">
      <c r="A79" s="3236"/>
      <c r="B79" s="3395"/>
      <c r="C79" s="3403">
        <v>100</v>
      </c>
      <c r="D79" s="3403">
        <f>C79-$K17</f>
        <v>100</v>
      </c>
      <c r="E79" s="3403">
        <f>D79-$K17</f>
        <v>100</v>
      </c>
      <c r="F79" s="3403">
        <f>E79-$K17</f>
        <v>100</v>
      </c>
      <c r="G79" s="3403">
        <f>F79-$K17</f>
        <v>100</v>
      </c>
      <c r="H79" s="3403"/>
      <c r="I79" s="3403"/>
      <c r="J79" s="3403"/>
      <c r="K79" s="3403"/>
      <c r="L79" s="3403"/>
      <c r="M79" s="3404"/>
      <c r="N79" s="3392"/>
      <c r="O79" s="3392"/>
      <c r="P79" s="3388"/>
      <c r="Q79" s="3354"/>
    </row>
    <row r="80" spans="1:17" ht="15.75" thickTop="1">
      <c r="A80" s="3236"/>
      <c r="B80" s="3393" t="s">
        <v>1727</v>
      </c>
      <c r="C80" s="3431" t="s">
        <v>1721</v>
      </c>
      <c r="D80" s="3431" t="s">
        <v>1722</v>
      </c>
      <c r="E80" s="3431" t="s">
        <v>1723</v>
      </c>
      <c r="F80" s="3431" t="s">
        <v>1724</v>
      </c>
      <c r="G80" s="3431" t="s">
        <v>1725</v>
      </c>
      <c r="H80" s="3432"/>
      <c r="I80" s="3432"/>
      <c r="J80" s="3432"/>
      <c r="K80" s="3433"/>
      <c r="L80" s="3434"/>
      <c r="M80" s="3435"/>
      <c r="N80" s="3387"/>
      <c r="O80" s="3387"/>
      <c r="P80" s="3388"/>
      <c r="Q80" s="3354"/>
    </row>
    <row r="81" spans="1:17" ht="15.75" thickBot="1">
      <c r="A81" s="3236"/>
      <c r="B81" s="3395"/>
      <c r="C81" s="3403">
        <v>100</v>
      </c>
      <c r="D81" s="3403">
        <f>C81-$K19</f>
        <v>100</v>
      </c>
      <c r="E81" s="3403">
        <f>D81-$K19</f>
        <v>100</v>
      </c>
      <c r="F81" s="3403">
        <f>E81-$K19</f>
        <v>100</v>
      </c>
      <c r="G81" s="3403">
        <f>F81-$K19</f>
        <v>100</v>
      </c>
      <c r="H81" s="3403"/>
      <c r="I81" s="3403"/>
      <c r="J81" s="3403"/>
      <c r="K81" s="3403"/>
      <c r="L81" s="3403"/>
      <c r="M81" s="3404"/>
      <c r="N81" s="3392"/>
      <c r="O81" s="3392"/>
      <c r="P81" s="3388"/>
      <c r="Q81" s="3354"/>
    </row>
    <row r="82" spans="1:17" ht="15.75" thickTop="1">
      <c r="A82" s="3236"/>
      <c r="B82" s="3396" t="s">
        <v>3427</v>
      </c>
      <c r="C82" s="3432" t="s">
        <v>3437</v>
      </c>
      <c r="D82" s="3432" t="s">
        <v>3438</v>
      </c>
      <c r="E82" s="3432" t="s">
        <v>3439</v>
      </c>
      <c r="F82" s="3432" t="s">
        <v>3440</v>
      </c>
      <c r="G82" s="3432" t="s">
        <v>3441</v>
      </c>
      <c r="H82" s="3432"/>
      <c r="I82" s="3432"/>
      <c r="J82" s="3432"/>
      <c r="K82" s="3432"/>
      <c r="L82" s="3432"/>
      <c r="M82" s="3436"/>
      <c r="N82" s="3392"/>
      <c r="O82" s="3392"/>
      <c r="P82" s="3388"/>
      <c r="Q82" s="3354"/>
    </row>
    <row r="83" spans="1:17" ht="15.75" thickBot="1">
      <c r="A83" s="3236"/>
      <c r="B83" s="3396"/>
      <c r="C83" s="3269">
        <v>100</v>
      </c>
      <c r="D83" s="3269">
        <f>C83-$K21</f>
        <v>100</v>
      </c>
      <c r="E83" s="3269">
        <f t="shared" ref="E83:G83" si="22">D83-$K21</f>
        <v>100</v>
      </c>
      <c r="F83" s="3269">
        <f t="shared" si="22"/>
        <v>100</v>
      </c>
      <c r="G83" s="3269">
        <f t="shared" si="22"/>
        <v>100</v>
      </c>
      <c r="H83" s="3269"/>
      <c r="I83" s="3269"/>
      <c r="J83" s="3269"/>
      <c r="K83" s="3269"/>
      <c r="L83" s="3269"/>
      <c r="M83" s="3267"/>
      <c r="N83" s="3392"/>
      <c r="O83" s="3392"/>
      <c r="P83" s="3388"/>
      <c r="Q83" s="3354"/>
    </row>
    <row r="84" spans="1:17" ht="15.75" thickTop="1">
      <c r="A84" s="3236"/>
      <c r="B84" s="3393" t="s">
        <v>1733</v>
      </c>
      <c r="C84" s="3431" t="s">
        <v>1721</v>
      </c>
      <c r="D84" s="3431" t="s">
        <v>1722</v>
      </c>
      <c r="E84" s="3431" t="s">
        <v>1723</v>
      </c>
      <c r="F84" s="3431" t="s">
        <v>1724</v>
      </c>
      <c r="G84" s="3431" t="s">
        <v>1725</v>
      </c>
      <c r="H84" s="3432"/>
      <c r="I84" s="3432"/>
      <c r="J84" s="3432"/>
      <c r="K84" s="3433"/>
      <c r="L84" s="3434"/>
      <c r="M84" s="3435"/>
      <c r="N84" s="3387"/>
      <c r="O84" s="3387"/>
      <c r="P84" s="3388"/>
      <c r="Q84" s="3354"/>
    </row>
    <row r="85" spans="1:17" ht="15.75" thickBot="1">
      <c r="A85" s="3236"/>
      <c r="B85" s="3395"/>
      <c r="C85" s="3403">
        <v>100</v>
      </c>
      <c r="D85" s="3403">
        <f>C85-$K23</f>
        <v>100</v>
      </c>
      <c r="E85" s="3403">
        <f>D85-$K23</f>
        <v>100</v>
      </c>
      <c r="F85" s="3403">
        <f>E85-$K23</f>
        <v>100</v>
      </c>
      <c r="G85" s="3403">
        <f>F85-$K23</f>
        <v>100</v>
      </c>
      <c r="H85" s="3403"/>
      <c r="I85" s="3403"/>
      <c r="J85" s="3403"/>
      <c r="K85" s="3403"/>
      <c r="L85" s="3403"/>
      <c r="M85" s="3404"/>
      <c r="N85" s="3392"/>
      <c r="O85" s="3392"/>
      <c r="P85" s="3388"/>
      <c r="Q85" s="3354"/>
    </row>
    <row r="86" spans="1:17" s="3221" customFormat="1" ht="15.75" thickTop="1">
      <c r="A86" s="3241"/>
      <c r="B86" s="3393" t="s">
        <v>1734</v>
      </c>
      <c r="C86" s="3406"/>
      <c r="D86" s="3406"/>
      <c r="E86" s="3406"/>
      <c r="F86" s="3406"/>
      <c r="G86" s="3406"/>
      <c r="H86" s="3406"/>
      <c r="I86" s="3406"/>
      <c r="J86" s="3406"/>
      <c r="K86" s="3406"/>
      <c r="L86" s="3437"/>
      <c r="M86" s="3438"/>
      <c r="N86" s="3378"/>
      <c r="O86" s="3378"/>
      <c r="P86" s="3388"/>
      <c r="Q86" s="3354"/>
    </row>
    <row r="87" spans="1:17" s="3221" customFormat="1" ht="15.75" thickBot="1">
      <c r="A87" s="3241"/>
      <c r="B87" s="3395"/>
      <c r="C87" s="3439">
        <v>100</v>
      </c>
      <c r="D87" s="3403">
        <f t="shared" ref="D87:M87" si="23">$C$87-($C$86-D86)*$K$25</f>
        <v>100</v>
      </c>
      <c r="E87" s="3403">
        <f t="shared" si="23"/>
        <v>100</v>
      </c>
      <c r="F87" s="3403">
        <f t="shared" si="23"/>
        <v>100</v>
      </c>
      <c r="G87" s="3403">
        <f t="shared" si="23"/>
        <v>100</v>
      </c>
      <c r="H87" s="3403">
        <f t="shared" si="23"/>
        <v>100</v>
      </c>
      <c r="I87" s="3403">
        <f t="shared" si="23"/>
        <v>100</v>
      </c>
      <c r="J87" s="3403">
        <f t="shared" si="23"/>
        <v>100</v>
      </c>
      <c r="K87" s="3403">
        <f t="shared" si="23"/>
        <v>100</v>
      </c>
      <c r="L87" s="3403">
        <f t="shared" si="23"/>
        <v>100</v>
      </c>
      <c r="M87" s="3403">
        <f t="shared" si="23"/>
        <v>100</v>
      </c>
      <c r="N87" s="3392"/>
      <c r="O87" s="3392"/>
      <c r="P87" s="3388"/>
      <c r="Q87" s="3354"/>
    </row>
    <row r="88" spans="1:17" s="3221" customFormat="1" ht="15.75" thickTop="1">
      <c r="A88" s="3241"/>
      <c r="B88" s="3393" t="s">
        <v>1735</v>
      </c>
      <c r="C88" s="3440" t="s">
        <v>3442</v>
      </c>
      <c r="D88" s="3406"/>
      <c r="E88" s="3406"/>
      <c r="F88" s="3441"/>
      <c r="G88" s="3406"/>
      <c r="H88" s="3406"/>
      <c r="I88" s="3406"/>
      <c r="J88" s="3406"/>
      <c r="K88" s="3406"/>
      <c r="L88" s="3406"/>
      <c r="M88" s="3438"/>
      <c r="N88" s="3378"/>
      <c r="O88" s="3378"/>
      <c r="P88" s="3388"/>
      <c r="Q88" s="3354"/>
    </row>
    <row r="89" spans="1:17" s="3221" customFormat="1" ht="15.75" thickBot="1">
      <c r="A89" s="3241"/>
      <c r="B89" s="3395"/>
      <c r="C89" s="3439">
        <v>100</v>
      </c>
      <c r="D89" s="3403">
        <f t="shared" ref="D89:M89" si="24">C89-$K26</f>
        <v>100</v>
      </c>
      <c r="E89" s="3403">
        <f t="shared" si="24"/>
        <v>100</v>
      </c>
      <c r="F89" s="3403">
        <f t="shared" si="24"/>
        <v>100</v>
      </c>
      <c r="G89" s="3403">
        <f t="shared" si="24"/>
        <v>100</v>
      </c>
      <c r="H89" s="3403">
        <f t="shared" si="24"/>
        <v>100</v>
      </c>
      <c r="I89" s="3403">
        <f t="shared" si="24"/>
        <v>100</v>
      </c>
      <c r="J89" s="3403">
        <f t="shared" si="24"/>
        <v>100</v>
      </c>
      <c r="K89" s="3403">
        <f t="shared" si="24"/>
        <v>100</v>
      </c>
      <c r="L89" s="3403">
        <f t="shared" si="24"/>
        <v>100</v>
      </c>
      <c r="M89" s="3403">
        <f t="shared" si="24"/>
        <v>100</v>
      </c>
      <c r="N89" s="3392"/>
      <c r="O89" s="3392"/>
      <c r="P89" s="3388"/>
      <c r="Q89" s="3354"/>
    </row>
    <row r="90" spans="1:17" s="3299" customFormat="1" ht="15.75" thickTop="1">
      <c r="A90" s="3405"/>
      <c r="B90" s="3393">
        <f>B27</f>
        <v>111</v>
      </c>
      <c r="C90" s="3406"/>
      <c r="D90" s="3406"/>
      <c r="E90" s="3406"/>
      <c r="F90" s="3406"/>
      <c r="G90" s="3406"/>
      <c r="H90" s="3407"/>
      <c r="I90" s="3407"/>
      <c r="J90" s="3407"/>
      <c r="K90" s="3407"/>
      <c r="L90" s="3408"/>
      <c r="M90" s="3409"/>
      <c r="N90" s="3410"/>
      <c r="O90" s="3410"/>
      <c r="P90" s="3411"/>
      <c r="Q90" s="3412"/>
    </row>
    <row r="91" spans="1:17" s="3299" customFormat="1" ht="15.75" thickBot="1">
      <c r="A91" s="3405"/>
      <c r="B91" s="3395"/>
      <c r="C91" s="3413"/>
      <c r="D91" s="3413"/>
      <c r="E91" s="3413"/>
      <c r="F91" s="3413"/>
      <c r="G91" s="3413"/>
      <c r="H91" s="3416"/>
      <c r="I91" s="3416"/>
      <c r="J91" s="3416"/>
      <c r="K91" s="3416"/>
      <c r="L91" s="3416"/>
      <c r="M91" s="3417"/>
      <c r="N91" s="3410"/>
      <c r="O91" s="3410"/>
      <c r="P91" s="3411"/>
      <c r="Q91" s="3412"/>
    </row>
    <row r="92" spans="1:17" ht="15.75" thickTop="1">
      <c r="A92" s="3236"/>
      <c r="B92" s="3393">
        <f>B28</f>
        <v>111</v>
      </c>
      <c r="C92" s="3406"/>
      <c r="D92" s="3406"/>
      <c r="E92" s="3406"/>
      <c r="F92" s="3406"/>
      <c r="G92" s="3394"/>
      <c r="H92" s="3394"/>
      <c r="I92" s="3394"/>
      <c r="J92" s="3394"/>
      <c r="K92" s="3442"/>
      <c r="L92" s="3443"/>
      <c r="M92" s="3444"/>
      <c r="N92" s="3387"/>
      <c r="O92" s="3387"/>
      <c r="P92" s="3388"/>
      <c r="Q92" s="3354"/>
    </row>
    <row r="93" spans="1:17" ht="15.75" thickBot="1">
      <c r="A93" s="3236"/>
      <c r="B93" s="3395"/>
      <c r="C93" s="3413"/>
      <c r="D93" s="3390"/>
      <c r="E93" s="3390"/>
      <c r="F93" s="3390"/>
      <c r="G93" s="3390"/>
      <c r="H93" s="3390"/>
      <c r="I93" s="3390"/>
      <c r="J93" s="3390"/>
      <c r="K93" s="3390"/>
      <c r="L93" s="3390"/>
      <c r="M93" s="3391"/>
      <c r="N93" s="3392"/>
      <c r="O93" s="3392"/>
      <c r="P93" s="3388"/>
      <c r="Q93" s="3354"/>
    </row>
    <row r="94" spans="1:17" ht="15.75" thickTop="1">
      <c r="A94" s="3236"/>
      <c r="B94" s="3393">
        <f>B29</f>
        <v>111</v>
      </c>
      <c r="C94" s="3406"/>
      <c r="D94" s="3406"/>
      <c r="E94" s="3406"/>
      <c r="F94" s="3406"/>
      <c r="G94" s="3394"/>
      <c r="H94" s="3394"/>
      <c r="I94" s="3394"/>
      <c r="J94" s="3394"/>
      <c r="K94" s="3442"/>
      <c r="L94" s="3443"/>
      <c r="M94" s="3444"/>
      <c r="N94" s="3387"/>
      <c r="O94" s="3387"/>
      <c r="P94" s="3388"/>
      <c r="Q94" s="3354"/>
    </row>
    <row r="95" spans="1:17" ht="15.75" thickBot="1">
      <c r="A95" s="3236"/>
      <c r="B95" s="3395"/>
      <c r="C95" s="3413"/>
      <c r="D95" s="3413"/>
      <c r="E95" s="3413"/>
      <c r="F95" s="3413"/>
      <c r="G95" s="3390"/>
      <c r="H95" s="3390"/>
      <c r="I95" s="3390"/>
      <c r="J95" s="3390"/>
      <c r="K95" s="3390"/>
      <c r="L95" s="3390"/>
      <c r="M95" s="3391"/>
      <c r="N95" s="3392"/>
      <c r="O95" s="3392"/>
      <c r="P95" s="3388"/>
      <c r="Q95" s="3354"/>
    </row>
    <row r="96" spans="1:17" ht="15.75" thickTop="1">
      <c r="A96" s="3236"/>
      <c r="B96" s="3393">
        <f>B30</f>
        <v>111</v>
      </c>
      <c r="C96" s="3406"/>
      <c r="D96" s="3406"/>
      <c r="E96" s="3406"/>
      <c r="F96" s="3406"/>
      <c r="G96" s="3394"/>
      <c r="H96" s="3394"/>
      <c r="I96" s="3394"/>
      <c r="J96" s="3394"/>
      <c r="K96" s="3442"/>
      <c r="L96" s="3443"/>
      <c r="M96" s="3444"/>
      <c r="N96" s="3387"/>
      <c r="O96" s="3387"/>
      <c r="P96" s="3388"/>
      <c r="Q96" s="3354"/>
    </row>
    <row r="97" spans="1:17" ht="15.75" thickBot="1">
      <c r="A97" s="3236"/>
      <c r="B97" s="3395"/>
      <c r="C97" s="3424"/>
      <c r="D97" s="3424"/>
      <c r="E97" s="3424"/>
      <c r="F97" s="3424"/>
      <c r="G97" s="3390"/>
      <c r="H97" s="3390"/>
      <c r="I97" s="3390"/>
      <c r="J97" s="3390"/>
      <c r="K97" s="3390"/>
      <c r="L97" s="3390"/>
      <c r="M97" s="3391"/>
      <c r="N97" s="3392"/>
      <c r="O97" s="3392"/>
      <c r="P97" s="3388"/>
      <c r="Q97" s="3354"/>
    </row>
    <row r="98" spans="1:17" ht="15.75" thickTop="1">
      <c r="A98" s="3236"/>
      <c r="B98" s="3396">
        <f>B31</f>
        <v>111</v>
      </c>
      <c r="C98" s="3445"/>
      <c r="D98" s="3445"/>
      <c r="E98" s="3445"/>
      <c r="F98" s="3445"/>
      <c r="G98" s="3445"/>
      <c r="H98" s="3445"/>
      <c r="I98" s="3445"/>
      <c r="J98" s="3445"/>
      <c r="K98" s="3446"/>
      <c r="L98" s="3447"/>
      <c r="M98" s="3448"/>
      <c r="N98" s="3387"/>
      <c r="O98" s="3387"/>
      <c r="P98" s="3388"/>
      <c r="Q98" s="3354"/>
    </row>
    <row r="99" spans="1:17" ht="15.75" thickBot="1">
      <c r="A99" s="3249"/>
      <c r="B99" s="3423"/>
      <c r="C99" s="3449"/>
      <c r="D99" s="3449"/>
      <c r="E99" s="3449"/>
      <c r="F99" s="3449"/>
      <c r="G99" s="3449"/>
      <c r="H99" s="3449"/>
      <c r="I99" s="3449"/>
      <c r="J99" s="3449"/>
      <c r="K99" s="3449"/>
      <c r="L99" s="3449"/>
      <c r="M99" s="3450"/>
      <c r="N99" s="3392"/>
      <c r="O99" s="3392"/>
      <c r="P99" s="3388"/>
      <c r="Q99" s="3354"/>
    </row>
    <row r="100" spans="1:17">
      <c r="A100" s="3254" t="s">
        <v>1694</v>
      </c>
      <c r="B100" s="3381" t="s">
        <v>1736</v>
      </c>
      <c r="C100" s="3451" t="s">
        <v>3635</v>
      </c>
      <c r="D100" s="3451" t="s">
        <v>3708</v>
      </c>
      <c r="E100" s="3383"/>
      <c r="F100" s="3383"/>
      <c r="G100" s="3383"/>
      <c r="H100" s="3383"/>
      <c r="I100" s="3383"/>
      <c r="J100" s="3383"/>
      <c r="K100" s="3384"/>
      <c r="L100" s="3385"/>
      <c r="M100" s="3386"/>
      <c r="N100" s="3387"/>
      <c r="O100" s="3387"/>
      <c r="P100" s="3388"/>
      <c r="Q100" s="3354"/>
    </row>
    <row r="101" spans="1:17" ht="15.75" thickBot="1">
      <c r="A101" s="3236"/>
      <c r="B101" s="3395"/>
      <c r="C101" s="3403">
        <v>100</v>
      </c>
      <c r="D101" s="3403">
        <f t="shared" ref="D101:M101" si="25">C101-$K32</f>
        <v>98</v>
      </c>
      <c r="E101" s="3403">
        <f t="shared" si="25"/>
        <v>96</v>
      </c>
      <c r="F101" s="3403">
        <f t="shared" si="25"/>
        <v>94</v>
      </c>
      <c r="G101" s="3403">
        <f t="shared" si="25"/>
        <v>92</v>
      </c>
      <c r="H101" s="3403">
        <f t="shared" si="25"/>
        <v>90</v>
      </c>
      <c r="I101" s="3403">
        <f t="shared" si="25"/>
        <v>88</v>
      </c>
      <c r="J101" s="3403">
        <f t="shared" si="25"/>
        <v>86</v>
      </c>
      <c r="K101" s="3403">
        <f t="shared" si="25"/>
        <v>84</v>
      </c>
      <c r="L101" s="3403">
        <f t="shared" si="25"/>
        <v>82</v>
      </c>
      <c r="M101" s="3403">
        <f t="shared" si="25"/>
        <v>80</v>
      </c>
      <c r="N101" s="3392"/>
      <c r="O101" s="3392"/>
      <c r="P101" s="3388"/>
      <c r="Q101" s="3354"/>
    </row>
    <row r="102" spans="1:17" ht="15.75" thickTop="1">
      <c r="A102" s="3236"/>
      <c r="B102" s="3393" t="s">
        <v>1737</v>
      </c>
      <c r="C102" s="3431" t="str">
        <f>C103&amp;"(含)"&amp;"-"&amp;D103</f>
        <v>0(含)-60</v>
      </c>
      <c r="D102" s="3431" t="str">
        <f t="shared" ref="D102:L102" si="26">D103&amp;"(含)"&amp;"-"&amp;E103</f>
        <v>60(含)-90</v>
      </c>
      <c r="E102" s="3431" t="str">
        <f t="shared" si="26"/>
        <v>90(含)-120</v>
      </c>
      <c r="F102" s="3431" t="str">
        <f t="shared" si="26"/>
        <v>120(含)-</v>
      </c>
      <c r="G102" s="3431" t="str">
        <f t="shared" si="26"/>
        <v>(含)-</v>
      </c>
      <c r="H102" s="3431" t="str">
        <f t="shared" si="26"/>
        <v>(含)-</v>
      </c>
      <c r="I102" s="3431" t="str">
        <f t="shared" si="26"/>
        <v>(含)-</v>
      </c>
      <c r="J102" s="3431" t="str">
        <f t="shared" si="26"/>
        <v>(含)-</v>
      </c>
      <c r="K102" s="3431" t="str">
        <f>K103&amp;"(含)"&amp;"-"&amp;L103</f>
        <v>(含)-</v>
      </c>
      <c r="L102" s="3431" t="str">
        <f t="shared" si="26"/>
        <v>(含)-</v>
      </c>
      <c r="M102" s="3431" t="str">
        <f>M103&amp;"(含)"&amp;"-"&amp;P103</f>
        <v>(含)-</v>
      </c>
      <c r="N102" s="3378"/>
      <c r="O102" s="3378"/>
      <c r="P102" s="3388"/>
      <c r="Q102" s="3354"/>
    </row>
    <row r="103" spans="1:17" s="3299" customFormat="1">
      <c r="A103" s="3291"/>
      <c r="B103" s="3452"/>
      <c r="C103" s="3453">
        <v>0</v>
      </c>
      <c r="D103" s="3453">
        <v>60</v>
      </c>
      <c r="E103" s="3453">
        <v>90</v>
      </c>
      <c r="F103" s="3453">
        <v>120</v>
      </c>
      <c r="G103" s="3453"/>
      <c r="H103" s="3453"/>
      <c r="I103" s="3453"/>
      <c r="J103" s="3454"/>
      <c r="K103" s="3454"/>
      <c r="L103" s="3455"/>
      <c r="M103" s="3456"/>
      <c r="N103" s="3410"/>
      <c r="O103" s="3410"/>
      <c r="P103" s="3411"/>
      <c r="Q103" s="3412"/>
    </row>
    <row r="104" spans="1:17" s="3299" customFormat="1" ht="15.75" thickBot="1">
      <c r="A104" s="3405"/>
      <c r="B104" s="3395"/>
      <c r="C104" s="3413">
        <v>100</v>
      </c>
      <c r="D104" s="3413">
        <v>100</v>
      </c>
      <c r="E104" s="3413">
        <v>100</v>
      </c>
      <c r="F104" s="3413">
        <v>100</v>
      </c>
      <c r="G104" s="3390"/>
      <c r="H104" s="3390"/>
      <c r="I104" s="3390"/>
      <c r="J104" s="3390"/>
      <c r="K104" s="3390"/>
      <c r="L104" s="3390"/>
      <c r="M104" s="3390"/>
      <c r="N104" s="3392"/>
      <c r="O104" s="3392"/>
      <c r="P104" s="3411"/>
      <c r="Q104" s="3412"/>
    </row>
    <row r="105" spans="1:17" ht="15" thickTop="1">
      <c r="A105" s="3300"/>
      <c r="B105" s="3393" t="s">
        <v>1738</v>
      </c>
      <c r="C105" s="3440" t="s">
        <v>3443</v>
      </c>
      <c r="D105" s="3440" t="s">
        <v>3640</v>
      </c>
      <c r="E105" s="3394"/>
      <c r="F105" s="3394"/>
      <c r="G105" s="3394"/>
      <c r="H105" s="3394"/>
      <c r="I105" s="3394"/>
      <c r="J105" s="3394"/>
      <c r="K105" s="3442"/>
      <c r="L105" s="3443"/>
      <c r="M105" s="3444"/>
      <c r="N105" s="3387"/>
      <c r="O105" s="3387"/>
      <c r="P105" s="3388"/>
      <c r="Q105" s="3354"/>
    </row>
    <row r="106" spans="1:17" ht="15.75" thickBot="1">
      <c r="A106" s="3236"/>
      <c r="B106" s="3395"/>
      <c r="C106" s="3403">
        <v>100</v>
      </c>
      <c r="D106" s="3403">
        <f t="shared" ref="D106:M106" si="27">C106-$K34</f>
        <v>100</v>
      </c>
      <c r="E106" s="3403">
        <f t="shared" si="27"/>
        <v>100</v>
      </c>
      <c r="F106" s="3403">
        <f t="shared" si="27"/>
        <v>100</v>
      </c>
      <c r="G106" s="3403">
        <f t="shared" si="27"/>
        <v>100</v>
      </c>
      <c r="H106" s="3403">
        <f t="shared" si="27"/>
        <v>100</v>
      </c>
      <c r="I106" s="3403">
        <f t="shared" si="27"/>
        <v>100</v>
      </c>
      <c r="J106" s="3403">
        <f t="shared" si="27"/>
        <v>100</v>
      </c>
      <c r="K106" s="3403">
        <f t="shared" si="27"/>
        <v>100</v>
      </c>
      <c r="L106" s="3403">
        <f t="shared" si="27"/>
        <v>100</v>
      </c>
      <c r="M106" s="3403">
        <f t="shared" si="27"/>
        <v>100</v>
      </c>
      <c r="N106" s="3392"/>
      <c r="O106" s="3392"/>
      <c r="P106" s="3388"/>
      <c r="Q106" s="3354"/>
    </row>
    <row r="107" spans="1:17" ht="15" thickTop="1">
      <c r="A107" s="3300"/>
      <c r="B107" s="3393" t="s">
        <v>1739</v>
      </c>
      <c r="C107" s="3394"/>
      <c r="D107" s="3394"/>
      <c r="E107" s="3394"/>
      <c r="F107" s="3394"/>
      <c r="G107" s="3394"/>
      <c r="H107" s="3394"/>
      <c r="I107" s="3394"/>
      <c r="J107" s="3394"/>
      <c r="K107" s="3442"/>
      <c r="L107" s="3443"/>
      <c r="M107" s="3444"/>
      <c r="N107" s="3387"/>
      <c r="O107" s="3387"/>
      <c r="P107" s="3388"/>
      <c r="Q107" s="3354"/>
    </row>
    <row r="108" spans="1:17" ht="15.75" thickBot="1">
      <c r="A108" s="3236"/>
      <c r="B108" s="3395"/>
      <c r="C108" s="3403">
        <v>100</v>
      </c>
      <c r="D108" s="3403">
        <f t="shared" ref="D108:M108" si="28">C108-$K35</f>
        <v>100</v>
      </c>
      <c r="E108" s="3403">
        <f t="shared" si="28"/>
        <v>100</v>
      </c>
      <c r="F108" s="3403">
        <f t="shared" si="28"/>
        <v>100</v>
      </c>
      <c r="G108" s="3403">
        <f t="shared" si="28"/>
        <v>100</v>
      </c>
      <c r="H108" s="3403">
        <f t="shared" si="28"/>
        <v>100</v>
      </c>
      <c r="I108" s="3403">
        <f t="shared" si="28"/>
        <v>100</v>
      </c>
      <c r="J108" s="3403">
        <f t="shared" si="28"/>
        <v>100</v>
      </c>
      <c r="K108" s="3403">
        <f t="shared" si="28"/>
        <v>100</v>
      </c>
      <c r="L108" s="3403">
        <f t="shared" si="28"/>
        <v>100</v>
      </c>
      <c r="M108" s="3403">
        <f t="shared" si="28"/>
        <v>100</v>
      </c>
      <c r="N108" s="3392"/>
      <c r="O108" s="3392"/>
      <c r="P108" s="3388"/>
      <c r="Q108" s="3354"/>
    </row>
    <row r="109" spans="1:17" ht="15" thickTop="1">
      <c r="A109" s="3300"/>
      <c r="B109" s="3393" t="s">
        <v>1740</v>
      </c>
      <c r="C109" s="3406"/>
      <c r="D109" s="3406"/>
      <c r="E109" s="3406"/>
      <c r="F109" s="3394"/>
      <c r="G109" s="3394"/>
      <c r="H109" s="3394"/>
      <c r="I109" s="3394"/>
      <c r="J109" s="3394"/>
      <c r="K109" s="3442"/>
      <c r="L109" s="3443"/>
      <c r="M109" s="3444"/>
      <c r="N109" s="3387"/>
      <c r="O109" s="3387"/>
      <c r="P109" s="3388"/>
      <c r="Q109" s="3354"/>
    </row>
    <row r="110" spans="1:17" ht="15.75" thickBot="1">
      <c r="A110" s="3236"/>
      <c r="B110" s="3395"/>
      <c r="C110" s="3403">
        <v>100</v>
      </c>
      <c r="D110" s="3403">
        <f t="shared" ref="D110:M110" si="29">C110-$K36</f>
        <v>100</v>
      </c>
      <c r="E110" s="3403">
        <f t="shared" si="29"/>
        <v>100</v>
      </c>
      <c r="F110" s="3403">
        <f t="shared" si="29"/>
        <v>100</v>
      </c>
      <c r="G110" s="3403">
        <f t="shared" si="29"/>
        <v>100</v>
      </c>
      <c r="H110" s="3403">
        <f t="shared" si="29"/>
        <v>100</v>
      </c>
      <c r="I110" s="3403">
        <f t="shared" si="29"/>
        <v>100</v>
      </c>
      <c r="J110" s="3403">
        <f t="shared" si="29"/>
        <v>100</v>
      </c>
      <c r="K110" s="3403">
        <f t="shared" si="29"/>
        <v>100</v>
      </c>
      <c r="L110" s="3403">
        <f t="shared" si="29"/>
        <v>100</v>
      </c>
      <c r="M110" s="3403">
        <f t="shared" si="29"/>
        <v>100</v>
      </c>
      <c r="N110" s="3392"/>
      <c r="O110" s="3392"/>
      <c r="P110" s="3388"/>
      <c r="Q110" s="3354"/>
    </row>
    <row r="111" spans="1:17" s="3299" customFormat="1" ht="15" thickTop="1">
      <c r="A111" s="3291"/>
      <c r="B111" s="3393" t="s">
        <v>1190</v>
      </c>
      <c r="C111" s="3431" t="str">
        <f>C112&amp;"(含)"&amp;"-"&amp;D112</f>
        <v>0.5(含)-0.6</v>
      </c>
      <c r="D111" s="3431" t="str">
        <f>D112&amp;"(含)"&amp;"-"&amp;E112</f>
        <v>0.6(含)-0.7</v>
      </c>
      <c r="E111" s="3431" t="str">
        <f>E112&amp;"(含)"&amp;"-"&amp;F112</f>
        <v>0.7(含)-0.8</v>
      </c>
      <c r="F111" s="3431" t="str">
        <f>F112&amp;"(含)"&amp;"-"&amp;G112</f>
        <v>0.8(含)-0.9</v>
      </c>
      <c r="G111" s="3431" t="str">
        <f>G112&amp;"(含)"&amp;"-"&amp;ROUND(H112,0)&amp;"(含)"</f>
        <v>0.9(含)-1(含)</v>
      </c>
      <c r="H111" s="3431" t="str">
        <f>ROUND(H112,0)&amp;"(含)"&amp;"-"&amp;I112</f>
        <v>1(含)-</v>
      </c>
      <c r="I111" s="3431"/>
      <c r="J111" s="3457"/>
      <c r="K111" s="3457"/>
      <c r="L111" s="3458"/>
      <c r="M111" s="3459"/>
      <c r="N111" s="3410"/>
      <c r="O111" s="3410"/>
      <c r="P111" s="3411"/>
      <c r="Q111" s="3412"/>
    </row>
    <row r="112" spans="1:17" s="3299" customFormat="1">
      <c r="A112" s="3291"/>
      <c r="B112" s="3396"/>
      <c r="C112" s="1585">
        <v>0.5</v>
      </c>
      <c r="D112" s="1585">
        <v>0.6</v>
      </c>
      <c r="E112" s="1585">
        <v>0.7</v>
      </c>
      <c r="F112" s="1585">
        <v>0.8</v>
      </c>
      <c r="G112" s="1585">
        <v>0.9</v>
      </c>
      <c r="H112" s="1585">
        <v>1.0001</v>
      </c>
      <c r="I112" s="1585"/>
      <c r="J112" s="3294"/>
      <c r="K112" s="3294"/>
      <c r="L112" s="3460"/>
      <c r="M112" s="3461"/>
      <c r="N112" s="3410"/>
      <c r="O112" s="3410"/>
      <c r="P112" s="3411"/>
      <c r="Q112" s="3412"/>
    </row>
    <row r="113" spans="1:17" s="3299" customFormat="1" ht="15.75" thickBot="1">
      <c r="A113" s="3405"/>
      <c r="B113" s="3395"/>
      <c r="C113" s="3439">
        <v>100</v>
      </c>
      <c r="D113" s="3403">
        <f>C113+$K37</f>
        <v>100</v>
      </c>
      <c r="E113" s="3403">
        <f>D113+$K37</f>
        <v>100</v>
      </c>
      <c r="F113" s="3403">
        <f>E113+$K37</f>
        <v>100</v>
      </c>
      <c r="G113" s="3403">
        <f>F113+$K37</f>
        <v>100</v>
      </c>
      <c r="H113" s="3403">
        <f>G113+$K37</f>
        <v>100</v>
      </c>
      <c r="I113" s="3439"/>
      <c r="J113" s="3462"/>
      <c r="K113" s="3462"/>
      <c r="L113" s="3462"/>
      <c r="M113" s="3463"/>
      <c r="N113" s="3410"/>
      <c r="O113" s="3410"/>
      <c r="P113" s="3411"/>
      <c r="Q113" s="3412"/>
    </row>
    <row r="114" spans="1:17" ht="15" thickTop="1">
      <c r="A114" s="3300"/>
      <c r="B114" s="3393" t="s">
        <v>1741</v>
      </c>
      <c r="C114" s="3440" t="s">
        <v>3444</v>
      </c>
      <c r="D114" s="3406"/>
      <c r="E114" s="3394"/>
      <c r="F114" s="3394"/>
      <c r="G114" s="3394"/>
      <c r="H114" s="3394"/>
      <c r="I114" s="3394"/>
      <c r="J114" s="3394"/>
      <c r="K114" s="3442"/>
      <c r="L114" s="3443"/>
      <c r="M114" s="3444"/>
      <c r="N114" s="3387"/>
      <c r="O114" s="3387"/>
      <c r="P114" s="3388"/>
      <c r="Q114" s="3354"/>
    </row>
    <row r="115" spans="1:17" ht="15.75" thickBot="1">
      <c r="A115" s="3236"/>
      <c r="B115" s="3395"/>
      <c r="C115" s="3403">
        <v>100</v>
      </c>
      <c r="D115" s="3403">
        <f t="shared" ref="D115:M115" si="30">C115-$K38</f>
        <v>100</v>
      </c>
      <c r="E115" s="3403">
        <f t="shared" si="30"/>
        <v>100</v>
      </c>
      <c r="F115" s="3403">
        <f t="shared" si="30"/>
        <v>100</v>
      </c>
      <c r="G115" s="3403">
        <f t="shared" si="30"/>
        <v>100</v>
      </c>
      <c r="H115" s="3403">
        <f t="shared" si="30"/>
        <v>100</v>
      </c>
      <c r="I115" s="3403">
        <f t="shared" si="30"/>
        <v>100</v>
      </c>
      <c r="J115" s="3403">
        <f t="shared" si="30"/>
        <v>100</v>
      </c>
      <c r="K115" s="3403">
        <f t="shared" si="30"/>
        <v>100</v>
      </c>
      <c r="L115" s="3403">
        <f t="shared" si="30"/>
        <v>100</v>
      </c>
      <c r="M115" s="3403">
        <f t="shared" si="30"/>
        <v>100</v>
      </c>
      <c r="N115" s="3392"/>
      <c r="O115" s="3392"/>
      <c r="P115" s="3388"/>
      <c r="Q115" s="3354"/>
    </row>
    <row r="116" spans="1:17" ht="15" thickTop="1">
      <c r="A116" s="3300"/>
      <c r="B116" s="3393" t="s">
        <v>1742</v>
      </c>
      <c r="C116" s="3406"/>
      <c r="D116" s="3406"/>
      <c r="E116" s="3406"/>
      <c r="F116" s="3406"/>
      <c r="G116" s="3406"/>
      <c r="H116" s="3394"/>
      <c r="I116" s="3394"/>
      <c r="J116" s="3394"/>
      <c r="K116" s="3442"/>
      <c r="L116" s="3443"/>
      <c r="M116" s="3444"/>
      <c r="N116" s="3387"/>
      <c r="O116" s="3387"/>
      <c r="P116" s="3388"/>
      <c r="Q116" s="3354"/>
    </row>
    <row r="117" spans="1:17" ht="15.75" thickBot="1">
      <c r="A117" s="3236"/>
      <c r="B117" s="3395"/>
      <c r="C117" s="3403">
        <v>100</v>
      </c>
      <c r="D117" s="3403">
        <f>C117-$K39</f>
        <v>100</v>
      </c>
      <c r="E117" s="3403">
        <f>D117-$K39</f>
        <v>100</v>
      </c>
      <c r="F117" s="3403">
        <f>E117-$K39</f>
        <v>100</v>
      </c>
      <c r="G117" s="3403">
        <f>F117-$K39</f>
        <v>100</v>
      </c>
      <c r="H117" s="3403"/>
      <c r="I117" s="3403"/>
      <c r="J117" s="3403"/>
      <c r="K117" s="3403"/>
      <c r="L117" s="3403"/>
      <c r="M117" s="3404"/>
      <c r="N117" s="3392"/>
      <c r="O117" s="3392"/>
      <c r="P117" s="3388"/>
      <c r="Q117" s="3354"/>
    </row>
    <row r="118" spans="1:17" ht="15" thickTop="1">
      <c r="A118" s="3300"/>
      <c r="B118" s="3393" t="s">
        <v>1743</v>
      </c>
      <c r="C118" s="3394"/>
      <c r="D118" s="3394"/>
      <c r="E118" s="3394"/>
      <c r="F118" s="3394"/>
      <c r="G118" s="3394"/>
      <c r="H118" s="3394"/>
      <c r="I118" s="3394"/>
      <c r="J118" s="3394"/>
      <c r="K118" s="3442"/>
      <c r="L118" s="3443"/>
      <c r="M118" s="3444"/>
      <c r="N118" s="3387"/>
      <c r="O118" s="3387"/>
      <c r="P118" s="3388"/>
      <c r="Q118" s="3354"/>
    </row>
    <row r="119" spans="1:17" ht="15.75" thickBot="1">
      <c r="A119" s="3236"/>
      <c r="B119" s="3395"/>
      <c r="C119" s="3403">
        <v>100</v>
      </c>
      <c r="D119" s="3403">
        <f t="shared" ref="D119:M119" si="31">C119-$K40</f>
        <v>100</v>
      </c>
      <c r="E119" s="3403">
        <f t="shared" si="31"/>
        <v>100</v>
      </c>
      <c r="F119" s="3403">
        <f t="shared" si="31"/>
        <v>100</v>
      </c>
      <c r="G119" s="3403">
        <f t="shared" si="31"/>
        <v>100</v>
      </c>
      <c r="H119" s="3403">
        <f t="shared" si="31"/>
        <v>100</v>
      </c>
      <c r="I119" s="3403">
        <f t="shared" si="31"/>
        <v>100</v>
      </c>
      <c r="J119" s="3403">
        <f t="shared" si="31"/>
        <v>100</v>
      </c>
      <c r="K119" s="3403">
        <f t="shared" si="31"/>
        <v>100</v>
      </c>
      <c r="L119" s="3403">
        <f t="shared" si="31"/>
        <v>100</v>
      </c>
      <c r="M119" s="3403">
        <f t="shared" si="31"/>
        <v>100</v>
      </c>
      <c r="N119" s="3392"/>
      <c r="O119" s="3392"/>
      <c r="P119" s="3388"/>
      <c r="Q119" s="3354"/>
    </row>
    <row r="120" spans="1:17" s="3299" customFormat="1" ht="28.5" thickTop="1">
      <c r="A120" s="3291"/>
      <c r="B120" s="3393" t="s">
        <v>1705</v>
      </c>
      <c r="C120" s="3406"/>
      <c r="D120" s="3406"/>
      <c r="E120" s="3406"/>
      <c r="F120" s="3406"/>
      <c r="G120" s="3406"/>
      <c r="H120" s="3406"/>
      <c r="I120" s="3406"/>
      <c r="J120" s="3406"/>
      <c r="K120" s="3406"/>
      <c r="L120" s="3437"/>
      <c r="M120" s="3438"/>
      <c r="N120" s="3410"/>
      <c r="O120" s="3410"/>
      <c r="P120" s="3411"/>
      <c r="Q120" s="3412"/>
    </row>
    <row r="121" spans="1:17" s="3299" customFormat="1" ht="15.75" thickBot="1">
      <c r="A121" s="3405"/>
      <c r="B121" s="3389"/>
      <c r="C121" s="3413"/>
      <c r="D121" s="3390"/>
      <c r="E121" s="3390"/>
      <c r="F121" s="3390"/>
      <c r="G121" s="3390"/>
      <c r="H121" s="3390"/>
      <c r="I121" s="3390"/>
      <c r="J121" s="3390"/>
      <c r="K121" s="3390"/>
      <c r="L121" s="3390"/>
      <c r="M121" s="3390"/>
      <c r="N121" s="3410"/>
      <c r="O121" s="3410"/>
      <c r="P121" s="3411"/>
      <c r="Q121" s="3412"/>
    </row>
    <row r="122" spans="1:17" ht="15" thickTop="1">
      <c r="A122" s="3300"/>
      <c r="B122" s="3393" t="s">
        <v>1744</v>
      </c>
      <c r="C122" s="3440" t="s">
        <v>3445</v>
      </c>
      <c r="D122" s="3440" t="s">
        <v>3446</v>
      </c>
      <c r="E122" s="3440" t="s">
        <v>3632</v>
      </c>
      <c r="F122" s="3394"/>
      <c r="G122" s="3394"/>
      <c r="H122" s="3394"/>
      <c r="I122" s="3394"/>
      <c r="J122" s="3394"/>
      <c r="K122" s="3442"/>
      <c r="L122" s="3443"/>
      <c r="M122" s="3444"/>
      <c r="N122" s="3387"/>
      <c r="O122" s="3387"/>
      <c r="P122" s="3388"/>
      <c r="Q122" s="3354"/>
    </row>
    <row r="123" spans="1:17" ht="15.75" thickBot="1">
      <c r="A123" s="3236"/>
      <c r="B123" s="3395"/>
      <c r="C123" s="3403">
        <v>100</v>
      </c>
      <c r="D123" s="3403">
        <f t="shared" ref="D123:M123" si="32">C123-$K42</f>
        <v>90</v>
      </c>
      <c r="E123" s="3403">
        <f t="shared" si="32"/>
        <v>80</v>
      </c>
      <c r="F123" s="3403">
        <f t="shared" si="32"/>
        <v>70</v>
      </c>
      <c r="G123" s="3403">
        <f t="shared" si="32"/>
        <v>60</v>
      </c>
      <c r="H123" s="3403">
        <f t="shared" si="32"/>
        <v>50</v>
      </c>
      <c r="I123" s="3403">
        <f t="shared" si="32"/>
        <v>40</v>
      </c>
      <c r="J123" s="3403">
        <f t="shared" si="32"/>
        <v>30</v>
      </c>
      <c r="K123" s="3403">
        <f t="shared" si="32"/>
        <v>20</v>
      </c>
      <c r="L123" s="3403">
        <f t="shared" si="32"/>
        <v>10</v>
      </c>
      <c r="M123" s="3403">
        <f t="shared" si="32"/>
        <v>0</v>
      </c>
      <c r="N123" s="3392"/>
      <c r="O123" s="3392"/>
      <c r="P123" s="3388"/>
      <c r="Q123" s="3354"/>
    </row>
    <row r="124" spans="1:17" ht="15" thickTop="1">
      <c r="A124" s="3300"/>
      <c r="B124" s="3393" t="s">
        <v>1745</v>
      </c>
      <c r="C124" s="3431" t="s">
        <v>1721</v>
      </c>
      <c r="D124" s="3431" t="s">
        <v>1722</v>
      </c>
      <c r="E124" s="3431" t="s">
        <v>1723</v>
      </c>
      <c r="F124" s="3431" t="s">
        <v>1724</v>
      </c>
      <c r="G124" s="3431" t="s">
        <v>1725</v>
      </c>
      <c r="H124" s="3432"/>
      <c r="I124" s="3432"/>
      <c r="J124" s="3432"/>
      <c r="K124" s="3433"/>
      <c r="L124" s="3434"/>
      <c r="M124" s="3435"/>
      <c r="N124" s="3387"/>
      <c r="O124" s="3387"/>
      <c r="P124" s="3411"/>
      <c r="Q124" s="3354"/>
    </row>
    <row r="125" spans="1:17" ht="15.75" thickBot="1">
      <c r="A125" s="3236"/>
      <c r="B125" s="3395"/>
      <c r="C125" s="3403">
        <v>100</v>
      </c>
      <c r="D125" s="3403">
        <f>C125-$K43</f>
        <v>100</v>
      </c>
      <c r="E125" s="3403">
        <f>D125-$K43</f>
        <v>100</v>
      </c>
      <c r="F125" s="3403">
        <f>E125-$K43</f>
        <v>100</v>
      </c>
      <c r="G125" s="3403">
        <f>F125-$K43</f>
        <v>100</v>
      </c>
      <c r="H125" s="3403"/>
      <c r="I125" s="3403"/>
      <c r="J125" s="3403"/>
      <c r="K125" s="3403"/>
      <c r="L125" s="3403"/>
      <c r="M125" s="3404"/>
      <c r="N125" s="3392"/>
      <c r="O125" s="3392"/>
      <c r="P125" s="3388"/>
      <c r="Q125" s="3354"/>
    </row>
    <row r="126" spans="1:17" s="3299" customFormat="1" ht="15" thickTop="1">
      <c r="A126" s="3291"/>
      <c r="B126" s="3393" t="str">
        <f>B44</f>
        <v>家具家电</v>
      </c>
      <c r="C126" s="3440" t="s">
        <v>3434</v>
      </c>
      <c r="D126" s="3440" t="s">
        <v>3433</v>
      </c>
      <c r="E126" s="3406"/>
      <c r="F126" s="3406"/>
      <c r="G126" s="3406"/>
      <c r="H126" s="3407"/>
      <c r="I126" s="3407"/>
      <c r="J126" s="3407"/>
      <c r="K126" s="3407"/>
      <c r="L126" s="3408"/>
      <c r="M126" s="3409"/>
      <c r="N126" s="3410"/>
      <c r="O126" s="3410"/>
      <c r="P126" s="3411"/>
      <c r="Q126" s="3412"/>
    </row>
    <row r="127" spans="1:17" s="3299" customFormat="1" ht="15.75" thickBot="1">
      <c r="A127" s="3405"/>
      <c r="B127" s="3395"/>
      <c r="C127" s="3413">
        <v>100</v>
      </c>
      <c r="D127" s="3390">
        <f>C127-M48</f>
        <v>90</v>
      </c>
      <c r="E127" s="3390"/>
      <c r="F127" s="3390"/>
      <c r="G127" s="3413"/>
      <c r="H127" s="3416"/>
      <c r="I127" s="3416"/>
      <c r="J127" s="3416"/>
      <c r="K127" s="3416"/>
      <c r="L127" s="3416"/>
      <c r="M127" s="3417"/>
      <c r="N127" s="3410"/>
      <c r="O127" s="3410"/>
      <c r="P127" s="3411"/>
      <c r="Q127" s="3412"/>
    </row>
    <row r="128" spans="1:17" ht="15" thickTop="1">
      <c r="A128" s="3300"/>
      <c r="B128" s="3393">
        <f>B45</f>
        <v>111</v>
      </c>
      <c r="C128" s="3406"/>
      <c r="D128" s="3406"/>
      <c r="E128" s="3406"/>
      <c r="F128" s="3406"/>
      <c r="G128" s="3394"/>
      <c r="H128" s="3394"/>
      <c r="I128" s="3394"/>
      <c r="J128" s="3394"/>
      <c r="K128" s="3442"/>
      <c r="L128" s="3443"/>
      <c r="M128" s="3444"/>
      <c r="N128" s="3387"/>
      <c r="O128" s="3387"/>
      <c r="P128" s="3388"/>
      <c r="Q128" s="3354"/>
    </row>
    <row r="129" spans="1:17" ht="15.75" thickBot="1">
      <c r="A129" s="3236"/>
      <c r="B129" s="3395"/>
      <c r="C129" s="3413"/>
      <c r="D129" s="3413"/>
      <c r="E129" s="3413"/>
      <c r="F129" s="3413"/>
      <c r="G129" s="3390"/>
      <c r="H129" s="3390"/>
      <c r="I129" s="3390"/>
      <c r="J129" s="3390"/>
      <c r="K129" s="3390"/>
      <c r="L129" s="3390"/>
      <c r="M129" s="3391"/>
      <c r="N129" s="3392"/>
      <c r="O129" s="3392"/>
      <c r="P129" s="3388"/>
      <c r="Q129" s="3354"/>
    </row>
    <row r="130" spans="1:17" ht="15" thickTop="1">
      <c r="A130" s="3300"/>
      <c r="B130" s="3396">
        <f>B46</f>
        <v>111</v>
      </c>
      <c r="C130" s="3406"/>
      <c r="D130" s="3406"/>
      <c r="E130" s="3406"/>
      <c r="F130" s="3406"/>
      <c r="G130" s="3445"/>
      <c r="H130" s="3445"/>
      <c r="I130" s="3445"/>
      <c r="J130" s="3445"/>
      <c r="K130" s="3375"/>
      <c r="L130" s="3376"/>
      <c r="M130" s="3448"/>
      <c r="N130" s="3387"/>
      <c r="O130" s="3387"/>
      <c r="P130" s="3388"/>
      <c r="Q130" s="3354"/>
    </row>
    <row r="131" spans="1:17" ht="15.75" thickBot="1">
      <c r="A131" s="3249"/>
      <c r="B131" s="3423"/>
      <c r="C131" s="3424"/>
      <c r="D131" s="3424"/>
      <c r="E131" s="3424"/>
      <c r="F131" s="3424"/>
      <c r="G131" s="3449"/>
      <c r="H131" s="3449"/>
      <c r="I131" s="3449"/>
      <c r="J131" s="3449"/>
      <c r="K131" s="3449"/>
      <c r="L131" s="3449"/>
      <c r="M131" s="3450"/>
      <c r="N131" s="3392"/>
      <c r="O131" s="3392"/>
      <c r="P131" s="3388"/>
      <c r="Q131" s="3354"/>
    </row>
    <row r="136" spans="1:17" ht="15" thickBot="1">
      <c r="B136" s="3464" t="s">
        <v>1746</v>
      </c>
    </row>
    <row r="137" spans="1:17" ht="15">
      <c r="B137" s="3467" t="s">
        <v>1747</v>
      </c>
      <c r="C137" s="3468"/>
      <c r="D137" s="3468"/>
      <c r="E137" s="3468"/>
      <c r="F137" s="3468"/>
      <c r="G137" s="3469"/>
      <c r="H137" s="3470"/>
      <c r="I137" s="3471" t="s">
        <v>1748</v>
      </c>
      <c r="J137" s="3468"/>
      <c r="K137" s="3472"/>
    </row>
    <row r="138" spans="1:17" ht="15">
      <c r="B138" s="3473"/>
      <c r="C138" s="3474" t="s">
        <v>1749</v>
      </c>
      <c r="D138" s="3474" t="s">
        <v>1750</v>
      </c>
      <c r="E138" s="3475" t="s">
        <v>1751</v>
      </c>
      <c r="F138" s="3476" t="s">
        <v>1752</v>
      </c>
      <c r="G138" s="3474" t="s">
        <v>1750</v>
      </c>
      <c r="H138" s="3477" t="s">
        <v>1751</v>
      </c>
      <c r="I138" s="3478"/>
      <c r="J138" s="3474" t="s">
        <v>1753</v>
      </c>
      <c r="K138" s="3477" t="s">
        <v>1754</v>
      </c>
    </row>
    <row r="139" spans="1:17" ht="15">
      <c r="B139" s="3479">
        <v>6</v>
      </c>
      <c r="C139" s="3480">
        <v>96</v>
      </c>
      <c r="D139" s="3481" t="s">
        <v>1755</v>
      </c>
      <c r="E139" s="3482">
        <v>100</v>
      </c>
      <c r="F139" s="3483">
        <v>102.5</v>
      </c>
      <c r="G139" s="3481" t="s">
        <v>1755</v>
      </c>
      <c r="H139" s="3484">
        <v>105</v>
      </c>
      <c r="I139" s="3485" t="s">
        <v>1756</v>
      </c>
      <c r="J139" s="3480">
        <v>20</v>
      </c>
      <c r="K139" s="3486">
        <f>C145/(J139-2)</f>
        <v>4.0555555555555553E-3</v>
      </c>
    </row>
    <row r="140" spans="1:17" ht="15">
      <c r="B140" s="3487">
        <v>5</v>
      </c>
      <c r="C140" s="3488">
        <v>100</v>
      </c>
      <c r="D140" s="3488"/>
      <c r="E140" s="3489"/>
      <c r="F140" s="3490">
        <v>102</v>
      </c>
      <c r="G140" s="3488"/>
      <c r="H140" s="3491"/>
      <c r="I140" s="3492" t="s">
        <v>1757</v>
      </c>
      <c r="J140" s="3493">
        <f>ROUNDUP((J139-1)/2,0)</f>
        <v>10</v>
      </c>
      <c r="K140" s="3494">
        <v>100</v>
      </c>
    </row>
    <row r="141" spans="1:17" ht="15">
      <c r="B141" s="3487">
        <v>4</v>
      </c>
      <c r="C141" s="3488">
        <v>102</v>
      </c>
      <c r="D141" s="3488"/>
      <c r="E141" s="3489"/>
      <c r="F141" s="3490">
        <v>101.5</v>
      </c>
      <c r="G141" s="3488"/>
      <c r="H141" s="3491"/>
      <c r="I141" s="3492" t="s">
        <v>1758</v>
      </c>
      <c r="J141" s="3493">
        <v>1</v>
      </c>
      <c r="K141" s="3495">
        <f>ROUND(100+(J141-J140)*K139*100,1)</f>
        <v>96.4</v>
      </c>
    </row>
    <row r="142" spans="1:17" ht="15">
      <c r="B142" s="3487">
        <v>3</v>
      </c>
      <c r="C142" s="3488">
        <v>103</v>
      </c>
      <c r="D142" s="3488"/>
      <c r="E142" s="3489"/>
      <c r="F142" s="3490">
        <v>101</v>
      </c>
      <c r="G142" s="3488"/>
      <c r="H142" s="3491"/>
      <c r="I142" s="3492" t="s">
        <v>1759</v>
      </c>
      <c r="J142" s="3493">
        <f>J139</f>
        <v>20</v>
      </c>
      <c r="K142" s="3496">
        <v>95</v>
      </c>
    </row>
    <row r="143" spans="1:17" ht="15">
      <c r="B143" s="3487">
        <v>2</v>
      </c>
      <c r="C143" s="3488">
        <v>100</v>
      </c>
      <c r="D143" s="3488"/>
      <c r="E143" s="3489"/>
      <c r="F143" s="3490">
        <v>100.5</v>
      </c>
      <c r="G143" s="3488"/>
      <c r="H143" s="3491"/>
      <c r="I143" s="3492" t="s">
        <v>1760</v>
      </c>
      <c r="J143" s="3488">
        <v>15</v>
      </c>
      <c r="K143" s="3495">
        <f>ROUND(100+(J143-J140)*K139*100,1)</f>
        <v>102</v>
      </c>
    </row>
    <row r="144" spans="1:17" ht="15">
      <c r="B144" s="3487">
        <v>1</v>
      </c>
      <c r="C144" s="3488">
        <v>98</v>
      </c>
      <c r="D144" s="3497" t="s">
        <v>1761</v>
      </c>
      <c r="E144" s="3489">
        <v>102</v>
      </c>
      <c r="F144" s="3498">
        <v>100</v>
      </c>
      <c r="G144" s="3497" t="s">
        <v>1761</v>
      </c>
      <c r="H144" s="3491">
        <v>105</v>
      </c>
      <c r="I144" s="3492" t="s">
        <v>1760</v>
      </c>
      <c r="J144" s="3488">
        <v>18</v>
      </c>
      <c r="K144" s="3495">
        <f>ROUND(100+(J144-J140)*K139*100,1)</f>
        <v>103.2</v>
      </c>
    </row>
    <row r="145" spans="2:11" ht="15.75" thickBot="1">
      <c r="B145" s="3499" t="s">
        <v>1762</v>
      </c>
      <c r="C145" s="3500">
        <f>ROUND(MAX(C139:C144)/MIN(C139:C144)-1,3)</f>
        <v>7.2999999999999995E-2</v>
      </c>
      <c r="D145" s="3501"/>
      <c r="E145" s="3501"/>
      <c r="F145" s="3502" t="s">
        <v>1763</v>
      </c>
      <c r="G145" s="3503"/>
      <c r="H145" s="3504"/>
      <c r="I145" s="3505" t="s">
        <v>1760</v>
      </c>
      <c r="J145" s="3506">
        <v>8</v>
      </c>
      <c r="K145" s="3507">
        <f>ROUND(100+(J145-J140)*K139*100,1)</f>
        <v>99.2</v>
      </c>
    </row>
    <row r="147" spans="2:11">
      <c r="B147" s="3464" t="s">
        <v>1764</v>
      </c>
    </row>
    <row r="148" spans="2:11">
      <c r="B148" s="3464" t="s">
        <v>1765</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45" priority="13"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4"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1">
    <dataValidation type="list" allowBlank="1" showInputMessage="1" showErrorMessage="1" sqref="C16 E16 G16 I16 C18 E18 G18 I18 C20 E20 G20 I20 C24 E24 G24 I24" xr:uid="{E77AAE7B-CB09-4FCB-8D22-0F69E3EA0AE6}">
      <formula1>居住社区成熟度</formula1>
    </dataValidation>
    <dataValidation type="list" allowBlank="1" showInputMessage="1" showErrorMessage="1" sqref="E25 G25 I25 C25" xr:uid="{E43639CD-5A27-4266-B1C3-B29283025107}">
      <formula1>住宅楼层</formula1>
    </dataValidation>
    <dataValidation type="list" allowBlank="1" showInputMessage="1" showErrorMessage="1" sqref="E26 G26 I26 C26" xr:uid="{4B75D0D1-CA75-43D6-8A6F-32647D634715}">
      <formula1>住宅朝向</formula1>
    </dataValidation>
    <dataValidation type="list" allowBlank="1" showInputMessage="1" showErrorMessage="1" sqref="C32 E32 G32 I32" xr:uid="{DDACF0CD-F98C-44AB-ADD2-405FDBE67C0B}">
      <formula1>住宅建筑类型</formula1>
    </dataValidation>
    <dataValidation type="list" allowBlank="1" showInputMessage="1" showErrorMessage="1" sqref="C34 E34 G34 I34" xr:uid="{3EB0D838-D8D9-42CD-8ED2-5A49937113B1}">
      <formula1>住宅建筑结构</formula1>
    </dataValidation>
    <dataValidation type="list" allowBlank="1" showInputMessage="1" showErrorMessage="1" sqref="E35 G35 I35 C35" xr:uid="{CE4EE96E-7EDB-4DA5-9EFC-9961660181C0}">
      <formula1>住宅建筑品质</formula1>
    </dataValidation>
    <dataValidation type="list" allowBlank="1" showInputMessage="1" showErrorMessage="1" sqref="E36 G36 I36 C36" xr:uid="{038D2255-1609-499D-8298-A704A33AC7E3}">
      <formula1>住宅公共部分装修</formula1>
    </dataValidation>
    <dataValidation type="list" allowBlank="1" showInputMessage="1" showErrorMessage="1" sqref="E38 G38 I38 C38" xr:uid="{78007573-166B-44D0-8CD1-CE6EC46B3FBD}">
      <formula1>住宅物业管理</formula1>
    </dataValidation>
    <dataValidation type="list" allowBlank="1" showInputMessage="1" showErrorMessage="1" sqref="E39 G39 I39 C39" xr:uid="{685E4A05-5F8D-4CB6-81B5-512CAABF3092}">
      <formula1>住宅基础设施水平</formula1>
    </dataValidation>
    <dataValidation type="list" allowBlank="1" showInputMessage="1" showErrorMessage="1" sqref="E40 G40 I40 C40" xr:uid="{DD4BF91B-D9A1-4951-8675-45DF10700A7E}">
      <formula1>住宅房型</formula1>
    </dataValidation>
    <dataValidation type="list" allowBlank="1" showInputMessage="1" showErrorMessage="1" sqref="E42 G42 I42 C42" xr:uid="{C24217BB-43A1-46E0-B911-CD87050FF05E}">
      <formula1>住宅内部装修</formula1>
    </dataValidation>
    <dataValidation type="list" allowBlank="1" showInputMessage="1" showErrorMessage="1" sqref="E43 G43 I43 C43" xr:uid="{0970FF19-765A-4FE2-AB9C-E4AC278A6E9A}">
      <formula1>内部装修维护情况</formula1>
    </dataValidation>
    <dataValidation type="list" allowBlank="1" showInputMessage="1" showErrorMessage="1" sqref="E8 G8 I8 C8" xr:uid="{0DCA4E3A-1443-4ED5-8B06-4B32D303521E}">
      <formula1>住宅交易情况</formula1>
    </dataValidation>
    <dataValidation type="list" allowBlank="1" showInputMessage="1" showErrorMessage="1" sqref="D1" xr:uid="{CF1036BF-0E31-49B9-80CF-12B2AF80D531}">
      <formula1>项目类型</formula1>
    </dataValidation>
    <dataValidation type="list" allowBlank="1" showInputMessage="1" showErrorMessage="1" sqref="E9 G9 I9" xr:uid="{2691A785-6A84-4F64-9DFB-9430393E7E37}">
      <formula1>住宅用途</formula1>
    </dataValidation>
    <dataValidation type="list" allowBlank="1" showInputMessage="1" showErrorMessage="1" sqref="C22 E22 G22 I22" xr:uid="{5C0601F5-73E3-489C-BD90-4077AFB7A0A2}">
      <formula1>基础设施水平</formula1>
    </dataValidation>
    <dataValidation type="list" allowBlank="1" showInputMessage="1" showErrorMessage="1" sqref="F1" xr:uid="{5F6BCF0F-012B-48BE-8611-23B54B769775}">
      <formula1>"售价,租金"</formula1>
    </dataValidation>
    <dataValidation type="list" allowBlank="1" showInputMessage="1" showErrorMessage="1" sqref="C2" xr:uid="{F11E2F14-2B18-441B-A380-BB976F874609}">
      <formula1>"需扣减承租人权益,——"</formula1>
    </dataValidation>
    <dataValidation type="list" allowBlank="1" showInputMessage="1" showErrorMessage="1" sqref="F2" xr:uid="{33E05273-F4A0-4C1E-8DDC-F1DDFF9391C3}">
      <formula1>估价方法</formula1>
    </dataValidation>
    <dataValidation type="list" allowBlank="1" showInputMessage="1" showErrorMessage="1" sqref="D48" xr:uid="{59C90A91-C42F-4CCC-BFB5-079C55F7831C}">
      <formula1>"简单平均,加权平均"</formula1>
    </dataValidation>
    <dataValidation type="list" allowBlank="1" showInputMessage="1" showErrorMessage="1" sqref="E1" xr:uid="{52194F9C-20F8-4D12-91FC-9291F2E38EDD}">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9</v>
      </c>
    </row>
    <row r="2" spans="1:33" ht="18" customHeight="1">
      <c r="A2" s="193" t="s">
        <v>1462</v>
      </c>
      <c r="B2" s="196">
        <f ca="1">C32</f>
        <v>-823</v>
      </c>
      <c r="C2" s="268" t="s">
        <v>1595</v>
      </c>
      <c r="D2" s="268"/>
      <c r="E2" s="2568"/>
      <c r="F2" s="2568"/>
      <c r="G2" s="2568"/>
      <c r="H2" s="2568"/>
      <c r="I2" s="2568"/>
      <c r="J2" s="2568"/>
      <c r="K2" s="2568"/>
    </row>
    <row r="3" spans="1:33" ht="18" customHeight="1" thickBot="1">
      <c r="A3" s="195" t="s">
        <v>1464</v>
      </c>
      <c r="B3" s="196">
        <f ca="1">ROUND(B2*10000/IF(C1="",'数据-汇总表'!E3,INDIRECT("'数据-取费表'!K"&amp;$K$1)),0)</f>
        <v>-171</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0.02</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48097.7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48097.7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776</v>
      </c>
      <c r="D18" s="796"/>
      <c r="E18" s="21"/>
      <c r="F18" s="756"/>
      <c r="G18" s="1720"/>
      <c r="H18" s="1106"/>
      <c r="I18" s="1721" t="s">
        <v>1625</v>
      </c>
      <c r="J18" s="759"/>
      <c r="K18" s="760"/>
    </row>
    <row r="19" spans="1:33" s="755" customFormat="1" ht="13.5" customHeight="1">
      <c r="A19" s="752" t="s">
        <v>360</v>
      </c>
      <c r="B19" s="753" t="s">
        <v>1626</v>
      </c>
      <c r="C19" s="21">
        <f ca="1">ROUND(D19*E19/10000,0)</f>
        <v>519</v>
      </c>
      <c r="D19" s="796">
        <f ca="1">IF(C1="",'数据-汇总表'!E5,IF(INDIRECT("'数据-取费表'!c"&amp;$K$1)="住宅",INDIRECT("'数据-取费表'!k"&amp;$K$1),0))</f>
        <v>34587.24</v>
      </c>
      <c r="E19" s="21">
        <f>'数据-取费表'!B27</f>
        <v>150</v>
      </c>
      <c r="F19" s="756"/>
      <c r="G19" s="12"/>
      <c r="H19" s="1108"/>
      <c r="I19" s="761"/>
      <c r="J19" s="761"/>
      <c r="K19" s="762"/>
    </row>
    <row r="20" spans="1:33" s="755" customFormat="1" ht="13.5" customHeight="1">
      <c r="A20" s="752" t="s">
        <v>361</v>
      </c>
      <c r="B20" s="753" t="s">
        <v>1627</v>
      </c>
      <c r="C20" s="21">
        <f ca="1">ROUND(D20*E20/10000,0)</f>
        <v>257</v>
      </c>
      <c r="D20" s="796">
        <f ca="1">IF(C1="",'数据-汇总表'!E6,IF(INDIRECT("'数据-取费表'!c"&amp;$K$1)="住宅",INDIRECT("'数据-取费表'!s"&amp;$K$1),INDIRECT("'数据-取费表'!k"&amp;$K$1)+INDIRECT("'数据-取费表'!s"&amp;$K$1)))</f>
        <v>13510.46</v>
      </c>
      <c r="E20" s="21">
        <f>'数据-取费表'!B28</f>
        <v>190</v>
      </c>
      <c r="F20" s="756"/>
      <c r="G20" s="12"/>
      <c r="H20" s="761"/>
      <c r="I20" s="761"/>
      <c r="J20" s="761"/>
      <c r="K20" s="762"/>
    </row>
    <row r="21" spans="1:33" s="755" customFormat="1" ht="13.5" customHeight="1">
      <c r="A21" s="744" t="s">
        <v>357</v>
      </c>
      <c r="B21" s="765" t="s">
        <v>1628</v>
      </c>
      <c r="C21" s="766">
        <f ca="1">C16+C17+C18</f>
        <v>776</v>
      </c>
      <c r="D21" s="767"/>
      <c r="E21" s="273"/>
      <c r="F21" s="273"/>
      <c r="G21" s="123" t="s">
        <v>1629</v>
      </c>
      <c r="H21" s="759"/>
      <c r="I21" s="759"/>
      <c r="J21" s="759"/>
      <c r="K21" s="760"/>
    </row>
    <row r="22" spans="1:33" s="755" customFormat="1" ht="13.5" customHeight="1">
      <c r="A22" s="744" t="s">
        <v>1601</v>
      </c>
      <c r="B22" s="765" t="s">
        <v>1630</v>
      </c>
      <c r="C22" s="766">
        <f ca="1">ROUND(C21*F22,0)</f>
        <v>8</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63</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-823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857" t="s">
        <v>694</v>
      </c>
      <c r="C6" s="1011">
        <f ca="1">ROUND(F6*F8*F7*(1-F9)/10000,0)</f>
        <v>0</v>
      </c>
      <c r="D6" s="147" t="s">
        <v>2109</v>
      </c>
      <c r="E6" s="294" t="s">
        <v>696</v>
      </c>
      <c r="F6" s="295">
        <f ca="1">INDIRECT("'数据-取费表'!u"&amp;$G$1)</f>
        <v>0</v>
      </c>
      <c r="G6" s="1292"/>
      <c r="H6" s="1006" t="s">
        <v>398</v>
      </c>
      <c r="I6" s="3857" t="s">
        <v>694</v>
      </c>
      <c r="J6" s="293">
        <f ca="1">ROUND(M6*M8*M7*(1-M9)/10000,0)</f>
        <v>0</v>
      </c>
      <c r="K6" s="147" t="s">
        <v>2108</v>
      </c>
      <c r="L6" s="294" t="s">
        <v>696</v>
      </c>
      <c r="M6" s="295">
        <f ca="1">INDIRECT("'数据-取费表'!z"&amp;$G$1)</f>
        <v>0</v>
      </c>
    </row>
    <row r="7" spans="1:37" ht="18" customHeight="1">
      <c r="A7" s="1010"/>
      <c r="B7" s="3858"/>
      <c r="C7" s="1012"/>
      <c r="D7" s="299"/>
      <c r="E7" s="1013" t="s">
        <v>697</v>
      </c>
      <c r="F7" s="295">
        <f ca="1">IF(INDIRECT("'数据-取费表'!ah"&amp;$G$1)="",INDIRECT("'数据-取费表'!k"&amp;$G$1),INDIRECT("'数据-取费表'!ah"&amp;$G$1))</f>
        <v>0</v>
      </c>
      <c r="G7" s="1292"/>
      <c r="H7" s="296"/>
      <c r="I7" s="3858"/>
      <c r="J7" s="298"/>
      <c r="K7" s="299"/>
      <c r="L7" s="294" t="s">
        <v>697</v>
      </c>
      <c r="M7" s="295">
        <f ca="1">F7</f>
        <v>0</v>
      </c>
    </row>
    <row r="8" spans="1:37" ht="18" customHeight="1">
      <c r="A8" s="296"/>
      <c r="B8" s="3858"/>
      <c r="C8" s="298"/>
      <c r="D8" s="299"/>
      <c r="E8" s="294" t="s">
        <v>698</v>
      </c>
      <c r="F8" s="295">
        <f ca="1">INDIRECT("'数据-取费表'!ai"&amp;$G$1)</f>
        <v>0</v>
      </c>
      <c r="G8" s="1292"/>
      <c r="H8" s="296"/>
      <c r="I8" s="3858"/>
      <c r="J8" s="298"/>
      <c r="K8" s="299"/>
      <c r="L8" s="294" t="s">
        <v>698</v>
      </c>
      <c r="M8" s="295">
        <f ca="1">INDIRECT("'数据-取费表'!ai"&amp;$G$1)</f>
        <v>0</v>
      </c>
    </row>
    <row r="9" spans="1:37" ht="18" customHeight="1">
      <c r="A9" s="296"/>
      <c r="B9" s="3859"/>
      <c r="C9" s="298"/>
      <c r="D9" s="299"/>
      <c r="E9" s="294" t="s">
        <v>699</v>
      </c>
      <c r="F9" s="304">
        <f ca="1">INDIRECT("'数据-取费表'!w"&amp;$G$1)</f>
        <v>0</v>
      </c>
      <c r="G9" s="1292"/>
      <c r="H9" s="296"/>
      <c r="I9" s="38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855" t="s">
        <v>837</v>
      </c>
      <c r="L53" s="3856"/>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79B95-F242-4FC6-9C6E-0B87FF55C35C}">
  <dimension ref="A1:R41"/>
  <sheetViews>
    <sheetView workbookViewId="0">
      <pane xSplit="1" ySplit="2" topLeftCell="M3" activePane="bottomRight" state="frozen"/>
      <selection pane="topRight" activeCell="B1" sqref="B1"/>
      <selection pane="bottomLeft" activeCell="A3" sqref="A3"/>
      <selection pane="bottomRight" activeCell="V42" sqref="V42"/>
    </sheetView>
  </sheetViews>
  <sheetFormatPr defaultRowHeight="14.25"/>
  <cols>
    <col min="1" max="15" width="20" style="3579" customWidth="1"/>
    <col min="16" max="16" width="8.625" style="3579" customWidth="1"/>
    <col min="17" max="17" width="7.25" style="3579" customWidth="1"/>
    <col min="18" max="18" width="11.875" style="3579" customWidth="1"/>
    <col min="19" max="1814" width="20" style="3579" customWidth="1"/>
    <col min="1815" max="16384" width="9" style="3579"/>
  </cols>
  <sheetData>
    <row r="1" spans="1:18">
      <c r="A1" s="3860" t="s">
        <v>3594</v>
      </c>
      <c r="B1" s="3580">
        <v>45931.333831018521</v>
      </c>
      <c r="C1" s="3580">
        <v>45901.333831018521</v>
      </c>
      <c r="D1" s="3580">
        <v>45870.333831018521</v>
      </c>
      <c r="E1" s="3580">
        <v>45839.333831018521</v>
      </c>
      <c r="F1" s="3580">
        <v>45809.333831018521</v>
      </c>
      <c r="G1" s="3580">
        <v>45778.333831018521</v>
      </c>
      <c r="H1" s="3580">
        <v>45748.333831018521</v>
      </c>
      <c r="I1" s="3580">
        <v>45717.333831018521</v>
      </c>
      <c r="J1" s="3580">
        <v>45689.333831018521</v>
      </c>
      <c r="K1" s="3580">
        <v>45658.333831018521</v>
      </c>
      <c r="L1" s="3580">
        <v>45627.333831018521</v>
      </c>
      <c r="M1" s="3580">
        <v>45597.333831018521</v>
      </c>
      <c r="N1" s="3580">
        <v>45566.333831018521</v>
      </c>
    </row>
    <row r="2" spans="1:18">
      <c r="A2" s="3860"/>
      <c r="B2" s="3579" t="s">
        <v>3595</v>
      </c>
      <c r="C2" s="3579" t="s">
        <v>3595</v>
      </c>
      <c r="D2" s="3579" t="s">
        <v>3595</v>
      </c>
      <c r="E2" s="3579" t="s">
        <v>3595</v>
      </c>
      <c r="F2" s="3579" t="s">
        <v>3595</v>
      </c>
      <c r="G2" s="3579" t="s">
        <v>3595</v>
      </c>
      <c r="H2" s="3579" t="s">
        <v>3595</v>
      </c>
      <c r="I2" s="3579" t="s">
        <v>3595</v>
      </c>
      <c r="J2" s="3579" t="s">
        <v>3595</v>
      </c>
      <c r="K2" s="3579" t="s">
        <v>3595</v>
      </c>
      <c r="L2" s="3579" t="s">
        <v>3595</v>
      </c>
      <c r="M2" s="3579" t="s">
        <v>3595</v>
      </c>
      <c r="N2" s="3579" t="s">
        <v>3595</v>
      </c>
    </row>
    <row r="3" spans="1:18" s="3581" customFormat="1">
      <c r="A3" s="3581" t="s">
        <v>3596</v>
      </c>
      <c r="B3" s="3581">
        <v>38.83</v>
      </c>
      <c r="C3" s="3581">
        <v>39.24</v>
      </c>
      <c r="D3" s="3581">
        <v>40.200000000000003</v>
      </c>
      <c r="E3" s="3581">
        <v>40.28</v>
      </c>
      <c r="F3" s="3581">
        <v>37.44</v>
      </c>
      <c r="G3" s="3581">
        <v>34.69</v>
      </c>
      <c r="H3" s="3581">
        <v>34.090000000000003</v>
      </c>
      <c r="I3" s="3581">
        <v>36.549999999999997</v>
      </c>
      <c r="J3" s="3581">
        <v>36.409999999999997</v>
      </c>
      <c r="K3" s="3581">
        <v>35.78</v>
      </c>
      <c r="L3" s="3581">
        <v>39.799999999999997</v>
      </c>
      <c r="M3" s="3581">
        <v>40.200000000000003</v>
      </c>
      <c r="N3" s="3581">
        <v>38.729999999999997</v>
      </c>
      <c r="O3" s="3582">
        <f>ROUND(AVERAGE(B3:N3),2)</f>
        <v>37.86</v>
      </c>
    </row>
    <row r="4" spans="1:18" hidden="1">
      <c r="A4" s="3579" t="s">
        <v>3597</v>
      </c>
      <c r="B4" s="3579" t="s">
        <v>3598</v>
      </c>
      <c r="C4" s="3579" t="s">
        <v>3598</v>
      </c>
      <c r="D4" s="3579" t="s">
        <v>3598</v>
      </c>
      <c r="E4" s="3579" t="s">
        <v>3598</v>
      </c>
      <c r="F4" s="3579" t="s">
        <v>3598</v>
      </c>
      <c r="G4" s="3579" t="s">
        <v>3598</v>
      </c>
      <c r="H4" s="3579" t="s">
        <v>3598</v>
      </c>
      <c r="I4" s="3579" t="s">
        <v>3598</v>
      </c>
      <c r="J4" s="3579" t="s">
        <v>3598</v>
      </c>
      <c r="K4" s="3579" t="s">
        <v>3598</v>
      </c>
      <c r="L4" s="3579" t="s">
        <v>3598</v>
      </c>
      <c r="M4" s="3579" t="s">
        <v>3598</v>
      </c>
      <c r="N4" s="3579" t="s">
        <v>3598</v>
      </c>
      <c r="O4" s="3582" t="e">
        <f t="shared" ref="O4:O37" si="0">ROUND(AVERAGE(B4:N4),2)</f>
        <v>#DIV/0!</v>
      </c>
    </row>
    <row r="5" spans="1:18" hidden="1">
      <c r="A5" s="3579" t="s">
        <v>3599</v>
      </c>
      <c r="B5" s="3579">
        <v>25.43</v>
      </c>
      <c r="C5" s="3579">
        <v>33.33</v>
      </c>
      <c r="D5" s="3579">
        <v>33.33</v>
      </c>
      <c r="E5" s="3579">
        <v>33.33</v>
      </c>
      <c r="F5" s="3579">
        <v>33.33</v>
      </c>
      <c r="G5" s="3579" t="s">
        <v>3598</v>
      </c>
      <c r="H5" s="3579">
        <v>26.79</v>
      </c>
      <c r="I5" s="3579">
        <v>26.79</v>
      </c>
      <c r="J5" s="3579">
        <v>26.63</v>
      </c>
      <c r="K5" s="3579">
        <v>26.63</v>
      </c>
      <c r="L5" s="3579">
        <v>25.88</v>
      </c>
      <c r="M5" s="3579">
        <v>25.88</v>
      </c>
      <c r="N5" s="3579" t="s">
        <v>3598</v>
      </c>
      <c r="O5" s="3583">
        <f t="shared" si="0"/>
        <v>28.85</v>
      </c>
    </row>
    <row r="6" spans="1:18" hidden="1">
      <c r="A6" s="3579" t="s">
        <v>3600</v>
      </c>
      <c r="B6" s="3579">
        <v>29.53</v>
      </c>
      <c r="C6" s="3579">
        <v>10</v>
      </c>
      <c r="D6" s="3579">
        <v>23.75</v>
      </c>
      <c r="E6" s="3579">
        <v>24.66</v>
      </c>
      <c r="F6" s="3579" t="s">
        <v>3598</v>
      </c>
      <c r="G6" s="3579" t="s">
        <v>3598</v>
      </c>
      <c r="H6" s="3579" t="s">
        <v>3598</v>
      </c>
      <c r="I6" s="3579" t="s">
        <v>3598</v>
      </c>
      <c r="J6" s="3579" t="s">
        <v>3598</v>
      </c>
      <c r="K6" s="3579" t="s">
        <v>3598</v>
      </c>
      <c r="L6" s="3579" t="s">
        <v>3598</v>
      </c>
      <c r="M6" s="3579" t="s">
        <v>3598</v>
      </c>
      <c r="N6" s="3579" t="s">
        <v>3598</v>
      </c>
      <c r="O6" s="3583">
        <f t="shared" si="0"/>
        <v>21.99</v>
      </c>
    </row>
    <row r="7" spans="1:18" hidden="1">
      <c r="A7" s="3579" t="s">
        <v>3601</v>
      </c>
      <c r="B7" s="3579">
        <v>24</v>
      </c>
      <c r="C7" s="3579">
        <v>30.15</v>
      </c>
      <c r="D7" s="3579">
        <v>27.72</v>
      </c>
      <c r="E7" s="3579">
        <v>27.4</v>
      </c>
      <c r="F7" s="3579" t="s">
        <v>3598</v>
      </c>
      <c r="G7" s="3579" t="s">
        <v>3598</v>
      </c>
      <c r="H7" s="3579" t="s">
        <v>3598</v>
      </c>
      <c r="I7" s="3579" t="s">
        <v>3598</v>
      </c>
      <c r="J7" s="3579">
        <v>28</v>
      </c>
      <c r="K7" s="3579">
        <v>28</v>
      </c>
      <c r="L7" s="3579" t="s">
        <v>3598</v>
      </c>
      <c r="M7" s="3579" t="s">
        <v>3598</v>
      </c>
      <c r="N7" s="3579" t="s">
        <v>3598</v>
      </c>
      <c r="O7" s="3583">
        <f t="shared" si="0"/>
        <v>27.55</v>
      </c>
    </row>
    <row r="8" spans="1:18" s="3587" customFormat="1">
      <c r="A8" s="3587" t="s">
        <v>3602</v>
      </c>
      <c r="B8" s="3587">
        <v>34.380000000000003</v>
      </c>
      <c r="C8" s="3587">
        <v>35.53</v>
      </c>
      <c r="D8" s="3587">
        <v>35.42</v>
      </c>
      <c r="E8" s="3587">
        <v>35.85</v>
      </c>
      <c r="F8" s="3587">
        <v>35.409999999999997</v>
      </c>
      <c r="G8" s="3587">
        <v>34.68</v>
      </c>
      <c r="H8" s="3587">
        <v>35.42</v>
      </c>
      <c r="I8" s="3587">
        <v>32.36</v>
      </c>
      <c r="J8" s="3587">
        <v>28.95</v>
      </c>
      <c r="K8" s="3587">
        <v>33.200000000000003</v>
      </c>
      <c r="L8" s="3587">
        <v>30.95</v>
      </c>
      <c r="M8" s="3587">
        <v>32.07</v>
      </c>
      <c r="N8" s="3587">
        <v>31.88</v>
      </c>
      <c r="O8" s="3589">
        <f t="shared" si="0"/>
        <v>33.549999999999997</v>
      </c>
      <c r="P8" s="3587">
        <v>1.76</v>
      </c>
      <c r="Q8" s="3587">
        <v>2.5</v>
      </c>
      <c r="R8" s="3584">
        <f>O8-P8-Q8</f>
        <v>29.289999999999996</v>
      </c>
    </row>
    <row r="9" spans="1:18" hidden="1">
      <c r="A9" s="3579" t="s">
        <v>3603</v>
      </c>
      <c r="B9" s="3579">
        <v>29.63</v>
      </c>
      <c r="C9" s="3579" t="s">
        <v>3598</v>
      </c>
      <c r="D9" s="3579">
        <v>41.94</v>
      </c>
      <c r="E9" s="3579">
        <v>39.22</v>
      </c>
      <c r="F9" s="3579">
        <v>36.51</v>
      </c>
      <c r="G9" s="3579" t="s">
        <v>3598</v>
      </c>
      <c r="H9" s="3579" t="s">
        <v>3598</v>
      </c>
      <c r="I9" s="3579">
        <v>30.16</v>
      </c>
      <c r="J9" s="3579">
        <v>30.16</v>
      </c>
      <c r="K9" s="3579">
        <v>30.16</v>
      </c>
      <c r="L9" s="3579" t="s">
        <v>3598</v>
      </c>
      <c r="M9" s="3579" t="s">
        <v>3598</v>
      </c>
      <c r="N9" s="3579" t="s">
        <v>3598</v>
      </c>
      <c r="O9" s="3583">
        <f t="shared" si="0"/>
        <v>33.97</v>
      </c>
    </row>
    <row r="10" spans="1:18" hidden="1">
      <c r="A10" s="3579" t="s">
        <v>3604</v>
      </c>
      <c r="B10" s="3579">
        <v>17.52</v>
      </c>
      <c r="C10" s="3579">
        <v>28.33</v>
      </c>
      <c r="D10" s="3579">
        <v>30.42</v>
      </c>
      <c r="E10" s="3579">
        <v>32.51</v>
      </c>
      <c r="F10" s="3579" t="s">
        <v>3598</v>
      </c>
      <c r="G10" s="3579" t="s">
        <v>3598</v>
      </c>
      <c r="H10" s="3579" t="s">
        <v>3598</v>
      </c>
      <c r="I10" s="3579" t="s">
        <v>3598</v>
      </c>
      <c r="J10" s="3579">
        <v>40</v>
      </c>
      <c r="K10" s="3579">
        <v>40</v>
      </c>
      <c r="L10" s="3579" t="s">
        <v>3598</v>
      </c>
      <c r="M10" s="3579" t="s">
        <v>3598</v>
      </c>
      <c r="N10" s="3579" t="s">
        <v>3598</v>
      </c>
      <c r="O10" s="3583">
        <f t="shared" si="0"/>
        <v>31.46</v>
      </c>
    </row>
    <row r="11" spans="1:18" hidden="1">
      <c r="A11" s="3579" t="s">
        <v>3605</v>
      </c>
      <c r="B11" s="3579">
        <v>28.23</v>
      </c>
      <c r="C11" s="3579">
        <v>28.51</v>
      </c>
      <c r="D11" s="3579">
        <v>28.51</v>
      </c>
      <c r="E11" s="3579">
        <v>28.51</v>
      </c>
      <c r="F11" s="3579">
        <v>28.51</v>
      </c>
      <c r="G11" s="3579">
        <v>31.93</v>
      </c>
      <c r="H11" s="3579">
        <v>31.3</v>
      </c>
      <c r="I11" s="3579">
        <v>29.43</v>
      </c>
      <c r="J11" s="3579">
        <v>27.2</v>
      </c>
      <c r="K11" s="3579">
        <v>25.23</v>
      </c>
      <c r="L11" s="3579" t="s">
        <v>3598</v>
      </c>
      <c r="M11" s="3579" t="s">
        <v>3598</v>
      </c>
      <c r="N11" s="3579" t="s">
        <v>3598</v>
      </c>
      <c r="O11" s="3583">
        <f t="shared" si="0"/>
        <v>28.74</v>
      </c>
    </row>
    <row r="12" spans="1:18" hidden="1">
      <c r="A12" s="3579" t="s">
        <v>3606</v>
      </c>
      <c r="B12" s="3579" t="s">
        <v>3598</v>
      </c>
      <c r="C12" s="3579" t="s">
        <v>3598</v>
      </c>
      <c r="D12" s="3579" t="s">
        <v>3598</v>
      </c>
      <c r="E12" s="3579" t="s">
        <v>3598</v>
      </c>
      <c r="F12" s="3579" t="s">
        <v>3598</v>
      </c>
      <c r="G12" s="3579" t="s">
        <v>3598</v>
      </c>
      <c r="H12" s="3579" t="s">
        <v>3598</v>
      </c>
      <c r="I12" s="3579" t="s">
        <v>3598</v>
      </c>
      <c r="J12" s="3579" t="s">
        <v>3598</v>
      </c>
      <c r="K12" s="3579" t="s">
        <v>3598</v>
      </c>
      <c r="L12" s="3579" t="s">
        <v>3598</v>
      </c>
      <c r="M12" s="3579" t="s">
        <v>3598</v>
      </c>
      <c r="N12" s="3579" t="s">
        <v>3598</v>
      </c>
      <c r="O12" s="3583" t="e">
        <f t="shared" si="0"/>
        <v>#DIV/0!</v>
      </c>
    </row>
    <row r="13" spans="1:18" hidden="1">
      <c r="A13" s="3579" t="s">
        <v>3607</v>
      </c>
      <c r="B13" s="3579" t="s">
        <v>3598</v>
      </c>
      <c r="C13" s="3579" t="s">
        <v>3598</v>
      </c>
      <c r="D13" s="3579" t="s">
        <v>3598</v>
      </c>
      <c r="E13" s="3579" t="s">
        <v>3598</v>
      </c>
      <c r="F13" s="3579" t="s">
        <v>3598</v>
      </c>
      <c r="G13" s="3579" t="s">
        <v>3598</v>
      </c>
      <c r="H13" s="3579">
        <v>25</v>
      </c>
      <c r="I13" s="3579">
        <v>25</v>
      </c>
      <c r="J13" s="3579">
        <v>25</v>
      </c>
      <c r="K13" s="3579">
        <v>25</v>
      </c>
      <c r="L13" s="3579" t="s">
        <v>3598</v>
      </c>
      <c r="M13" s="3579" t="s">
        <v>3598</v>
      </c>
      <c r="N13" s="3579" t="s">
        <v>3598</v>
      </c>
      <c r="O13" s="3583">
        <f t="shared" si="0"/>
        <v>25</v>
      </c>
    </row>
    <row r="14" spans="1:18" hidden="1">
      <c r="A14" s="3579" t="s">
        <v>3608</v>
      </c>
      <c r="B14" s="3579">
        <v>36.909999999999997</v>
      </c>
      <c r="C14" s="3579" t="s">
        <v>3598</v>
      </c>
      <c r="D14" s="3579" t="s">
        <v>3598</v>
      </c>
      <c r="E14" s="3579" t="s">
        <v>3598</v>
      </c>
      <c r="F14" s="3579" t="s">
        <v>3598</v>
      </c>
      <c r="G14" s="3579">
        <v>31.7</v>
      </c>
      <c r="H14" s="3579">
        <v>33.04</v>
      </c>
      <c r="I14" s="3579">
        <v>32.85</v>
      </c>
      <c r="J14" s="3579">
        <v>29.41</v>
      </c>
      <c r="K14" s="3579" t="s">
        <v>3598</v>
      </c>
      <c r="L14" s="3579" t="s">
        <v>3598</v>
      </c>
      <c r="M14" s="3579" t="s">
        <v>3598</v>
      </c>
      <c r="N14" s="3579" t="s">
        <v>3598</v>
      </c>
      <c r="O14" s="3583">
        <f t="shared" si="0"/>
        <v>32.78</v>
      </c>
    </row>
    <row r="15" spans="1:18">
      <c r="A15" s="3581" t="s">
        <v>3609</v>
      </c>
      <c r="B15" s="3588">
        <v>22.88</v>
      </c>
      <c r="C15" s="3588">
        <v>26.37</v>
      </c>
      <c r="D15" s="3588">
        <v>27.24</v>
      </c>
      <c r="E15" s="3588">
        <v>27.03</v>
      </c>
      <c r="F15" s="3588">
        <v>27.36</v>
      </c>
      <c r="G15" s="3588">
        <v>26.75</v>
      </c>
      <c r="H15" s="3588">
        <v>26.9</v>
      </c>
      <c r="I15" s="3588">
        <v>27.98</v>
      </c>
      <c r="J15" s="3588">
        <v>27.62</v>
      </c>
      <c r="K15" s="3588">
        <v>27.17</v>
      </c>
      <c r="L15" s="3588">
        <v>27.51</v>
      </c>
      <c r="M15" s="3588">
        <v>27.51</v>
      </c>
      <c r="N15" s="3588">
        <v>24.93</v>
      </c>
      <c r="O15" s="3588">
        <f t="shared" si="0"/>
        <v>26.71</v>
      </c>
      <c r="P15" s="3579">
        <v>0.5</v>
      </c>
      <c r="Q15" s="3579">
        <v>2.5</v>
      </c>
      <c r="R15" s="3581">
        <f>O15-P15-Q15</f>
        <v>23.71</v>
      </c>
    </row>
    <row r="16" spans="1:18">
      <c r="A16" s="3579" t="s">
        <v>3610</v>
      </c>
      <c r="B16" s="3579">
        <v>31.11</v>
      </c>
      <c r="C16" s="3579">
        <v>33.229999999999997</v>
      </c>
      <c r="D16" s="3579">
        <v>33.79</v>
      </c>
      <c r="E16" s="3579">
        <v>33.33</v>
      </c>
      <c r="F16" s="3579">
        <v>31.23</v>
      </c>
      <c r="G16" s="3579">
        <v>34.85</v>
      </c>
      <c r="H16" s="3579">
        <v>35.659999999999997</v>
      </c>
      <c r="I16" s="3579">
        <v>37.04</v>
      </c>
      <c r="J16" s="3579">
        <v>37.79</v>
      </c>
      <c r="K16" s="3579">
        <v>37.380000000000003</v>
      </c>
      <c r="L16" s="3579">
        <v>36.53</v>
      </c>
      <c r="M16" s="3579">
        <v>35.770000000000003</v>
      </c>
      <c r="N16" s="3579">
        <v>35</v>
      </c>
      <c r="O16" s="3583">
        <f t="shared" si="0"/>
        <v>34.82</v>
      </c>
    </row>
    <row r="17" spans="1:18" hidden="1">
      <c r="A17" s="3579" t="s">
        <v>3611</v>
      </c>
      <c r="B17" s="3579" t="s">
        <v>3598</v>
      </c>
      <c r="C17" s="3579" t="s">
        <v>3598</v>
      </c>
      <c r="D17" s="3579" t="s">
        <v>3598</v>
      </c>
      <c r="E17" s="3579" t="s">
        <v>3598</v>
      </c>
      <c r="F17" s="3579" t="s">
        <v>3598</v>
      </c>
      <c r="G17" s="3579">
        <v>31.6</v>
      </c>
      <c r="H17" s="3579">
        <v>31.05</v>
      </c>
      <c r="I17" s="3579">
        <v>30.28</v>
      </c>
      <c r="J17" s="3579">
        <v>29.89</v>
      </c>
      <c r="K17" s="3579">
        <v>29.89</v>
      </c>
      <c r="L17" s="3579" t="s">
        <v>3598</v>
      </c>
      <c r="M17" s="3579" t="s">
        <v>3598</v>
      </c>
      <c r="N17" s="3579" t="s">
        <v>3598</v>
      </c>
      <c r="O17" s="3583">
        <f t="shared" si="0"/>
        <v>30.54</v>
      </c>
    </row>
    <row r="18" spans="1:18" hidden="1">
      <c r="A18" s="3579" t="s">
        <v>3612</v>
      </c>
      <c r="B18" s="3579">
        <v>28.11</v>
      </c>
      <c r="C18" s="3579">
        <v>33.58</v>
      </c>
      <c r="D18" s="3579">
        <v>32.200000000000003</v>
      </c>
      <c r="E18" s="3579">
        <v>34.69</v>
      </c>
      <c r="F18" s="3579">
        <v>34.69</v>
      </c>
      <c r="G18" s="3579">
        <v>35.520000000000003</v>
      </c>
      <c r="H18" s="3579">
        <v>35.520000000000003</v>
      </c>
      <c r="I18" s="3579">
        <v>35.520000000000003</v>
      </c>
      <c r="J18" s="3579" t="s">
        <v>3598</v>
      </c>
      <c r="K18" s="3579" t="s">
        <v>3598</v>
      </c>
      <c r="L18" s="3579" t="s">
        <v>3598</v>
      </c>
      <c r="M18" s="3579" t="s">
        <v>3598</v>
      </c>
      <c r="N18" s="3579" t="s">
        <v>3598</v>
      </c>
      <c r="O18" s="3583">
        <f t="shared" si="0"/>
        <v>33.729999999999997</v>
      </c>
    </row>
    <row r="19" spans="1:18" hidden="1">
      <c r="A19" s="3579" t="s">
        <v>3613</v>
      </c>
      <c r="B19" s="3579">
        <v>92.28</v>
      </c>
      <c r="C19" s="3579">
        <v>19.579999999999998</v>
      </c>
      <c r="D19" s="3579">
        <v>28.05</v>
      </c>
      <c r="E19" s="3579">
        <v>32.950000000000003</v>
      </c>
      <c r="F19" s="3579">
        <v>26.93</v>
      </c>
      <c r="G19" s="3579">
        <v>26.93</v>
      </c>
      <c r="H19" s="3579">
        <v>3.86</v>
      </c>
      <c r="I19" s="3579">
        <v>7.71</v>
      </c>
      <c r="J19" s="3579" t="s">
        <v>3598</v>
      </c>
      <c r="K19" s="3579" t="s">
        <v>3598</v>
      </c>
      <c r="L19" s="3579" t="s">
        <v>3598</v>
      </c>
      <c r="M19" s="3579" t="s">
        <v>3598</v>
      </c>
      <c r="N19" s="3579" t="s">
        <v>3598</v>
      </c>
      <c r="O19" s="3583">
        <f t="shared" si="0"/>
        <v>29.79</v>
      </c>
    </row>
    <row r="20" spans="1:18">
      <c r="A20" s="3579" t="s">
        <v>3633</v>
      </c>
      <c r="B20" s="3579">
        <v>25.59</v>
      </c>
      <c r="C20" s="3579">
        <v>26.04</v>
      </c>
      <c r="D20" s="3579">
        <v>25.95</v>
      </c>
      <c r="E20" s="3579">
        <v>28.16</v>
      </c>
      <c r="F20" s="3579">
        <v>28.97</v>
      </c>
      <c r="G20" s="3579">
        <v>32.14</v>
      </c>
      <c r="H20" s="3579">
        <v>31.64</v>
      </c>
      <c r="I20" s="3579">
        <v>31.2</v>
      </c>
      <c r="J20" s="3579">
        <v>31.56</v>
      </c>
      <c r="K20" s="3579">
        <v>31.24</v>
      </c>
      <c r="L20" s="3579">
        <v>33.61</v>
      </c>
      <c r="M20" s="3579">
        <v>33.96</v>
      </c>
      <c r="N20" s="3579">
        <v>35.22</v>
      </c>
      <c r="O20" s="3583">
        <f t="shared" si="0"/>
        <v>30.41</v>
      </c>
    </row>
    <row r="21" spans="1:18" hidden="1">
      <c r="A21" s="3579" t="s">
        <v>3614</v>
      </c>
      <c r="B21" s="3579">
        <v>29.07</v>
      </c>
      <c r="C21" s="3579" t="s">
        <v>3598</v>
      </c>
      <c r="D21" s="3579" t="s">
        <v>3598</v>
      </c>
      <c r="E21" s="3579" t="s">
        <v>3598</v>
      </c>
      <c r="F21" s="3579" t="s">
        <v>3598</v>
      </c>
      <c r="G21" s="3579" t="s">
        <v>3598</v>
      </c>
      <c r="H21" s="3579" t="s">
        <v>3598</v>
      </c>
      <c r="I21" s="3579" t="s">
        <v>3598</v>
      </c>
      <c r="J21" s="3579" t="s">
        <v>3598</v>
      </c>
      <c r="K21" s="3579">
        <v>30.85</v>
      </c>
      <c r="L21" s="3579">
        <v>30.85</v>
      </c>
      <c r="M21" s="3579" t="s">
        <v>3598</v>
      </c>
      <c r="N21" s="3579">
        <v>32.479999999999997</v>
      </c>
      <c r="O21" s="3583">
        <f t="shared" si="0"/>
        <v>30.81</v>
      </c>
    </row>
    <row r="22" spans="1:18" hidden="1">
      <c r="A22" s="3579" t="s">
        <v>3615</v>
      </c>
      <c r="B22" s="3579">
        <v>31.38</v>
      </c>
      <c r="C22" s="3579">
        <v>29.01</v>
      </c>
      <c r="D22" s="3579">
        <v>35.159999999999997</v>
      </c>
      <c r="E22" s="3579">
        <v>35.159999999999997</v>
      </c>
      <c r="F22" s="3579" t="s">
        <v>3598</v>
      </c>
      <c r="G22" s="3579" t="s">
        <v>3598</v>
      </c>
      <c r="H22" s="3579">
        <v>32.979999999999997</v>
      </c>
      <c r="I22" s="3579">
        <v>32.979999999999997</v>
      </c>
      <c r="J22" s="3579">
        <v>32.979999999999997</v>
      </c>
      <c r="K22" s="3579">
        <v>32.979999999999997</v>
      </c>
      <c r="L22" s="3579" t="s">
        <v>3598</v>
      </c>
      <c r="M22" s="3579" t="s">
        <v>3598</v>
      </c>
      <c r="N22" s="3579">
        <v>27.77</v>
      </c>
      <c r="O22" s="3583">
        <f t="shared" si="0"/>
        <v>32.270000000000003</v>
      </c>
    </row>
    <row r="23" spans="1:18" s="3584" customFormat="1">
      <c r="A23" s="3584" t="s">
        <v>3616</v>
      </c>
      <c r="B23" s="3584">
        <v>33.69</v>
      </c>
      <c r="C23" s="3584">
        <v>32.74</v>
      </c>
      <c r="D23" s="3584">
        <v>31.83</v>
      </c>
      <c r="E23" s="3584">
        <v>33.909999999999997</v>
      </c>
      <c r="F23" s="3584">
        <v>33.83</v>
      </c>
      <c r="G23" s="3584">
        <v>32.380000000000003</v>
      </c>
      <c r="H23" s="3584">
        <v>32.25</v>
      </c>
      <c r="I23" s="3584">
        <v>32.74</v>
      </c>
      <c r="J23" s="3584">
        <v>32.35</v>
      </c>
      <c r="K23" s="3584">
        <v>31.63</v>
      </c>
      <c r="L23" s="3584">
        <v>31.85</v>
      </c>
      <c r="M23" s="3584">
        <v>30.97</v>
      </c>
      <c r="N23" s="3584">
        <v>31.29</v>
      </c>
      <c r="O23" s="3584">
        <f t="shared" si="0"/>
        <v>32.42</v>
      </c>
      <c r="P23" s="3584">
        <v>0.93</v>
      </c>
      <c r="Q23" s="3584">
        <v>2.5</v>
      </c>
      <c r="R23" s="3584">
        <f>O23-P23-Q23</f>
        <v>28.990000000000002</v>
      </c>
    </row>
    <row r="24" spans="1:18" s="3584" customFormat="1">
      <c r="A24" s="3584" t="s">
        <v>3617</v>
      </c>
      <c r="B24" s="3584">
        <v>31.27</v>
      </c>
      <c r="C24" s="3584">
        <v>30.97</v>
      </c>
      <c r="D24" s="3584">
        <v>32.61</v>
      </c>
      <c r="E24" s="3584">
        <v>31.68</v>
      </c>
      <c r="F24" s="3584">
        <v>31.34</v>
      </c>
      <c r="G24" s="3584">
        <v>30.65</v>
      </c>
      <c r="H24" s="3584">
        <v>29.86</v>
      </c>
      <c r="I24" s="3584">
        <v>28.52</v>
      </c>
      <c r="J24" s="3584">
        <v>28.53</v>
      </c>
      <c r="K24" s="3584">
        <v>29.56</v>
      </c>
      <c r="L24" s="3584">
        <v>30.63</v>
      </c>
      <c r="M24" s="3584">
        <v>31.89</v>
      </c>
      <c r="N24" s="3584">
        <v>30.2</v>
      </c>
      <c r="O24" s="3584">
        <f t="shared" si="0"/>
        <v>30.59</v>
      </c>
      <c r="P24" s="3584">
        <v>0.6</v>
      </c>
      <c r="Q24" s="3584">
        <v>2.5</v>
      </c>
      <c r="R24" s="3584">
        <f>O24-P24-Q24</f>
        <v>27.49</v>
      </c>
    </row>
    <row r="25" spans="1:18">
      <c r="A25" s="3579" t="s">
        <v>3618</v>
      </c>
      <c r="B25" s="3579">
        <v>35.03</v>
      </c>
      <c r="C25" s="3579">
        <v>35.04</v>
      </c>
      <c r="D25" s="3579">
        <v>34.299999999999997</v>
      </c>
      <c r="E25" s="3579">
        <v>32.44</v>
      </c>
      <c r="F25" s="3579">
        <v>35.65</v>
      </c>
      <c r="G25" s="3579">
        <v>33.979999999999997</v>
      </c>
      <c r="H25" s="3579">
        <v>26.45</v>
      </c>
      <c r="I25" s="3579">
        <v>28.19</v>
      </c>
      <c r="J25" s="3579">
        <v>30.93</v>
      </c>
      <c r="K25" s="3579">
        <v>32.049999999999997</v>
      </c>
      <c r="L25" s="3579">
        <v>33.07</v>
      </c>
      <c r="M25" s="3579">
        <v>32.15</v>
      </c>
      <c r="N25" s="3579">
        <v>32.619999999999997</v>
      </c>
      <c r="O25" s="3583">
        <f t="shared" si="0"/>
        <v>32.450000000000003</v>
      </c>
    </row>
    <row r="26" spans="1:18">
      <c r="A26" s="3579" t="s">
        <v>3619</v>
      </c>
      <c r="B26" s="3579">
        <v>32.299999999999997</v>
      </c>
      <c r="C26" s="3579">
        <v>31.9</v>
      </c>
      <c r="D26" s="3579">
        <v>31.9</v>
      </c>
      <c r="E26" s="3579">
        <v>31.9</v>
      </c>
      <c r="F26" s="3579">
        <v>31.9</v>
      </c>
      <c r="G26" s="3579">
        <v>32.18</v>
      </c>
      <c r="H26" s="3579">
        <v>33.1</v>
      </c>
      <c r="I26" s="3579">
        <v>32.89</v>
      </c>
      <c r="J26" s="3579">
        <v>32.86</v>
      </c>
      <c r="K26" s="3579">
        <v>32.86</v>
      </c>
      <c r="L26" s="3579">
        <v>31.9</v>
      </c>
      <c r="M26" s="3579">
        <v>31.9</v>
      </c>
      <c r="N26" s="3579">
        <v>31.9</v>
      </c>
      <c r="O26" s="3583">
        <f t="shared" si="0"/>
        <v>32.270000000000003</v>
      </c>
    </row>
    <row r="27" spans="1:18" hidden="1">
      <c r="A27" s="3579" t="s">
        <v>3620</v>
      </c>
      <c r="B27" s="3579">
        <v>27.93</v>
      </c>
      <c r="C27" s="3579" t="s">
        <v>3598</v>
      </c>
      <c r="D27" s="3579" t="s">
        <v>3598</v>
      </c>
      <c r="E27" s="3579">
        <v>30.56</v>
      </c>
      <c r="F27" s="3579">
        <v>30.56</v>
      </c>
      <c r="G27" s="3579">
        <v>33.15</v>
      </c>
      <c r="H27" s="3579">
        <v>35.74</v>
      </c>
      <c r="I27" s="3579">
        <v>35.74</v>
      </c>
      <c r="J27" s="3579">
        <v>35.43</v>
      </c>
      <c r="K27" s="3579">
        <v>33.33</v>
      </c>
      <c r="L27" s="3579" t="s">
        <v>3598</v>
      </c>
      <c r="M27" s="3579" t="s">
        <v>3598</v>
      </c>
      <c r="N27" s="3579" t="s">
        <v>3598</v>
      </c>
      <c r="O27" s="3583">
        <f t="shared" si="0"/>
        <v>32.81</v>
      </c>
    </row>
    <row r="28" spans="1:18">
      <c r="A28" s="3579" t="s">
        <v>3621</v>
      </c>
      <c r="B28" s="3579">
        <v>27.58</v>
      </c>
      <c r="C28" s="3579">
        <v>30.6</v>
      </c>
      <c r="D28" s="3579">
        <v>30.72</v>
      </c>
      <c r="E28" s="3579">
        <v>32.86</v>
      </c>
      <c r="F28" s="3579">
        <v>33.630000000000003</v>
      </c>
      <c r="G28" s="3579">
        <v>32.6</v>
      </c>
      <c r="H28" s="3579">
        <v>30.53</v>
      </c>
      <c r="I28" s="3579">
        <v>30.25</v>
      </c>
      <c r="J28" s="3579">
        <v>30.74</v>
      </c>
      <c r="K28" s="3579">
        <v>30.58</v>
      </c>
      <c r="L28" s="3579">
        <v>29.45</v>
      </c>
      <c r="M28" s="3579">
        <v>28.56</v>
      </c>
      <c r="N28" s="3579">
        <v>33.06</v>
      </c>
      <c r="O28" s="3583">
        <f t="shared" si="0"/>
        <v>30.86</v>
      </c>
    </row>
    <row r="29" spans="1:18" hidden="1">
      <c r="A29" s="3579" t="s">
        <v>3622</v>
      </c>
      <c r="B29" s="3579">
        <v>18.39</v>
      </c>
      <c r="C29" s="3579" t="s">
        <v>3598</v>
      </c>
      <c r="D29" s="3579" t="s">
        <v>3598</v>
      </c>
      <c r="E29" s="3579">
        <v>16.38</v>
      </c>
      <c r="F29" s="3579">
        <v>16.38</v>
      </c>
      <c r="G29" s="3579">
        <v>16.38</v>
      </c>
      <c r="H29" s="3579">
        <v>16.38</v>
      </c>
      <c r="I29" s="3579">
        <v>19.78</v>
      </c>
      <c r="J29" s="3579">
        <v>19.78</v>
      </c>
      <c r="K29" s="3579">
        <v>19.78</v>
      </c>
      <c r="L29" s="3579" t="s">
        <v>3598</v>
      </c>
      <c r="M29" s="3579" t="s">
        <v>3598</v>
      </c>
      <c r="N29" s="3579" t="s">
        <v>3598</v>
      </c>
      <c r="O29" s="3583">
        <f t="shared" si="0"/>
        <v>17.91</v>
      </c>
    </row>
    <row r="30" spans="1:18">
      <c r="A30" s="3579" t="s">
        <v>3623</v>
      </c>
      <c r="B30" s="3579">
        <v>34.86</v>
      </c>
      <c r="C30" s="3579">
        <v>36.82</v>
      </c>
      <c r="D30" s="3579">
        <v>37.369999999999997</v>
      </c>
      <c r="E30" s="3579">
        <v>38.35</v>
      </c>
      <c r="F30" s="3579">
        <v>36.33</v>
      </c>
      <c r="G30" s="3579">
        <v>36.659999999999997</v>
      </c>
      <c r="H30" s="3579">
        <v>35.9</v>
      </c>
      <c r="I30" s="3579">
        <v>35.81</v>
      </c>
      <c r="J30" s="3579">
        <v>36.64</v>
      </c>
      <c r="K30" s="3579">
        <v>34.869999999999997</v>
      </c>
      <c r="L30" s="3579">
        <v>34.270000000000003</v>
      </c>
      <c r="M30" s="3579">
        <v>34.29</v>
      </c>
      <c r="N30" s="3579">
        <v>29.07</v>
      </c>
      <c r="O30" s="3583">
        <f t="shared" si="0"/>
        <v>35.479999999999997</v>
      </c>
    </row>
    <row r="31" spans="1:18">
      <c r="A31" s="3579" t="s">
        <v>3624</v>
      </c>
      <c r="B31" s="3579">
        <v>27.37</v>
      </c>
      <c r="C31" s="3579">
        <v>29.25</v>
      </c>
      <c r="D31" s="3579">
        <v>28.93</v>
      </c>
      <c r="E31" s="3579">
        <v>31.37</v>
      </c>
      <c r="F31" s="3579">
        <v>29.67</v>
      </c>
      <c r="G31" s="3579">
        <v>29.62</v>
      </c>
      <c r="H31" s="3579">
        <v>30.49</v>
      </c>
      <c r="I31" s="3579">
        <v>31.86</v>
      </c>
      <c r="J31" s="3579">
        <v>31.26</v>
      </c>
      <c r="K31" s="3579">
        <v>29.83</v>
      </c>
      <c r="L31" s="3579">
        <v>28.74</v>
      </c>
      <c r="M31" s="3579">
        <v>28.49</v>
      </c>
      <c r="N31" s="3579">
        <v>30.57</v>
      </c>
      <c r="O31" s="3583">
        <f t="shared" si="0"/>
        <v>29.8</v>
      </c>
    </row>
    <row r="32" spans="1:18">
      <c r="A32" s="3579" t="s">
        <v>3625</v>
      </c>
      <c r="B32" s="3579">
        <v>35.020000000000003</v>
      </c>
      <c r="C32" s="3579">
        <v>34.78</v>
      </c>
      <c r="D32" s="3579">
        <v>35.909999999999997</v>
      </c>
      <c r="E32" s="3579">
        <v>44.02</v>
      </c>
      <c r="F32" s="3579">
        <v>38.409999999999997</v>
      </c>
      <c r="G32" s="3579">
        <v>35.61</v>
      </c>
      <c r="H32" s="3579">
        <v>36.020000000000003</v>
      </c>
      <c r="I32" s="3579">
        <v>34.270000000000003</v>
      </c>
      <c r="J32" s="3579">
        <v>34.450000000000003</v>
      </c>
      <c r="K32" s="3579">
        <v>35.07</v>
      </c>
      <c r="L32" s="3579">
        <v>35.090000000000003</v>
      </c>
      <c r="M32" s="3579">
        <v>34.119999999999997</v>
      </c>
      <c r="N32" s="3579">
        <v>33.659999999999997</v>
      </c>
      <c r="O32" s="3583">
        <f t="shared" si="0"/>
        <v>35.880000000000003</v>
      </c>
    </row>
    <row r="33" spans="1:18" hidden="1">
      <c r="A33" s="3579" t="s">
        <v>3626</v>
      </c>
      <c r="B33" s="3579">
        <v>23.07</v>
      </c>
      <c r="C33" s="3579" t="s">
        <v>3598</v>
      </c>
      <c r="D33" s="3579">
        <v>28.36</v>
      </c>
      <c r="E33" s="3579">
        <v>28.36</v>
      </c>
      <c r="F33" s="3579">
        <v>28.36</v>
      </c>
      <c r="G33" s="3579">
        <v>28.36</v>
      </c>
      <c r="H33" s="3579" t="s">
        <v>3598</v>
      </c>
      <c r="I33" s="3579" t="s">
        <v>3598</v>
      </c>
      <c r="J33" s="3579" t="s">
        <v>3598</v>
      </c>
      <c r="K33" s="3579" t="s">
        <v>3598</v>
      </c>
      <c r="L33" s="3579" t="s">
        <v>3598</v>
      </c>
      <c r="M33" s="3579" t="s">
        <v>3598</v>
      </c>
      <c r="N33" s="3579" t="s">
        <v>3598</v>
      </c>
      <c r="O33" s="3583">
        <f t="shared" si="0"/>
        <v>27.3</v>
      </c>
    </row>
    <row r="34" spans="1:18" hidden="1">
      <c r="A34" s="3579" t="s">
        <v>3627</v>
      </c>
      <c r="B34" s="3579">
        <v>61.66</v>
      </c>
      <c r="C34" s="3579">
        <v>28.72</v>
      </c>
      <c r="D34" s="3579">
        <v>27.87</v>
      </c>
      <c r="E34" s="3579">
        <v>29.84</v>
      </c>
      <c r="F34" s="3579">
        <v>32.229999999999997</v>
      </c>
      <c r="G34" s="3579">
        <v>26.57</v>
      </c>
      <c r="H34" s="3579">
        <v>25.43</v>
      </c>
      <c r="I34" s="3579">
        <v>26.59</v>
      </c>
      <c r="J34" s="3579">
        <v>26.59</v>
      </c>
      <c r="K34" s="3579" t="s">
        <v>3598</v>
      </c>
      <c r="L34" s="3579" t="s">
        <v>3598</v>
      </c>
      <c r="M34" s="3579" t="s">
        <v>3598</v>
      </c>
      <c r="N34" s="3579" t="s">
        <v>3598</v>
      </c>
      <c r="O34" s="3583">
        <f t="shared" si="0"/>
        <v>31.72</v>
      </c>
    </row>
    <row r="35" spans="1:18" hidden="1">
      <c r="A35" s="3579" t="s">
        <v>3628</v>
      </c>
      <c r="B35" s="3579">
        <v>32.299999999999997</v>
      </c>
      <c r="C35" s="3579">
        <v>36.19</v>
      </c>
      <c r="D35" s="3579" t="s">
        <v>3598</v>
      </c>
      <c r="E35" s="3579" t="s">
        <v>3598</v>
      </c>
      <c r="F35" s="3579" t="s">
        <v>3598</v>
      </c>
      <c r="G35" s="3579" t="s">
        <v>3598</v>
      </c>
      <c r="H35" s="3579" t="s">
        <v>3598</v>
      </c>
      <c r="I35" s="3579" t="s">
        <v>3598</v>
      </c>
      <c r="J35" s="3579" t="s">
        <v>3598</v>
      </c>
      <c r="K35" s="3579" t="s">
        <v>3598</v>
      </c>
      <c r="L35" s="3579" t="s">
        <v>3598</v>
      </c>
      <c r="M35" s="3579" t="s">
        <v>3598</v>
      </c>
      <c r="N35" s="3579" t="s">
        <v>3598</v>
      </c>
      <c r="O35" s="3583">
        <f t="shared" si="0"/>
        <v>34.25</v>
      </c>
    </row>
    <row r="36" spans="1:18" hidden="1">
      <c r="A36" s="3579" t="s">
        <v>3629</v>
      </c>
      <c r="B36" s="3579">
        <v>32.39</v>
      </c>
      <c r="C36" s="3579">
        <v>34.450000000000003</v>
      </c>
      <c r="D36" s="3579">
        <v>36.51</v>
      </c>
      <c r="E36" s="3579">
        <v>36.51</v>
      </c>
      <c r="F36" s="3579">
        <v>28.49</v>
      </c>
      <c r="G36" s="3579">
        <v>29.28</v>
      </c>
      <c r="H36" s="3579">
        <v>31.16</v>
      </c>
      <c r="I36" s="3579">
        <v>29.23</v>
      </c>
      <c r="J36" s="3579">
        <v>29.34</v>
      </c>
      <c r="K36" s="3579">
        <v>29.02</v>
      </c>
      <c r="L36" s="3579">
        <v>25.36</v>
      </c>
      <c r="M36" s="3579">
        <v>26.32</v>
      </c>
      <c r="N36" s="3579" t="s">
        <v>3598</v>
      </c>
      <c r="O36" s="3583">
        <f t="shared" si="0"/>
        <v>30.67</v>
      </c>
    </row>
    <row r="37" spans="1:18" s="3581" customFormat="1">
      <c r="A37" s="3581" t="s">
        <v>3630</v>
      </c>
      <c r="B37" s="3581">
        <v>36.65</v>
      </c>
      <c r="C37" s="3581">
        <v>35.700000000000003</v>
      </c>
      <c r="D37" s="3581">
        <v>36.97</v>
      </c>
      <c r="E37" s="3581">
        <v>37.47</v>
      </c>
      <c r="F37" s="3581">
        <v>37.28</v>
      </c>
      <c r="G37" s="3581">
        <v>35.44</v>
      </c>
      <c r="H37" s="3581">
        <v>35.07</v>
      </c>
      <c r="I37" s="3581">
        <v>37.119999999999997</v>
      </c>
      <c r="J37" s="3581">
        <v>37.909999999999997</v>
      </c>
      <c r="K37" s="3581">
        <v>38.18</v>
      </c>
      <c r="L37" s="3581">
        <v>37.119999999999997</v>
      </c>
      <c r="M37" s="3581">
        <v>36.97</v>
      </c>
      <c r="N37" s="3581">
        <v>37.29</v>
      </c>
      <c r="O37" s="3581">
        <f t="shared" si="0"/>
        <v>36.86</v>
      </c>
      <c r="P37" s="3581">
        <v>0.8</v>
      </c>
      <c r="Q37" s="3581">
        <v>2.5</v>
      </c>
      <c r="R37" s="3581">
        <f>O37-P37-Q37</f>
        <v>33.56</v>
      </c>
    </row>
    <row r="38" spans="1:18">
      <c r="R38" s="3584"/>
    </row>
    <row r="41" spans="1:18">
      <c r="L41" s="3590" t="s">
        <v>3636</v>
      </c>
    </row>
  </sheetData>
  <mergeCells count="1">
    <mergeCell ref="A1:A2"/>
  </mergeCells>
  <phoneticPr fontId="134" type="noConversion"/>
  <hyperlinks>
    <hyperlink ref="L41" r:id="rId1" xr:uid="{0B1CF011-6727-41FA-9BCD-D721664A79E7}"/>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857" t="s">
        <v>694</v>
      </c>
      <c r="C6" s="1011">
        <f ca="1">ROUND(F6*F8*F7*(1-F9),0)</f>
        <v>0</v>
      </c>
      <c r="D6" s="147" t="s">
        <v>2106</v>
      </c>
      <c r="E6" s="294" t="s">
        <v>696</v>
      </c>
      <c r="F6" s="295">
        <f ca="1">INDIRECT("'数据-取费表'!u"&amp;$G$1)</f>
        <v>0</v>
      </c>
      <c r="G6" s="1292"/>
      <c r="H6" s="1006" t="s">
        <v>398</v>
      </c>
      <c r="I6" s="3857" t="s">
        <v>694</v>
      </c>
      <c r="J6" s="293">
        <f ca="1">ROUND(M6*M8*M7*(1-M9),0)</f>
        <v>0</v>
      </c>
      <c r="K6" s="1284" t="s">
        <v>2107</v>
      </c>
      <c r="L6" s="294" t="s">
        <v>696</v>
      </c>
      <c r="M6" s="295">
        <f ca="1">INDIRECT("'数据-取费表'!z"&amp;$G$1)</f>
        <v>0</v>
      </c>
    </row>
    <row r="7" spans="1:37" ht="18" customHeight="1">
      <c r="A7" s="1010"/>
      <c r="B7" s="3858"/>
      <c r="C7" s="1012"/>
      <c r="D7" s="299"/>
      <c r="E7" s="1013" t="s">
        <v>697</v>
      </c>
      <c r="F7" s="295">
        <f ca="1">IF(INDIRECT("'数据-取费表'!ah"&amp;$G$1)="",INDIRECT("'数据-取费表'!k"&amp;$G$1),INDIRECT("'数据-取费表'!ah"&amp;$G$1))</f>
        <v>0</v>
      </c>
      <c r="G7" s="1292"/>
      <c r="H7" s="296"/>
      <c r="I7" s="3858"/>
      <c r="J7" s="298"/>
      <c r="K7" s="299"/>
      <c r="L7" s="294" t="s">
        <v>697</v>
      </c>
      <c r="M7" s="295">
        <f ca="1">F7</f>
        <v>0</v>
      </c>
    </row>
    <row r="8" spans="1:37" ht="18" customHeight="1">
      <c r="A8" s="296"/>
      <c r="B8" s="3858"/>
      <c r="C8" s="298"/>
      <c r="D8" s="299"/>
      <c r="E8" s="294" t="s">
        <v>698</v>
      </c>
      <c r="F8" s="295">
        <f ca="1">INDIRECT("'数据-取费表'!ai"&amp;$G$1)</f>
        <v>0</v>
      </c>
      <c r="G8" s="1292"/>
      <c r="H8" s="296"/>
      <c r="I8" s="3858"/>
      <c r="J8" s="298"/>
      <c r="K8" s="299"/>
      <c r="L8" s="294" t="s">
        <v>698</v>
      </c>
      <c r="M8" s="295">
        <f ca="1">INDIRECT("'数据-取费表'!ai"&amp;$G$1)</f>
        <v>0</v>
      </c>
    </row>
    <row r="9" spans="1:37" ht="18" customHeight="1">
      <c r="A9" s="296"/>
      <c r="B9" s="3859"/>
      <c r="C9" s="298"/>
      <c r="D9" s="299"/>
      <c r="E9" s="294" t="s">
        <v>699</v>
      </c>
      <c r="F9" s="304">
        <f ca="1">INDIRECT("'数据-取费表'!w"&amp;$G$1)</f>
        <v>0</v>
      </c>
      <c r="G9" s="1292"/>
      <c r="H9" s="296"/>
      <c r="I9" s="38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3349</v>
      </c>
      <c r="B45" s="1307"/>
      <c r="C45" s="1376" t="e">
        <f ca="1">ROUND((C68-C40)/10000,4)</f>
        <v>#DIV/0!</v>
      </c>
      <c r="D45" s="3131" t="s">
        <v>3350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855" t="s">
        <v>837</v>
      </c>
      <c r="L53" s="385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3356</v>
      </c>
      <c r="E2" s="3140"/>
      <c r="F2" s="2598"/>
      <c r="G2" s="2599"/>
      <c r="H2" s="2600"/>
      <c r="I2" s="2601"/>
      <c r="J2" s="3867" t="s">
        <v>2317</v>
      </c>
      <c r="K2" s="3868"/>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869" t="s">
        <v>2327</v>
      </c>
      <c r="K3" s="3870"/>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869" t="s">
        <v>2329</v>
      </c>
      <c r="K4" s="3870"/>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875" t="s">
        <v>2333</v>
      </c>
      <c r="B6" s="3876"/>
      <c r="C6" s="3877"/>
      <c r="D6" s="2622"/>
      <c r="E6" s="2623"/>
      <c r="F6" s="2624"/>
      <c r="G6" s="2625"/>
      <c r="H6" s="2600"/>
      <c r="I6" s="2601"/>
      <c r="J6" s="3861">
        <v>1</v>
      </c>
      <c r="K6" s="3862"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861"/>
      <c r="K7" s="3863"/>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878" t="s">
        <v>2347</v>
      </c>
      <c r="C8" s="3879"/>
      <c r="D8" s="2641" t="s">
        <v>2348</v>
      </c>
      <c r="E8" s="2642" t="s">
        <v>2349</v>
      </c>
      <c r="F8" s="2643" t="s">
        <v>2350</v>
      </c>
      <c r="G8" s="2644"/>
      <c r="H8" s="2600"/>
      <c r="I8" s="2601"/>
      <c r="J8" s="3861"/>
      <c r="K8" s="3863"/>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878" t="s">
        <v>2353</v>
      </c>
      <c r="C9" s="3879"/>
      <c r="D9" s="2641">
        <f>ROUND(D6*E9,0)</f>
        <v>0</v>
      </c>
      <c r="E9" s="2645"/>
      <c r="F9" s="2646" t="s">
        <v>2354</v>
      </c>
      <c r="G9" s="2625"/>
      <c r="H9" s="2600"/>
      <c r="I9" s="2601"/>
      <c r="J9" s="3861"/>
      <c r="K9" s="3863"/>
      <c r="L9" s="2635" t="s">
        <v>2355</v>
      </c>
      <c r="M9" s="2636"/>
      <c r="N9" s="2612"/>
      <c r="O9" s="2637"/>
      <c r="P9" s="2637"/>
      <c r="Q9" s="2638">
        <v>365</v>
      </c>
      <c r="R9" s="2639">
        <f t="shared" si="0"/>
        <v>0</v>
      </c>
      <c r="S9" s="2593"/>
      <c r="T9" s="2593"/>
      <c r="U9" s="2593"/>
      <c r="V9" s="2601"/>
    </row>
    <row r="10" spans="1:22" s="2605" customFormat="1" ht="13.15" customHeight="1">
      <c r="A10" s="2640">
        <v>2</v>
      </c>
      <c r="B10" s="3878" t="s">
        <v>2356</v>
      </c>
      <c r="C10" s="3879"/>
      <c r="D10" s="2641">
        <f>ROUND(D6*E10,0)</f>
        <v>0</v>
      </c>
      <c r="E10" s="2645"/>
      <c r="F10" s="2646" t="s">
        <v>2357</v>
      </c>
      <c r="G10" s="2625"/>
      <c r="H10" s="2600"/>
      <c r="I10" s="2601"/>
      <c r="J10" s="3861"/>
      <c r="K10" s="3863"/>
      <c r="L10" s="2635" t="s">
        <v>2358</v>
      </c>
      <c r="M10" s="2636"/>
      <c r="N10" s="2612"/>
      <c r="O10" s="2637"/>
      <c r="P10" s="2637"/>
      <c r="Q10" s="2638">
        <v>365</v>
      </c>
      <c r="R10" s="2639">
        <f t="shared" si="0"/>
        <v>0</v>
      </c>
      <c r="S10" s="2593"/>
      <c r="T10" s="2593"/>
      <c r="U10" s="2593"/>
      <c r="V10" s="2601"/>
    </row>
    <row r="11" spans="1:22" s="2605" customFormat="1" ht="13.15" customHeight="1">
      <c r="A11" s="2640">
        <v>3</v>
      </c>
      <c r="B11" s="3878" t="s">
        <v>2359</v>
      </c>
      <c r="C11" s="3879"/>
      <c r="D11" s="2641">
        <f>D12+D14+D15+D16</f>
        <v>0</v>
      </c>
      <c r="E11" s="2647" t="e">
        <f>D11/D6</f>
        <v>#DIV/0!</v>
      </c>
      <c r="F11" s="2643"/>
      <c r="G11" s="2644"/>
      <c r="H11" s="2600"/>
      <c r="I11" s="2601"/>
      <c r="J11" s="3861"/>
      <c r="K11" s="3863"/>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871" t="s">
        <v>2362</v>
      </c>
      <c r="C12" s="3872"/>
      <c r="D12" s="2649">
        <f>ROUND(D13*1.2%*(1-30%),0)</f>
        <v>0</v>
      </c>
      <c r="E12" s="2650">
        <v>1.2E-2</v>
      </c>
      <c r="F12" s="2643" t="s">
        <v>2363</v>
      </c>
      <c r="G12" s="2644"/>
      <c r="H12" s="2600"/>
      <c r="I12" s="2601"/>
      <c r="J12" s="3861"/>
      <c r="K12" s="3863"/>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861"/>
      <c r="K13" s="3863"/>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871" t="s">
        <v>2368</v>
      </c>
      <c r="C14" s="3872"/>
      <c r="D14" s="2649">
        <f>ROUND(E14*B5/10000,0)</f>
        <v>0</v>
      </c>
      <c r="E14" s="2638"/>
      <c r="F14" s="2643" t="s">
        <v>2369</v>
      </c>
      <c r="G14" s="2644"/>
      <c r="H14" s="2600"/>
      <c r="I14" s="2601"/>
      <c r="J14" s="3861"/>
      <c r="K14" s="3864"/>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871" t="s">
        <v>2372</v>
      </c>
      <c r="C15" s="3872"/>
      <c r="D15" s="2649">
        <f>ROUND(D6*E15,0)</f>
        <v>0</v>
      </c>
      <c r="E15" s="2650">
        <v>5.5E-2</v>
      </c>
      <c r="F15" s="2643" t="s">
        <v>2373</v>
      </c>
      <c r="G15" s="2625"/>
      <c r="H15" s="2600"/>
      <c r="I15" s="2601"/>
      <c r="J15" s="3861">
        <v>2</v>
      </c>
      <c r="K15" s="3862"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871" t="s">
        <v>2381</v>
      </c>
      <c r="C16" s="3872"/>
      <c r="D16" s="2660">
        <f>D6*E16</f>
        <v>0</v>
      </c>
      <c r="E16" s="2661"/>
      <c r="F16" s="2646" t="s">
        <v>2382</v>
      </c>
      <c r="G16" s="2625"/>
      <c r="H16" s="2600"/>
      <c r="I16" s="2601"/>
      <c r="J16" s="3861"/>
      <c r="K16" s="3863"/>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873" t="s">
        <v>2384</v>
      </c>
      <c r="C17" s="3874"/>
      <c r="D17" s="2663">
        <f>ROUND(D6*E17,0)</f>
        <v>0</v>
      </c>
      <c r="E17" s="2664"/>
      <c r="F17" s="2665" t="s">
        <v>2385</v>
      </c>
      <c r="G17" s="2625"/>
      <c r="H17" s="2600"/>
      <c r="I17" s="2601"/>
      <c r="J17" s="3861"/>
      <c r="K17" s="3863"/>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861"/>
      <c r="K18" s="3863"/>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861"/>
      <c r="K19" s="3864"/>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861">
        <v>3</v>
      </c>
      <c r="K20" s="3862"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861"/>
      <c r="K21" s="3863"/>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861"/>
      <c r="K22" s="3863"/>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861"/>
      <c r="K23" s="3863"/>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861"/>
      <c r="K24" s="3864"/>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865">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86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867" t="s">
        <v>2317</v>
      </c>
      <c r="K32" s="3868"/>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869" t="s">
        <v>2327</v>
      </c>
      <c r="K33" s="3870"/>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869" t="s">
        <v>2329</v>
      </c>
      <c r="K34" s="387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861">
        <v>1</v>
      </c>
      <c r="K36" s="3862"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861"/>
      <c r="K37" s="3863"/>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861"/>
      <c r="K38" s="3863"/>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861"/>
      <c r="K39" s="3863"/>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861"/>
      <c r="K40" s="3864"/>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865">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86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880" t="s">
        <v>1654</v>
      </c>
      <c r="C5" s="3881"/>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48097.7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900" t="s">
        <v>1667</v>
      </c>
      <c r="D4" s="3901"/>
      <c r="E4" s="3902" t="s">
        <v>1668</v>
      </c>
      <c r="F4" s="3903"/>
      <c r="G4" s="3900" t="s">
        <v>1669</v>
      </c>
      <c r="H4" s="3901"/>
      <c r="I4" s="3900" t="s">
        <v>1670</v>
      </c>
      <c r="J4" s="3901"/>
      <c r="K4" s="1744" t="s">
        <v>1671</v>
      </c>
      <c r="L4" s="2487"/>
      <c r="M4" s="2488"/>
      <c r="N4" s="2488"/>
      <c r="O4" s="2488"/>
      <c r="P4" s="3904" t="s">
        <v>1672</v>
      </c>
      <c r="Q4" s="3905"/>
      <c r="R4" s="3910" t="s">
        <v>1668</v>
      </c>
      <c r="S4" s="3911"/>
      <c r="T4" s="3910" t="s">
        <v>1669</v>
      </c>
      <c r="U4" s="3911"/>
      <c r="V4" s="3886" t="s">
        <v>1670</v>
      </c>
      <c r="W4" s="3886"/>
      <c r="X4" s="1265"/>
      <c r="Y4" s="3910" t="s">
        <v>1672</v>
      </c>
      <c r="Z4" s="3911"/>
      <c r="AA4" s="3897" t="s">
        <v>1668</v>
      </c>
      <c r="AB4" s="3897" t="s">
        <v>1669</v>
      </c>
      <c r="AC4" s="3897" t="s">
        <v>1670</v>
      </c>
    </row>
    <row r="5" spans="1:29" ht="15">
      <c r="A5" s="348"/>
      <c r="B5" s="349"/>
      <c r="C5" s="3918" t="s">
        <v>1673</v>
      </c>
      <c r="D5" s="3919"/>
      <c r="E5" s="3925" t="s">
        <v>1674</v>
      </c>
      <c r="F5" s="3926"/>
      <c r="G5" s="3918" t="s">
        <v>1675</v>
      </c>
      <c r="H5" s="3919"/>
      <c r="I5" s="3918" t="s">
        <v>1676</v>
      </c>
      <c r="J5" s="3919"/>
      <c r="K5" s="1745"/>
      <c r="L5" s="2487"/>
      <c r="M5" s="2488"/>
      <c r="N5" s="2488"/>
      <c r="O5" s="2488"/>
      <c r="P5" s="3906"/>
      <c r="Q5" s="3907"/>
      <c r="R5" s="3912"/>
      <c r="S5" s="3913"/>
      <c r="T5" s="3912"/>
      <c r="U5" s="3913"/>
      <c r="V5" s="3886"/>
      <c r="W5" s="3886"/>
      <c r="X5" s="1265"/>
      <c r="Y5" s="3912"/>
      <c r="Z5" s="3913"/>
      <c r="AA5" s="3898"/>
      <c r="AB5" s="3898"/>
      <c r="AC5" s="3898"/>
    </row>
    <row r="6" spans="1:29" ht="15.75" thickBot="1">
      <c r="A6" s="350"/>
      <c r="B6" s="351"/>
      <c r="C6" s="3916" t="s">
        <v>1677</v>
      </c>
      <c r="D6" s="3917"/>
      <c r="E6" s="3923" t="s">
        <v>1677</v>
      </c>
      <c r="F6" s="3924"/>
      <c r="G6" s="3916" t="s">
        <v>1677</v>
      </c>
      <c r="H6" s="3917"/>
      <c r="I6" s="3916" t="s">
        <v>1677</v>
      </c>
      <c r="J6" s="3917"/>
      <c r="K6" s="1745" t="s">
        <v>1678</v>
      </c>
      <c r="L6" s="2487"/>
      <c r="M6" s="2488"/>
      <c r="N6" s="2488"/>
      <c r="O6" s="2488"/>
      <c r="P6" s="3908"/>
      <c r="Q6" s="3909"/>
      <c r="R6" s="3912"/>
      <c r="S6" s="3913"/>
      <c r="T6" s="3914"/>
      <c r="U6" s="3915"/>
      <c r="V6" s="3886"/>
      <c r="W6" s="3886"/>
      <c r="X6" s="1265"/>
      <c r="Y6" s="3914"/>
      <c r="Z6" s="3915"/>
      <c r="AA6" s="3899"/>
      <c r="AB6" s="3899"/>
      <c r="AC6" s="3899"/>
    </row>
    <row r="7" spans="1:29" s="102" customFormat="1" ht="15.75" thickBot="1">
      <c r="A7" s="352" t="s">
        <v>1679</v>
      </c>
      <c r="B7" s="353"/>
      <c r="C7" s="354">
        <f>'数据-取费表'!B2</f>
        <v>45995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920" t="s">
        <v>1680</v>
      </c>
      <c r="Q7" s="3922"/>
      <c r="R7" s="664" t="s">
        <v>20</v>
      </c>
      <c r="S7" s="665">
        <f t="shared" ref="S7:S15" si="0">F7</f>
        <v>0</v>
      </c>
      <c r="T7" s="664" t="s">
        <v>20</v>
      </c>
      <c r="U7" s="665">
        <f t="shared" ref="U7:U15" si="1">H7</f>
        <v>0</v>
      </c>
      <c r="V7" s="664" t="s">
        <v>20</v>
      </c>
      <c r="W7" s="665">
        <f t="shared" ref="W7:W15" si="2">J7</f>
        <v>0</v>
      </c>
      <c r="X7" s="666"/>
      <c r="Y7" s="3920" t="s">
        <v>1680</v>
      </c>
      <c r="Z7" s="392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920" t="s">
        <v>1683</v>
      </c>
      <c r="Q8" s="3921"/>
      <c r="R8" s="664" t="s">
        <v>20</v>
      </c>
      <c r="S8" s="665">
        <f t="shared" si="0"/>
        <v>100</v>
      </c>
      <c r="T8" s="664" t="s">
        <v>20</v>
      </c>
      <c r="U8" s="665">
        <f t="shared" si="1"/>
        <v>100</v>
      </c>
      <c r="V8" s="664" t="s">
        <v>20</v>
      </c>
      <c r="W8" s="665">
        <f t="shared" si="2"/>
        <v>100</v>
      </c>
      <c r="X8" s="666"/>
      <c r="Y8" s="3920" t="s">
        <v>1683</v>
      </c>
      <c r="Z8" s="392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896" t="s">
        <v>1686</v>
      </c>
      <c r="Q9" s="530" t="str">
        <f t="shared" ref="Q9:Q15" si="6">B9</f>
        <v>用途</v>
      </c>
      <c r="R9" s="664" t="s">
        <v>14</v>
      </c>
      <c r="S9" s="665">
        <f t="shared" si="0"/>
        <v>100</v>
      </c>
      <c r="T9" s="664" t="s">
        <v>14</v>
      </c>
      <c r="U9" s="665">
        <f t="shared" si="1"/>
        <v>100</v>
      </c>
      <c r="V9" s="664" t="s">
        <v>14</v>
      </c>
      <c r="W9" s="665">
        <f t="shared" si="2"/>
        <v>100</v>
      </c>
      <c r="X9" s="666"/>
      <c r="Y9" s="371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896"/>
      <c r="Q10" s="530" t="str">
        <f t="shared" si="6"/>
        <v>土地使用年限（年）</v>
      </c>
      <c r="R10" s="664" t="s">
        <v>14</v>
      </c>
      <c r="S10" s="665">
        <f t="shared" si="0"/>
        <v>100</v>
      </c>
      <c r="T10" s="664" t="s">
        <v>14</v>
      </c>
      <c r="U10" s="665">
        <f t="shared" si="1"/>
        <v>100</v>
      </c>
      <c r="V10" s="664" t="s">
        <v>14</v>
      </c>
      <c r="W10" s="665">
        <f t="shared" si="2"/>
        <v>100</v>
      </c>
      <c r="X10" s="666"/>
      <c r="Y10" s="37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896"/>
      <c r="Q11" s="530" t="str">
        <f t="shared" si="6"/>
        <v>容积率</v>
      </c>
      <c r="R11" s="664" t="s">
        <v>18</v>
      </c>
      <c r="S11" s="665" t="e">
        <f t="shared" si="0"/>
        <v>#N/A</v>
      </c>
      <c r="T11" s="664" t="s">
        <v>18</v>
      </c>
      <c r="U11" s="665" t="e">
        <f t="shared" si="1"/>
        <v>#N/A</v>
      </c>
      <c r="V11" s="664" t="s">
        <v>18</v>
      </c>
      <c r="W11" s="665" t="e">
        <f t="shared" si="2"/>
        <v>#N/A</v>
      </c>
      <c r="X11" s="666"/>
      <c r="Y11" s="371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896"/>
      <c r="Q12" s="530">
        <f t="shared" si="6"/>
        <v>111</v>
      </c>
      <c r="R12" s="664" t="s">
        <v>18</v>
      </c>
      <c r="S12" s="665">
        <f t="shared" si="0"/>
        <v>100</v>
      </c>
      <c r="T12" s="664" t="s">
        <v>18</v>
      </c>
      <c r="U12" s="665">
        <f t="shared" si="1"/>
        <v>100</v>
      </c>
      <c r="V12" s="664" t="s">
        <v>18</v>
      </c>
      <c r="W12" s="665">
        <f t="shared" si="2"/>
        <v>100</v>
      </c>
      <c r="X12" s="666"/>
      <c r="Y12" s="37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896"/>
      <c r="Q13" s="530">
        <f t="shared" si="6"/>
        <v>111</v>
      </c>
      <c r="R13" s="664" t="s">
        <v>18</v>
      </c>
      <c r="S13" s="665">
        <f t="shared" si="0"/>
        <v>100</v>
      </c>
      <c r="T13" s="664" t="s">
        <v>18</v>
      </c>
      <c r="U13" s="665">
        <f t="shared" si="1"/>
        <v>100</v>
      </c>
      <c r="V13" s="664" t="s">
        <v>18</v>
      </c>
      <c r="W13" s="665">
        <f t="shared" si="2"/>
        <v>100</v>
      </c>
      <c r="X13" s="666"/>
      <c r="Y13" s="371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896"/>
      <c r="Q14" s="530">
        <f t="shared" si="6"/>
        <v>111</v>
      </c>
      <c r="R14" s="664" t="s">
        <v>18</v>
      </c>
      <c r="S14" s="665">
        <f t="shared" si="0"/>
        <v>100</v>
      </c>
      <c r="T14" s="664" t="s">
        <v>18</v>
      </c>
      <c r="U14" s="665">
        <f t="shared" si="1"/>
        <v>100</v>
      </c>
      <c r="V14" s="664" t="s">
        <v>18</v>
      </c>
      <c r="W14" s="665">
        <f t="shared" si="2"/>
        <v>100</v>
      </c>
      <c r="X14" s="666"/>
      <c r="Y14" s="371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894" t="s">
        <v>1691</v>
      </c>
      <c r="Q15" s="1263" t="str">
        <f t="shared" si="6"/>
        <v>居住社区成熟度</v>
      </c>
      <c r="R15" s="667" t="s">
        <v>18</v>
      </c>
      <c r="S15" s="668">
        <f t="shared" si="0"/>
        <v>100</v>
      </c>
      <c r="T15" s="667" t="s">
        <v>18</v>
      </c>
      <c r="U15" s="668">
        <f t="shared" si="1"/>
        <v>100</v>
      </c>
      <c r="V15" s="667" t="s">
        <v>18</v>
      </c>
      <c r="W15" s="668">
        <f t="shared" si="2"/>
        <v>100</v>
      </c>
      <c r="X15" s="1265"/>
      <c r="Y15" s="388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895"/>
      <c r="Q16" s="1263"/>
      <c r="R16" s="667"/>
      <c r="S16" s="668"/>
      <c r="T16" s="667"/>
      <c r="U16" s="668"/>
      <c r="V16" s="667"/>
      <c r="W16" s="668"/>
      <c r="X16" s="1265"/>
      <c r="Y16" s="3888"/>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895"/>
      <c r="Q17" s="1263" t="str">
        <f>B17</f>
        <v>交通便捷度</v>
      </c>
      <c r="R17" s="667" t="s">
        <v>18</v>
      </c>
      <c r="S17" s="668">
        <f>F17</f>
        <v>100</v>
      </c>
      <c r="T17" s="667" t="s">
        <v>18</v>
      </c>
      <c r="U17" s="668">
        <f>H17</f>
        <v>100</v>
      </c>
      <c r="V17" s="667" t="s">
        <v>18</v>
      </c>
      <c r="W17" s="668">
        <f>J17</f>
        <v>100</v>
      </c>
      <c r="X17" s="1265"/>
      <c r="Y17" s="388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895"/>
      <c r="Q18" s="1263"/>
      <c r="R18" s="667"/>
      <c r="S18" s="668"/>
      <c r="T18" s="667"/>
      <c r="U18" s="668"/>
      <c r="V18" s="667"/>
      <c r="W18" s="668"/>
      <c r="X18" s="1265"/>
      <c r="Y18" s="3888"/>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895"/>
      <c r="Q19" s="1263" t="str">
        <f>B19</f>
        <v>公共配套设施</v>
      </c>
      <c r="R19" s="667" t="s">
        <v>18</v>
      </c>
      <c r="S19" s="668">
        <f>F19</f>
        <v>100</v>
      </c>
      <c r="T19" s="667" t="s">
        <v>18</v>
      </c>
      <c r="U19" s="668">
        <f>H19</f>
        <v>100</v>
      </c>
      <c r="V19" s="667" t="s">
        <v>18</v>
      </c>
      <c r="W19" s="668">
        <f>J19</f>
        <v>100</v>
      </c>
      <c r="X19" s="1265"/>
      <c r="Y19" s="388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895"/>
      <c r="Q20" s="1263"/>
      <c r="R20" s="667"/>
      <c r="S20" s="668"/>
      <c r="T20" s="667"/>
      <c r="U20" s="668"/>
      <c r="V20" s="667"/>
      <c r="W20" s="668"/>
      <c r="X20" s="1265"/>
      <c r="Y20" s="388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895"/>
      <c r="Q21" s="1263" t="str">
        <f>B21</f>
        <v>基础设施水平</v>
      </c>
      <c r="R21" s="667" t="s">
        <v>14</v>
      </c>
      <c r="S21" s="668">
        <f>F21</f>
        <v>100</v>
      </c>
      <c r="T21" s="667" t="s">
        <v>14</v>
      </c>
      <c r="U21" s="668">
        <f>H21</f>
        <v>100</v>
      </c>
      <c r="V21" s="667" t="s">
        <v>14</v>
      </c>
      <c r="W21" s="668">
        <f>J21</f>
        <v>100</v>
      </c>
      <c r="X21" s="1265"/>
      <c r="Y21" s="38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895"/>
      <c r="Q22" s="1263"/>
      <c r="R22" s="667"/>
      <c r="S22" s="668"/>
      <c r="T22" s="667"/>
      <c r="U22" s="668"/>
      <c r="V22" s="667"/>
      <c r="W22" s="668"/>
      <c r="X22" s="1265"/>
      <c r="Y22" s="3888"/>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895"/>
      <c r="Q23" s="1263" t="str">
        <f>B23</f>
        <v>自然及人文环境</v>
      </c>
      <c r="R23" s="667" t="s">
        <v>18</v>
      </c>
      <c r="S23" s="668">
        <f>F23</f>
        <v>100</v>
      </c>
      <c r="T23" s="667" t="s">
        <v>18</v>
      </c>
      <c r="U23" s="668">
        <f>H23</f>
        <v>100</v>
      </c>
      <c r="V23" s="667" t="s">
        <v>18</v>
      </c>
      <c r="W23" s="668">
        <f>J23</f>
        <v>100</v>
      </c>
      <c r="X23" s="1265"/>
      <c r="Y23" s="388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895"/>
      <c r="Q24" s="1263"/>
      <c r="R24" s="667"/>
      <c r="S24" s="668"/>
      <c r="T24" s="667"/>
      <c r="U24" s="668"/>
      <c r="V24" s="667"/>
      <c r="W24" s="668"/>
      <c r="X24" s="1265"/>
      <c r="Y24" s="388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89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88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895"/>
      <c r="Q26" s="1263" t="str">
        <f t="shared" si="11"/>
        <v>朝向</v>
      </c>
      <c r="R26" s="667" t="s">
        <v>18</v>
      </c>
      <c r="S26" s="668">
        <f t="shared" si="12"/>
        <v>100</v>
      </c>
      <c r="T26" s="667" t="s">
        <v>18</v>
      </c>
      <c r="U26" s="668">
        <f t="shared" si="13"/>
        <v>100</v>
      </c>
      <c r="V26" s="667" t="s">
        <v>18</v>
      </c>
      <c r="W26" s="668">
        <f t="shared" si="14"/>
        <v>100</v>
      </c>
      <c r="X26" s="1265"/>
      <c r="Y26" s="388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895"/>
      <c r="Q27" s="530">
        <f t="shared" si="11"/>
        <v>111</v>
      </c>
      <c r="R27" s="664" t="s">
        <v>18</v>
      </c>
      <c r="S27" s="665">
        <f t="shared" si="12"/>
        <v>100</v>
      </c>
      <c r="T27" s="664" t="s">
        <v>18</v>
      </c>
      <c r="U27" s="665">
        <f t="shared" si="13"/>
        <v>100</v>
      </c>
      <c r="V27" s="664" t="s">
        <v>18</v>
      </c>
      <c r="W27" s="665">
        <f t="shared" si="14"/>
        <v>100</v>
      </c>
      <c r="X27" s="666"/>
      <c r="Y27" s="388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895"/>
      <c r="Q28" s="1263">
        <f t="shared" si="11"/>
        <v>111</v>
      </c>
      <c r="R28" s="667" t="s">
        <v>18</v>
      </c>
      <c r="S28" s="668">
        <f t="shared" si="12"/>
        <v>100</v>
      </c>
      <c r="T28" s="667" t="s">
        <v>18</v>
      </c>
      <c r="U28" s="668">
        <f t="shared" si="13"/>
        <v>100</v>
      </c>
      <c r="V28" s="667" t="s">
        <v>18</v>
      </c>
      <c r="W28" s="668">
        <f t="shared" si="14"/>
        <v>100</v>
      </c>
      <c r="X28" s="1265"/>
      <c r="Y28" s="388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895"/>
      <c r="Q29" s="1263">
        <f t="shared" si="11"/>
        <v>111</v>
      </c>
      <c r="R29" s="667" t="s">
        <v>18</v>
      </c>
      <c r="S29" s="668">
        <f t="shared" si="12"/>
        <v>100</v>
      </c>
      <c r="T29" s="667" t="s">
        <v>18</v>
      </c>
      <c r="U29" s="668">
        <f t="shared" si="13"/>
        <v>100</v>
      </c>
      <c r="V29" s="667" t="s">
        <v>18</v>
      </c>
      <c r="W29" s="668">
        <f t="shared" si="14"/>
        <v>100</v>
      </c>
      <c r="X29" s="1265"/>
      <c r="Y29" s="388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895"/>
      <c r="Q30" s="1263">
        <f t="shared" si="11"/>
        <v>111</v>
      </c>
      <c r="R30" s="667" t="s">
        <v>18</v>
      </c>
      <c r="S30" s="668">
        <f t="shared" si="12"/>
        <v>100</v>
      </c>
      <c r="T30" s="667" t="s">
        <v>18</v>
      </c>
      <c r="U30" s="668">
        <f t="shared" si="13"/>
        <v>100</v>
      </c>
      <c r="V30" s="667" t="s">
        <v>18</v>
      </c>
      <c r="W30" s="668">
        <f t="shared" si="14"/>
        <v>100</v>
      </c>
      <c r="X30" s="1265"/>
      <c r="Y30" s="388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895"/>
      <c r="Q31" s="1263">
        <f t="shared" si="11"/>
        <v>111</v>
      </c>
      <c r="R31" s="667" t="s">
        <v>18</v>
      </c>
      <c r="S31" s="668">
        <f t="shared" si="12"/>
        <v>100</v>
      </c>
      <c r="T31" s="667" t="s">
        <v>18</v>
      </c>
      <c r="U31" s="668">
        <f t="shared" si="13"/>
        <v>100</v>
      </c>
      <c r="V31" s="667" t="s">
        <v>18</v>
      </c>
      <c r="W31" s="668">
        <f t="shared" si="14"/>
        <v>100</v>
      </c>
      <c r="X31" s="1265"/>
      <c r="Y31" s="388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889" t="s">
        <v>1696</v>
      </c>
      <c r="Q32" s="1263" t="str">
        <f t="shared" si="11"/>
        <v>建筑类型</v>
      </c>
      <c r="R32" s="667" t="s">
        <v>18</v>
      </c>
      <c r="S32" s="668">
        <f t="shared" si="12"/>
        <v>100</v>
      </c>
      <c r="T32" s="667" t="s">
        <v>18</v>
      </c>
      <c r="U32" s="668">
        <f t="shared" si="13"/>
        <v>100</v>
      </c>
      <c r="V32" s="667" t="s">
        <v>18</v>
      </c>
      <c r="W32" s="668">
        <f t="shared" si="14"/>
        <v>100</v>
      </c>
      <c r="X32" s="1265"/>
      <c r="Y32" s="389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890"/>
      <c r="Q33" s="531" t="str">
        <f t="shared" si="11"/>
        <v>项目建筑规模</v>
      </c>
      <c r="R33" s="669" t="s">
        <v>18</v>
      </c>
      <c r="S33" s="670" t="e">
        <f t="shared" si="12"/>
        <v>#N/A</v>
      </c>
      <c r="T33" s="669" t="s">
        <v>18</v>
      </c>
      <c r="U33" s="670" t="e">
        <f t="shared" si="13"/>
        <v>#N/A</v>
      </c>
      <c r="V33" s="669" t="s">
        <v>18</v>
      </c>
      <c r="W33" s="670" t="e">
        <f t="shared" si="14"/>
        <v>#N/A</v>
      </c>
      <c r="X33" s="671"/>
      <c r="Y33" s="389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890"/>
      <c r="Q34" s="1263" t="str">
        <f t="shared" si="11"/>
        <v>建筑结构</v>
      </c>
      <c r="R34" s="667" t="s">
        <v>18</v>
      </c>
      <c r="S34" s="668">
        <f t="shared" si="12"/>
        <v>100</v>
      </c>
      <c r="T34" s="667" t="s">
        <v>18</v>
      </c>
      <c r="U34" s="668">
        <f t="shared" si="13"/>
        <v>100</v>
      </c>
      <c r="V34" s="667" t="s">
        <v>18</v>
      </c>
      <c r="W34" s="668">
        <f t="shared" si="14"/>
        <v>100</v>
      </c>
      <c r="X34" s="1265"/>
      <c r="Y34" s="389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890"/>
      <c r="Q35" s="1263" t="str">
        <f t="shared" si="11"/>
        <v>建筑品质</v>
      </c>
      <c r="R35" s="667" t="s">
        <v>18</v>
      </c>
      <c r="S35" s="668">
        <f t="shared" si="12"/>
        <v>100</v>
      </c>
      <c r="T35" s="667" t="s">
        <v>18</v>
      </c>
      <c r="U35" s="668">
        <f t="shared" si="13"/>
        <v>100</v>
      </c>
      <c r="V35" s="667" t="s">
        <v>18</v>
      </c>
      <c r="W35" s="668">
        <f t="shared" si="14"/>
        <v>100</v>
      </c>
      <c r="X35" s="1265"/>
      <c r="Y35" s="389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890"/>
      <c r="Q36" s="1263" t="str">
        <f t="shared" si="11"/>
        <v>公共部分装修</v>
      </c>
      <c r="R36" s="667" t="s">
        <v>18</v>
      </c>
      <c r="S36" s="668">
        <f t="shared" si="12"/>
        <v>100</v>
      </c>
      <c r="T36" s="667" t="s">
        <v>18</v>
      </c>
      <c r="U36" s="668">
        <f t="shared" si="13"/>
        <v>100</v>
      </c>
      <c r="V36" s="667" t="s">
        <v>18</v>
      </c>
      <c r="W36" s="668">
        <f t="shared" si="14"/>
        <v>100</v>
      </c>
      <c r="X36" s="1265"/>
      <c r="Y36" s="389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890"/>
      <c r="Q37" s="530" t="str">
        <f t="shared" si="11"/>
        <v>成新度</v>
      </c>
      <c r="R37" s="664" t="s">
        <v>18</v>
      </c>
      <c r="S37" s="665" t="e">
        <f t="shared" si="12"/>
        <v>#N/A</v>
      </c>
      <c r="T37" s="664" t="s">
        <v>18</v>
      </c>
      <c r="U37" s="665" t="e">
        <f t="shared" si="13"/>
        <v>#N/A</v>
      </c>
      <c r="V37" s="664" t="s">
        <v>18</v>
      </c>
      <c r="W37" s="665" t="e">
        <f t="shared" si="14"/>
        <v>#N/A</v>
      </c>
      <c r="X37" s="666"/>
      <c r="Y37" s="389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890" t="s">
        <v>1696</v>
      </c>
      <c r="Q38" s="1263" t="str">
        <f t="shared" si="11"/>
        <v>物业管理</v>
      </c>
      <c r="R38" s="667" t="s">
        <v>18</v>
      </c>
      <c r="S38" s="668">
        <f t="shared" si="12"/>
        <v>100</v>
      </c>
      <c r="T38" s="667" t="s">
        <v>18</v>
      </c>
      <c r="U38" s="668">
        <f t="shared" si="13"/>
        <v>100</v>
      </c>
      <c r="V38" s="667" t="s">
        <v>18</v>
      </c>
      <c r="W38" s="668">
        <f t="shared" si="14"/>
        <v>100</v>
      </c>
      <c r="X38" s="1265"/>
      <c r="Y38" s="389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890"/>
      <c r="Q39" s="1263" t="str">
        <f t="shared" si="11"/>
        <v>市政基础设施</v>
      </c>
      <c r="R39" s="667" t="s">
        <v>18</v>
      </c>
      <c r="S39" s="668">
        <f t="shared" si="12"/>
        <v>100</v>
      </c>
      <c r="T39" s="667" t="s">
        <v>18</v>
      </c>
      <c r="U39" s="668">
        <f t="shared" si="13"/>
        <v>100</v>
      </c>
      <c r="V39" s="667" t="s">
        <v>18</v>
      </c>
      <c r="W39" s="668">
        <f t="shared" si="14"/>
        <v>100</v>
      </c>
      <c r="X39" s="1265"/>
      <c r="Y39" s="389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890"/>
      <c r="Q40" s="1263" t="str">
        <f t="shared" si="11"/>
        <v>房型</v>
      </c>
      <c r="R40" s="667" t="s">
        <v>18</v>
      </c>
      <c r="S40" s="668">
        <f t="shared" si="12"/>
        <v>100</v>
      </c>
      <c r="T40" s="667" t="s">
        <v>18</v>
      </c>
      <c r="U40" s="668">
        <f t="shared" si="13"/>
        <v>100</v>
      </c>
      <c r="V40" s="667" t="s">
        <v>18</v>
      </c>
      <c r="W40" s="668">
        <f t="shared" si="14"/>
        <v>100</v>
      </c>
      <c r="X40" s="1265"/>
      <c r="Y40" s="389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890"/>
      <c r="Q41" s="531" t="str">
        <f t="shared" si="11"/>
        <v>单套/主力户型建筑面积</v>
      </c>
      <c r="R41" s="669" t="s">
        <v>18</v>
      </c>
      <c r="S41" s="670">
        <f t="shared" si="12"/>
        <v>100</v>
      </c>
      <c r="T41" s="669" t="s">
        <v>18</v>
      </c>
      <c r="U41" s="670">
        <f t="shared" si="13"/>
        <v>100</v>
      </c>
      <c r="V41" s="669" t="s">
        <v>18</v>
      </c>
      <c r="W41" s="670">
        <f t="shared" si="14"/>
        <v>100</v>
      </c>
      <c r="X41" s="671"/>
      <c r="Y41" s="389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890"/>
      <c r="Q42" s="1263" t="str">
        <f t="shared" si="11"/>
        <v>内部装修</v>
      </c>
      <c r="R42" s="667" t="s">
        <v>18</v>
      </c>
      <c r="S42" s="668">
        <f t="shared" si="12"/>
        <v>100</v>
      </c>
      <c r="T42" s="667" t="s">
        <v>18</v>
      </c>
      <c r="U42" s="668">
        <f t="shared" si="13"/>
        <v>100</v>
      </c>
      <c r="V42" s="667" t="s">
        <v>18</v>
      </c>
      <c r="W42" s="668">
        <f t="shared" si="14"/>
        <v>100</v>
      </c>
      <c r="X42" s="1265"/>
      <c r="Y42" s="389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890"/>
      <c r="Q43" s="1263" t="str">
        <f t="shared" si="11"/>
        <v>内部装修维护情况</v>
      </c>
      <c r="R43" s="667" t="s">
        <v>18</v>
      </c>
      <c r="S43" s="668">
        <f t="shared" si="12"/>
        <v>100</v>
      </c>
      <c r="T43" s="667" t="s">
        <v>18</v>
      </c>
      <c r="U43" s="668">
        <f t="shared" si="13"/>
        <v>100</v>
      </c>
      <c r="V43" s="667" t="s">
        <v>18</v>
      </c>
      <c r="W43" s="668">
        <f t="shared" si="14"/>
        <v>100</v>
      </c>
      <c r="X43" s="1265"/>
      <c r="Y43" s="389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890"/>
      <c r="Q44" s="530">
        <f t="shared" si="11"/>
        <v>111</v>
      </c>
      <c r="R44" s="664" t="s">
        <v>18</v>
      </c>
      <c r="S44" s="665">
        <f t="shared" si="12"/>
        <v>100</v>
      </c>
      <c r="T44" s="664" t="s">
        <v>18</v>
      </c>
      <c r="U44" s="665">
        <f t="shared" si="13"/>
        <v>100</v>
      </c>
      <c r="V44" s="664" t="s">
        <v>18</v>
      </c>
      <c r="W44" s="665">
        <f t="shared" si="14"/>
        <v>100</v>
      </c>
      <c r="X44" s="666"/>
      <c r="Y44" s="389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890"/>
      <c r="Q45" s="1263">
        <f t="shared" si="11"/>
        <v>111</v>
      </c>
      <c r="R45" s="667" t="s">
        <v>18</v>
      </c>
      <c r="S45" s="668">
        <f t="shared" si="12"/>
        <v>100</v>
      </c>
      <c r="T45" s="667" t="s">
        <v>18</v>
      </c>
      <c r="U45" s="668">
        <f t="shared" si="13"/>
        <v>100</v>
      </c>
      <c r="V45" s="667" t="s">
        <v>18</v>
      </c>
      <c r="W45" s="668">
        <f t="shared" si="14"/>
        <v>100</v>
      </c>
      <c r="X45" s="1265"/>
      <c r="Y45" s="389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891"/>
      <c r="Q46" s="1263">
        <f t="shared" si="11"/>
        <v>111</v>
      </c>
      <c r="R46" s="667" t="s">
        <v>17</v>
      </c>
      <c r="S46" s="668">
        <f t="shared" si="12"/>
        <v>100</v>
      </c>
      <c r="T46" s="667" t="s">
        <v>17</v>
      </c>
      <c r="U46" s="668">
        <f t="shared" si="13"/>
        <v>100</v>
      </c>
      <c r="V46" s="667" t="s">
        <v>17</v>
      </c>
      <c r="W46" s="668">
        <f t="shared" si="14"/>
        <v>100</v>
      </c>
      <c r="X46" s="1265"/>
      <c r="Y46" s="389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885" t="str">
        <f>A47</f>
        <v>成交单价（元/平方米）</v>
      </c>
      <c r="Q47" s="3885"/>
      <c r="R47" s="3886">
        <f>E47</f>
        <v>0</v>
      </c>
      <c r="S47" s="3886"/>
      <c r="T47" s="3886">
        <f>G47</f>
        <v>0</v>
      </c>
      <c r="U47" s="3886"/>
      <c r="V47" s="3886">
        <f>I47</f>
        <v>0</v>
      </c>
      <c r="W47" s="388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885" t="str">
        <f>A48</f>
        <v>比较价值（元/平方米）</v>
      </c>
      <c r="Q48" s="3885"/>
      <c r="R48" s="3886" t="e">
        <f>IF(F1="售价",ROUND(PRODUCT(R47,AA7:AA46),0),ROUND(PRODUCT(R47,AA7:AA46),1))</f>
        <v>#DIV/0!</v>
      </c>
      <c r="S48" s="3886"/>
      <c r="T48" s="3886" t="e">
        <f>IF(F1="售价",ROUND(PRODUCT(T47,AB7:AB46),0),ROUND(PRODUCT(T47,AB7:AB46),1))</f>
        <v>#DIV/0!</v>
      </c>
      <c r="U48" s="3886"/>
      <c r="V48" s="3886" t="e">
        <f>IF(F1="售价",ROUND(PRODUCT(V47,AC7:AC46),0),ROUND(PRODUCT(V47,AC7:AC46),1))</f>
        <v>#DIV/0!</v>
      </c>
      <c r="W48" s="388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882" t="str">
        <f>A49</f>
        <v>估价对象XX用房的比较价值（楼面单价，元/平方米）</v>
      </c>
      <c r="Q49" s="3883"/>
      <c r="R49" s="3884" t="e">
        <f>IF(F1="售价",ROUND(IF(D48="简单平均",AVERAGE(R48:V48),R48*F48+T48*H48+V48*J48),0),ROUND(IF(D48="简单平均",AVERAGE(R48:V48),R48*F48+T48*H48+V48*J48),1))</f>
        <v>#DIV/0!</v>
      </c>
      <c r="S49" s="3884"/>
      <c r="T49" s="3884"/>
      <c r="U49" s="3884"/>
      <c r="V49" s="3884"/>
      <c r="W49" s="388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48097.7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900" t="s">
        <v>1770</v>
      </c>
      <c r="D4" s="3901"/>
      <c r="E4" s="3902" t="s">
        <v>1771</v>
      </c>
      <c r="F4" s="3903"/>
      <c r="G4" s="3900" t="s">
        <v>1772</v>
      </c>
      <c r="H4" s="3901"/>
      <c r="I4" s="3900" t="s">
        <v>1773</v>
      </c>
      <c r="J4" s="3901"/>
      <c r="K4" s="537" t="s">
        <v>1774</v>
      </c>
      <c r="L4" s="2487"/>
      <c r="M4" s="2488"/>
      <c r="N4" s="2488"/>
      <c r="O4" s="2488"/>
      <c r="P4" s="3904" t="s">
        <v>1775</v>
      </c>
      <c r="Q4" s="3905"/>
      <c r="R4" s="3910" t="s">
        <v>1771</v>
      </c>
      <c r="S4" s="3911"/>
      <c r="T4" s="3910" t="s">
        <v>1772</v>
      </c>
      <c r="U4" s="3911"/>
      <c r="V4" s="3886" t="s">
        <v>1773</v>
      </c>
      <c r="W4" s="3886"/>
      <c r="X4" s="1265"/>
      <c r="Y4" s="3910" t="s">
        <v>1775</v>
      </c>
      <c r="Z4" s="3911"/>
      <c r="AA4" s="3897" t="s">
        <v>1771</v>
      </c>
      <c r="AB4" s="3886" t="s">
        <v>1772</v>
      </c>
      <c r="AC4" s="3897" t="s">
        <v>1773</v>
      </c>
    </row>
    <row r="5" spans="1:29" ht="15">
      <c r="A5" s="348"/>
      <c r="B5" s="349"/>
      <c r="C5" s="3918" t="s">
        <v>1673</v>
      </c>
      <c r="D5" s="3919"/>
      <c r="E5" s="3925" t="s">
        <v>1674</v>
      </c>
      <c r="F5" s="3926"/>
      <c r="G5" s="3918" t="s">
        <v>1675</v>
      </c>
      <c r="H5" s="3919"/>
      <c r="I5" s="3918" t="s">
        <v>1676</v>
      </c>
      <c r="J5" s="3919"/>
      <c r="K5" s="537"/>
      <c r="L5" s="2487"/>
      <c r="M5" s="2488"/>
      <c r="N5" s="2488"/>
      <c r="O5" s="2488"/>
      <c r="P5" s="3906"/>
      <c r="Q5" s="3907"/>
      <c r="R5" s="3912"/>
      <c r="S5" s="3913"/>
      <c r="T5" s="3912"/>
      <c r="U5" s="3913"/>
      <c r="V5" s="3886"/>
      <c r="W5" s="3886"/>
      <c r="X5" s="1265"/>
      <c r="Y5" s="3912"/>
      <c r="Z5" s="3913"/>
      <c r="AA5" s="3898"/>
      <c r="AB5" s="3886"/>
      <c r="AC5" s="3898"/>
    </row>
    <row r="6" spans="1:29" ht="15.75" thickBot="1">
      <c r="A6" s="350"/>
      <c r="B6" s="351"/>
      <c r="C6" s="3916" t="s">
        <v>1677</v>
      </c>
      <c r="D6" s="3917"/>
      <c r="E6" s="3923" t="s">
        <v>1677</v>
      </c>
      <c r="F6" s="3924"/>
      <c r="G6" s="3916" t="s">
        <v>1677</v>
      </c>
      <c r="H6" s="3917"/>
      <c r="I6" s="3916" t="s">
        <v>1677</v>
      </c>
      <c r="J6" s="3917"/>
      <c r="K6" s="537" t="s">
        <v>1678</v>
      </c>
      <c r="L6" s="2487"/>
      <c r="M6" s="2488"/>
      <c r="N6" s="2488"/>
      <c r="O6" s="2488"/>
      <c r="P6" s="3908"/>
      <c r="Q6" s="3909"/>
      <c r="R6" s="3912"/>
      <c r="S6" s="3913"/>
      <c r="T6" s="3914"/>
      <c r="U6" s="3915"/>
      <c r="V6" s="3886"/>
      <c r="W6" s="3886"/>
      <c r="X6" s="1265"/>
      <c r="Y6" s="3914"/>
      <c r="Z6" s="3915"/>
      <c r="AA6" s="3899"/>
      <c r="AB6" s="3886"/>
      <c r="AC6" s="3899"/>
    </row>
    <row r="7" spans="1:29" s="102" customFormat="1" ht="15.75" thickBot="1">
      <c r="A7" s="352" t="s">
        <v>1679</v>
      </c>
      <c r="B7" s="353"/>
      <c r="C7" s="354">
        <f>'数据-取费表'!B2</f>
        <v>45995</v>
      </c>
      <c r="D7" s="355">
        <v>100</v>
      </c>
      <c r="E7" s="356"/>
      <c r="F7" s="357">
        <f>SUMIF(58:58,YEAR(E7)&amp;"-"&amp;MONTH(E7),59:59)</f>
        <v>0</v>
      </c>
      <c r="G7" s="356"/>
      <c r="H7" s="355">
        <f>SUMIF(58:58,YEAR(G7)&amp;"-"&amp;MONTH(G7),59:59)</f>
        <v>0</v>
      </c>
      <c r="I7" s="356"/>
      <c r="J7" s="355">
        <f>SUMIF(58:58,YEAR(I7)&amp;"-"&amp;MONTH(I7),59:59)</f>
        <v>0</v>
      </c>
      <c r="K7" s="38"/>
      <c r="L7" s="2489"/>
      <c r="M7" s="2440"/>
      <c r="N7" s="2440"/>
      <c r="O7" s="2440"/>
      <c r="P7" s="3920" t="s">
        <v>1680</v>
      </c>
      <c r="Q7" s="3922"/>
      <c r="R7" s="664" t="s">
        <v>14</v>
      </c>
      <c r="S7" s="665">
        <f t="shared" ref="S7:S15" si="0">F7</f>
        <v>0</v>
      </c>
      <c r="T7" s="664" t="s">
        <v>14</v>
      </c>
      <c r="U7" s="665">
        <f t="shared" ref="U7:U15" si="1">H7</f>
        <v>0</v>
      </c>
      <c r="V7" s="664" t="s">
        <v>14</v>
      </c>
      <c r="W7" s="665">
        <f t="shared" ref="W7:W15" si="2">J7</f>
        <v>0</v>
      </c>
      <c r="X7" s="666"/>
      <c r="Y7" s="3920" t="s">
        <v>1680</v>
      </c>
      <c r="Z7" s="392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920" t="s">
        <v>1683</v>
      </c>
      <c r="Q8" s="3921"/>
      <c r="R8" s="664" t="s">
        <v>14</v>
      </c>
      <c r="S8" s="665">
        <f t="shared" si="0"/>
        <v>100</v>
      </c>
      <c r="T8" s="664" t="s">
        <v>14</v>
      </c>
      <c r="U8" s="665">
        <f t="shared" si="1"/>
        <v>100</v>
      </c>
      <c r="V8" s="664" t="s">
        <v>14</v>
      </c>
      <c r="W8" s="665">
        <f t="shared" si="2"/>
        <v>100</v>
      </c>
      <c r="X8" s="666"/>
      <c r="Y8" s="3920" t="s">
        <v>1683</v>
      </c>
      <c r="Z8" s="392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896" t="s">
        <v>1686</v>
      </c>
      <c r="Q9" s="530" t="str">
        <f t="shared" ref="Q9:Q15" si="6">B9</f>
        <v>用途</v>
      </c>
      <c r="R9" s="664" t="s">
        <v>14</v>
      </c>
      <c r="S9" s="665">
        <f t="shared" si="0"/>
        <v>100</v>
      </c>
      <c r="T9" s="664" t="s">
        <v>14</v>
      </c>
      <c r="U9" s="665">
        <f t="shared" si="1"/>
        <v>100</v>
      </c>
      <c r="V9" s="664" t="s">
        <v>14</v>
      </c>
      <c r="W9" s="665">
        <f t="shared" si="2"/>
        <v>100</v>
      </c>
      <c r="X9" s="666"/>
      <c r="Y9" s="371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896"/>
      <c r="Q10" s="530" t="str">
        <f t="shared" si="6"/>
        <v>土地使用年限（年）</v>
      </c>
      <c r="R10" s="664" t="s">
        <v>14</v>
      </c>
      <c r="S10" s="665">
        <f t="shared" si="0"/>
        <v>100</v>
      </c>
      <c r="T10" s="664" t="s">
        <v>14</v>
      </c>
      <c r="U10" s="665">
        <f t="shared" si="1"/>
        <v>100</v>
      </c>
      <c r="V10" s="664" t="s">
        <v>14</v>
      </c>
      <c r="W10" s="665">
        <f t="shared" si="2"/>
        <v>100</v>
      </c>
      <c r="X10" s="666"/>
      <c r="Y10" s="37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896"/>
      <c r="Q11" s="530" t="str">
        <f t="shared" si="6"/>
        <v>容积率</v>
      </c>
      <c r="R11" s="664" t="s">
        <v>14</v>
      </c>
      <c r="S11" s="665" t="e">
        <f t="shared" si="0"/>
        <v>#N/A</v>
      </c>
      <c r="T11" s="664" t="s">
        <v>14</v>
      </c>
      <c r="U11" s="665" t="e">
        <f t="shared" si="1"/>
        <v>#N/A</v>
      </c>
      <c r="V11" s="664" t="s">
        <v>14</v>
      </c>
      <c r="W11" s="665" t="e">
        <f t="shared" si="2"/>
        <v>#N/A</v>
      </c>
      <c r="X11" s="666"/>
      <c r="Y11" s="371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896"/>
      <c r="Q12" s="530">
        <f t="shared" si="6"/>
        <v>111</v>
      </c>
      <c r="R12" s="664" t="s">
        <v>14</v>
      </c>
      <c r="S12" s="665">
        <f t="shared" si="0"/>
        <v>100</v>
      </c>
      <c r="T12" s="664" t="s">
        <v>14</v>
      </c>
      <c r="U12" s="665">
        <f t="shared" si="1"/>
        <v>100</v>
      </c>
      <c r="V12" s="664" t="s">
        <v>14</v>
      </c>
      <c r="W12" s="665">
        <f t="shared" si="2"/>
        <v>100</v>
      </c>
      <c r="X12" s="666"/>
      <c r="Y12" s="37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896"/>
      <c r="Q13" s="530">
        <f t="shared" si="6"/>
        <v>111</v>
      </c>
      <c r="R13" s="664" t="s">
        <v>14</v>
      </c>
      <c r="S13" s="665">
        <f t="shared" si="0"/>
        <v>100</v>
      </c>
      <c r="T13" s="664" t="s">
        <v>14</v>
      </c>
      <c r="U13" s="665">
        <f t="shared" si="1"/>
        <v>100</v>
      </c>
      <c r="V13" s="664" t="s">
        <v>14</v>
      </c>
      <c r="W13" s="665">
        <f t="shared" si="2"/>
        <v>100</v>
      </c>
      <c r="X13" s="666"/>
      <c r="Y13" s="371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896"/>
      <c r="Q14" s="530">
        <f t="shared" si="6"/>
        <v>111</v>
      </c>
      <c r="R14" s="664" t="s">
        <v>14</v>
      </c>
      <c r="S14" s="665">
        <f t="shared" si="0"/>
        <v>100</v>
      </c>
      <c r="T14" s="664" t="s">
        <v>14</v>
      </c>
      <c r="U14" s="665">
        <f t="shared" si="1"/>
        <v>100</v>
      </c>
      <c r="V14" s="664" t="s">
        <v>14</v>
      </c>
      <c r="W14" s="665">
        <f t="shared" si="2"/>
        <v>100</v>
      </c>
      <c r="X14" s="666"/>
      <c r="Y14" s="371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894" t="s">
        <v>1691</v>
      </c>
      <c r="Q15" s="1263" t="str">
        <f t="shared" si="6"/>
        <v>商业繁华度</v>
      </c>
      <c r="R15" s="667" t="s">
        <v>14</v>
      </c>
      <c r="S15" s="668">
        <f t="shared" si="0"/>
        <v>100</v>
      </c>
      <c r="T15" s="667" t="s">
        <v>14</v>
      </c>
      <c r="U15" s="668">
        <f t="shared" si="1"/>
        <v>100</v>
      </c>
      <c r="V15" s="667" t="s">
        <v>14</v>
      </c>
      <c r="W15" s="668">
        <f t="shared" si="2"/>
        <v>100</v>
      </c>
      <c r="X15" s="1265"/>
      <c r="Y15" s="388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895"/>
      <c r="Q16" s="1263"/>
      <c r="R16" s="667"/>
      <c r="S16" s="668"/>
      <c r="T16" s="667"/>
      <c r="U16" s="668"/>
      <c r="V16" s="667"/>
      <c r="W16" s="668"/>
      <c r="X16" s="1265"/>
      <c r="Y16" s="3888"/>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895"/>
      <c r="Q17" s="1263" t="str">
        <f>B17</f>
        <v>交通便捷度</v>
      </c>
      <c r="R17" s="667" t="s">
        <v>14</v>
      </c>
      <c r="S17" s="668">
        <f>F17</f>
        <v>100</v>
      </c>
      <c r="T17" s="667" t="s">
        <v>14</v>
      </c>
      <c r="U17" s="668">
        <f>H17</f>
        <v>100</v>
      </c>
      <c r="V17" s="667" t="s">
        <v>14</v>
      </c>
      <c r="W17" s="668">
        <f>J17</f>
        <v>100</v>
      </c>
      <c r="X17" s="1265"/>
      <c r="Y17" s="38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895"/>
      <c r="Q18" s="1263"/>
      <c r="R18" s="667"/>
      <c r="S18" s="668"/>
      <c r="T18" s="667"/>
      <c r="U18" s="668"/>
      <c r="V18" s="667"/>
      <c r="W18" s="668"/>
      <c r="X18" s="1265"/>
      <c r="Y18" s="3888"/>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895"/>
      <c r="Q19" s="1263" t="str">
        <f>B19</f>
        <v>公共配套设施</v>
      </c>
      <c r="R19" s="667" t="s">
        <v>14</v>
      </c>
      <c r="S19" s="668">
        <f>F19</f>
        <v>100</v>
      </c>
      <c r="T19" s="667" t="s">
        <v>14</v>
      </c>
      <c r="U19" s="668">
        <f>H19</f>
        <v>100</v>
      </c>
      <c r="V19" s="667" t="s">
        <v>14</v>
      </c>
      <c r="W19" s="668">
        <f>J19</f>
        <v>100</v>
      </c>
      <c r="X19" s="1265"/>
      <c r="Y19" s="38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895"/>
      <c r="Q20" s="1263"/>
      <c r="R20" s="667"/>
      <c r="S20" s="668"/>
      <c r="T20" s="667"/>
      <c r="U20" s="668"/>
      <c r="V20" s="667"/>
      <c r="W20" s="668"/>
      <c r="X20" s="1265"/>
      <c r="Y20" s="388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895"/>
      <c r="Q21" s="1263" t="str">
        <f>B21</f>
        <v>基础设施水平</v>
      </c>
      <c r="R21" s="667" t="s">
        <v>14</v>
      </c>
      <c r="S21" s="668">
        <f>F21</f>
        <v>100</v>
      </c>
      <c r="T21" s="667" t="s">
        <v>14</v>
      </c>
      <c r="U21" s="668">
        <f>H21</f>
        <v>100</v>
      </c>
      <c r="V21" s="667" t="s">
        <v>14</v>
      </c>
      <c r="W21" s="668">
        <f>J21</f>
        <v>100</v>
      </c>
      <c r="X21" s="1265"/>
      <c r="Y21" s="38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895"/>
      <c r="Q22" s="1263"/>
      <c r="R22" s="667"/>
      <c r="S22" s="668"/>
      <c r="T22" s="667"/>
      <c r="U22" s="668"/>
      <c r="V22" s="667"/>
      <c r="W22" s="668"/>
      <c r="X22" s="1265"/>
      <c r="Y22" s="3888"/>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895"/>
      <c r="Q23" s="1263" t="str">
        <f>B23</f>
        <v>自然及人文环境</v>
      </c>
      <c r="R23" s="667" t="s">
        <v>14</v>
      </c>
      <c r="S23" s="668">
        <f>F23</f>
        <v>100</v>
      </c>
      <c r="T23" s="667" t="s">
        <v>14</v>
      </c>
      <c r="U23" s="668">
        <f>H23</f>
        <v>100</v>
      </c>
      <c r="V23" s="667" t="s">
        <v>14</v>
      </c>
      <c r="W23" s="668">
        <f>J23</f>
        <v>100</v>
      </c>
      <c r="X23" s="1265"/>
      <c r="Y23" s="388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895"/>
      <c r="Q24" s="1263"/>
      <c r="R24" s="667"/>
      <c r="S24" s="668"/>
      <c r="T24" s="667"/>
      <c r="U24" s="668"/>
      <c r="V24" s="667"/>
      <c r="W24" s="668"/>
      <c r="X24" s="1265"/>
      <c r="Y24" s="388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895"/>
      <c r="Q25" s="1263" t="str">
        <f t="shared" ref="Q25:Q46" si="11">B25</f>
        <v>临街状况</v>
      </c>
      <c r="R25" s="667" t="s">
        <v>14</v>
      </c>
      <c r="S25" s="668">
        <f>F25</f>
        <v>100</v>
      </c>
      <c r="T25" s="667" t="s">
        <v>14</v>
      </c>
      <c r="U25" s="668">
        <f>H25</f>
        <v>100</v>
      </c>
      <c r="V25" s="667" t="s">
        <v>14</v>
      </c>
      <c r="W25" s="668">
        <f>J25</f>
        <v>100</v>
      </c>
      <c r="X25" s="1265"/>
      <c r="Y25" s="388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895"/>
      <c r="Q26" s="1263" t="str">
        <f t="shared" si="11"/>
        <v>平面位置/可视性</v>
      </c>
      <c r="R26" s="667" t="s">
        <v>14</v>
      </c>
      <c r="S26" s="668">
        <f>F26</f>
        <v>100</v>
      </c>
      <c r="T26" s="667" t="s">
        <v>14</v>
      </c>
      <c r="U26" s="668">
        <f>H26</f>
        <v>100</v>
      </c>
      <c r="V26" s="667" t="s">
        <v>14</v>
      </c>
      <c r="W26" s="668">
        <f>J26</f>
        <v>100</v>
      </c>
      <c r="X26" s="1265"/>
      <c r="Y26" s="388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895"/>
      <c r="Q27" s="530" t="str">
        <f t="shared" si="11"/>
        <v>人流量</v>
      </c>
      <c r="R27" s="664" t="s">
        <v>14</v>
      </c>
      <c r="S27" s="665">
        <f>F27</f>
        <v>100</v>
      </c>
      <c r="T27" s="664" t="s">
        <v>14</v>
      </c>
      <c r="U27" s="665">
        <f>H27</f>
        <v>100</v>
      </c>
      <c r="V27" s="664" t="s">
        <v>14</v>
      </c>
      <c r="W27" s="665">
        <f>J27</f>
        <v>100</v>
      </c>
      <c r="X27" s="666"/>
      <c r="Y27" s="388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89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88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895"/>
      <c r="Q29" s="1263">
        <f t="shared" si="11"/>
        <v>111</v>
      </c>
      <c r="R29" s="667" t="s">
        <v>14</v>
      </c>
      <c r="S29" s="668">
        <f t="shared" si="12"/>
        <v>100</v>
      </c>
      <c r="T29" s="667" t="s">
        <v>14</v>
      </c>
      <c r="U29" s="668">
        <f t="shared" si="13"/>
        <v>100</v>
      </c>
      <c r="V29" s="667" t="s">
        <v>14</v>
      </c>
      <c r="W29" s="668">
        <f t="shared" si="14"/>
        <v>100</v>
      </c>
      <c r="X29" s="1265"/>
      <c r="Y29" s="388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895"/>
      <c r="Q30" s="1263">
        <f t="shared" si="11"/>
        <v>111</v>
      </c>
      <c r="R30" s="667" t="s">
        <v>14</v>
      </c>
      <c r="S30" s="668">
        <f t="shared" si="12"/>
        <v>100</v>
      </c>
      <c r="T30" s="667" t="s">
        <v>14</v>
      </c>
      <c r="U30" s="668">
        <f t="shared" si="13"/>
        <v>100</v>
      </c>
      <c r="V30" s="667" t="s">
        <v>14</v>
      </c>
      <c r="W30" s="668">
        <f t="shared" si="14"/>
        <v>100</v>
      </c>
      <c r="X30" s="1265"/>
      <c r="Y30" s="388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895"/>
      <c r="Q31" s="1263">
        <f t="shared" si="11"/>
        <v>111</v>
      </c>
      <c r="R31" s="667" t="s">
        <v>14</v>
      </c>
      <c r="S31" s="668">
        <f t="shared" si="12"/>
        <v>100</v>
      </c>
      <c r="T31" s="667" t="s">
        <v>14</v>
      </c>
      <c r="U31" s="668">
        <f t="shared" si="13"/>
        <v>100</v>
      </c>
      <c r="V31" s="667" t="s">
        <v>14</v>
      </c>
      <c r="W31" s="668">
        <f t="shared" si="14"/>
        <v>100</v>
      </c>
      <c r="X31" s="1265"/>
      <c r="Y31" s="388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889" t="s">
        <v>1696</v>
      </c>
      <c r="Q32" s="1263" t="str">
        <f t="shared" si="11"/>
        <v>商业类型</v>
      </c>
      <c r="R32" s="667" t="s">
        <v>14</v>
      </c>
      <c r="S32" s="668">
        <f t="shared" si="12"/>
        <v>100</v>
      </c>
      <c r="T32" s="667" t="s">
        <v>14</v>
      </c>
      <c r="U32" s="668">
        <f t="shared" si="13"/>
        <v>100</v>
      </c>
      <c r="V32" s="667" t="s">
        <v>14</v>
      </c>
      <c r="W32" s="668">
        <f t="shared" si="14"/>
        <v>100</v>
      </c>
      <c r="X32" s="1265"/>
      <c r="Y32" s="389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890"/>
      <c r="Q33" s="531" t="str">
        <f t="shared" si="11"/>
        <v>项目建筑规模</v>
      </c>
      <c r="R33" s="669" t="s">
        <v>14</v>
      </c>
      <c r="S33" s="670" t="e">
        <f t="shared" si="12"/>
        <v>#N/A</v>
      </c>
      <c r="T33" s="669" t="s">
        <v>14</v>
      </c>
      <c r="U33" s="670" t="e">
        <f t="shared" si="13"/>
        <v>#N/A</v>
      </c>
      <c r="V33" s="669" t="s">
        <v>14</v>
      </c>
      <c r="W33" s="670" t="e">
        <f t="shared" si="14"/>
        <v>#N/A</v>
      </c>
      <c r="X33" s="671"/>
      <c r="Y33" s="389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890"/>
      <c r="Q34" s="1263" t="str">
        <f t="shared" si="11"/>
        <v>建筑结构</v>
      </c>
      <c r="R34" s="667" t="s">
        <v>14</v>
      </c>
      <c r="S34" s="668">
        <f t="shared" si="12"/>
        <v>100</v>
      </c>
      <c r="T34" s="667" t="s">
        <v>14</v>
      </c>
      <c r="U34" s="668">
        <f t="shared" si="13"/>
        <v>100</v>
      </c>
      <c r="V34" s="667" t="s">
        <v>14</v>
      </c>
      <c r="W34" s="668">
        <f t="shared" si="14"/>
        <v>100</v>
      </c>
      <c r="X34" s="1265"/>
      <c r="Y34" s="389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890"/>
      <c r="Q35" s="1263" t="str">
        <f t="shared" si="11"/>
        <v>公共部分装修</v>
      </c>
      <c r="R35" s="667" t="s">
        <v>14</v>
      </c>
      <c r="S35" s="668">
        <f t="shared" si="12"/>
        <v>100</v>
      </c>
      <c r="T35" s="667" t="s">
        <v>14</v>
      </c>
      <c r="U35" s="668">
        <f t="shared" si="13"/>
        <v>100</v>
      </c>
      <c r="V35" s="667" t="s">
        <v>14</v>
      </c>
      <c r="W35" s="668">
        <f t="shared" si="14"/>
        <v>100</v>
      </c>
      <c r="X35" s="1265"/>
      <c r="Y35" s="389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890"/>
      <c r="Q36" s="1263" t="str">
        <f t="shared" si="11"/>
        <v>成新度</v>
      </c>
      <c r="R36" s="667" t="s">
        <v>14</v>
      </c>
      <c r="S36" s="668" t="e">
        <f t="shared" si="12"/>
        <v>#N/A</v>
      </c>
      <c r="T36" s="667" t="s">
        <v>14</v>
      </c>
      <c r="U36" s="668" t="e">
        <f t="shared" si="13"/>
        <v>#N/A</v>
      </c>
      <c r="V36" s="667" t="s">
        <v>14</v>
      </c>
      <c r="W36" s="668" t="e">
        <f t="shared" si="14"/>
        <v>#N/A</v>
      </c>
      <c r="X36" s="1265"/>
      <c r="Y36" s="389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890"/>
      <c r="Q37" s="530" t="str">
        <f t="shared" si="11"/>
        <v>市政基础设施</v>
      </c>
      <c r="R37" s="664" t="s">
        <v>14</v>
      </c>
      <c r="S37" s="665">
        <f t="shared" si="12"/>
        <v>100</v>
      </c>
      <c r="T37" s="664" t="s">
        <v>14</v>
      </c>
      <c r="U37" s="665">
        <f t="shared" si="13"/>
        <v>100</v>
      </c>
      <c r="V37" s="664" t="s">
        <v>14</v>
      </c>
      <c r="W37" s="665">
        <f t="shared" si="14"/>
        <v>100</v>
      </c>
      <c r="X37" s="666"/>
      <c r="Y37" s="389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890" t="s">
        <v>1696</v>
      </c>
      <c r="Q38" s="1263" t="str">
        <f t="shared" si="11"/>
        <v>业态</v>
      </c>
      <c r="R38" s="667" t="s">
        <v>14</v>
      </c>
      <c r="S38" s="668">
        <f t="shared" si="12"/>
        <v>100</v>
      </c>
      <c r="T38" s="667" t="s">
        <v>14</v>
      </c>
      <c r="U38" s="668">
        <f t="shared" si="13"/>
        <v>100</v>
      </c>
      <c r="V38" s="667" t="s">
        <v>14</v>
      </c>
      <c r="W38" s="668">
        <f t="shared" si="14"/>
        <v>100</v>
      </c>
      <c r="X38" s="1265"/>
      <c r="Y38" s="389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890"/>
      <c r="Q39" s="1263" t="str">
        <f t="shared" si="11"/>
        <v>层高</v>
      </c>
      <c r="R39" s="667" t="s">
        <v>14</v>
      </c>
      <c r="S39" s="668">
        <f t="shared" si="12"/>
        <v>100</v>
      </c>
      <c r="T39" s="667" t="s">
        <v>14</v>
      </c>
      <c r="U39" s="668">
        <f t="shared" si="13"/>
        <v>100</v>
      </c>
      <c r="V39" s="667" t="s">
        <v>14</v>
      </c>
      <c r="W39" s="668">
        <f t="shared" si="14"/>
        <v>100</v>
      </c>
      <c r="X39" s="1265"/>
      <c r="Y39" s="389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890"/>
      <c r="Q40" s="1263" t="str">
        <f t="shared" si="11"/>
        <v>单套建筑面积</v>
      </c>
      <c r="R40" s="667" t="s">
        <v>14</v>
      </c>
      <c r="S40" s="668">
        <f t="shared" si="12"/>
        <v>100</v>
      </c>
      <c r="T40" s="667" t="s">
        <v>14</v>
      </c>
      <c r="U40" s="668">
        <f t="shared" si="13"/>
        <v>100</v>
      </c>
      <c r="V40" s="667" t="s">
        <v>14</v>
      </c>
      <c r="W40" s="668">
        <f t="shared" si="14"/>
        <v>100</v>
      </c>
      <c r="X40" s="1265"/>
      <c r="Y40" s="389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890"/>
      <c r="Q41" s="531" t="str">
        <f t="shared" si="11"/>
        <v>进深比</v>
      </c>
      <c r="R41" s="669" t="s">
        <v>14</v>
      </c>
      <c r="S41" s="670">
        <f t="shared" si="12"/>
        <v>100</v>
      </c>
      <c r="T41" s="669" t="s">
        <v>14</v>
      </c>
      <c r="U41" s="670">
        <f t="shared" si="13"/>
        <v>100</v>
      </c>
      <c r="V41" s="669" t="s">
        <v>14</v>
      </c>
      <c r="W41" s="670">
        <f t="shared" si="14"/>
        <v>100</v>
      </c>
      <c r="X41" s="671"/>
      <c r="Y41" s="389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890"/>
      <c r="Q42" s="1263" t="str">
        <f t="shared" si="11"/>
        <v>内部装修</v>
      </c>
      <c r="R42" s="667" t="s">
        <v>14</v>
      </c>
      <c r="S42" s="668">
        <f t="shared" si="12"/>
        <v>100</v>
      </c>
      <c r="T42" s="667" t="s">
        <v>14</v>
      </c>
      <c r="U42" s="668">
        <f t="shared" si="13"/>
        <v>100</v>
      </c>
      <c r="V42" s="667" t="s">
        <v>14</v>
      </c>
      <c r="W42" s="668">
        <f t="shared" si="14"/>
        <v>100</v>
      </c>
      <c r="X42" s="1265"/>
      <c r="Y42" s="389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890"/>
      <c r="Q43" s="1263" t="str">
        <f t="shared" si="11"/>
        <v>内部装修维护情况</v>
      </c>
      <c r="R43" s="667" t="s">
        <v>14</v>
      </c>
      <c r="S43" s="668">
        <f t="shared" si="12"/>
        <v>100</v>
      </c>
      <c r="T43" s="667" t="s">
        <v>14</v>
      </c>
      <c r="U43" s="668">
        <f t="shared" si="13"/>
        <v>100</v>
      </c>
      <c r="V43" s="667" t="s">
        <v>14</v>
      </c>
      <c r="W43" s="668">
        <f t="shared" si="14"/>
        <v>100</v>
      </c>
      <c r="X43" s="1265"/>
      <c r="Y43" s="389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890"/>
      <c r="Q44" s="530">
        <f t="shared" si="11"/>
        <v>111</v>
      </c>
      <c r="R44" s="664" t="s">
        <v>14</v>
      </c>
      <c r="S44" s="665">
        <f t="shared" si="12"/>
        <v>100</v>
      </c>
      <c r="T44" s="664" t="s">
        <v>14</v>
      </c>
      <c r="U44" s="665">
        <f t="shared" si="13"/>
        <v>100</v>
      </c>
      <c r="V44" s="664" t="s">
        <v>14</v>
      </c>
      <c r="W44" s="665">
        <f t="shared" si="14"/>
        <v>100</v>
      </c>
      <c r="X44" s="666"/>
      <c r="Y44" s="389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890"/>
      <c r="Q45" s="1263">
        <f t="shared" si="11"/>
        <v>111</v>
      </c>
      <c r="R45" s="667" t="s">
        <v>14</v>
      </c>
      <c r="S45" s="668">
        <f t="shared" si="12"/>
        <v>100</v>
      </c>
      <c r="T45" s="667" t="s">
        <v>14</v>
      </c>
      <c r="U45" s="668">
        <f t="shared" si="13"/>
        <v>100</v>
      </c>
      <c r="V45" s="667" t="s">
        <v>14</v>
      </c>
      <c r="W45" s="668">
        <f t="shared" si="14"/>
        <v>100</v>
      </c>
      <c r="X45" s="1265"/>
      <c r="Y45" s="389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891"/>
      <c r="Q46" s="1263">
        <f t="shared" si="11"/>
        <v>111</v>
      </c>
      <c r="R46" s="667" t="s">
        <v>14</v>
      </c>
      <c r="S46" s="668">
        <f t="shared" si="12"/>
        <v>100</v>
      </c>
      <c r="T46" s="667" t="s">
        <v>14</v>
      </c>
      <c r="U46" s="668">
        <f t="shared" si="13"/>
        <v>100</v>
      </c>
      <c r="V46" s="667" t="s">
        <v>14</v>
      </c>
      <c r="W46" s="668">
        <f t="shared" si="14"/>
        <v>100</v>
      </c>
      <c r="X46" s="1265"/>
      <c r="Y46" s="389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885" t="str">
        <f>A47</f>
        <v>成交单价（元/平方米）</v>
      </c>
      <c r="Q47" s="3885"/>
      <c r="R47" s="3886">
        <f>E47</f>
        <v>0</v>
      </c>
      <c r="S47" s="3886"/>
      <c r="T47" s="3886">
        <f>G47</f>
        <v>0</v>
      </c>
      <c r="U47" s="3886"/>
      <c r="V47" s="3886">
        <f>I47</f>
        <v>0</v>
      </c>
      <c r="W47" s="388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885" t="str">
        <f>A48</f>
        <v>比较价值（元/平方米）</v>
      </c>
      <c r="Q48" s="3885"/>
      <c r="R48" s="3886" t="e">
        <f>IF(F1="售价",ROUND(PRODUCT(R47,AA7:AA46),0),ROUND(PRODUCT(R47,AA7:AA46),1))</f>
        <v>#DIV/0!</v>
      </c>
      <c r="S48" s="3886"/>
      <c r="T48" s="3886" t="e">
        <f>IF(F1="售价",ROUND(PRODUCT(T47,AB7:AB46),0),ROUND(PRODUCT(T47,AB7:AB46),1))</f>
        <v>#DIV/0!</v>
      </c>
      <c r="U48" s="3886"/>
      <c r="V48" s="3886" t="e">
        <f>IF(F1="售价",ROUND(PRODUCT(V47,AC7:AC46),0),ROUND(PRODUCT(V47,AC7:AC46),1))</f>
        <v>#DIV/0!</v>
      </c>
      <c r="W48" s="388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882" t="str">
        <f>A49</f>
        <v>估价对象XX用房的比较价值（楼面单价，元/平方米）</v>
      </c>
      <c r="Q49" s="3883"/>
      <c r="R49" s="3884" t="e">
        <f>IF(F1="售价",ROUND(IF(D48="简单平均",AVERAGE(R48:V48),R48*F48+T48*H48+V48*J48),0),ROUND(IF(D48="简单平均",AVERAGE(R48:V48),R48*F48+T48*H48+V48*J48),1))</f>
        <v>#DIV/0!</v>
      </c>
      <c r="S49" s="3884"/>
      <c r="T49" s="3884"/>
      <c r="U49" s="3884"/>
      <c r="V49" s="3884"/>
      <c r="W49" s="388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48097.7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900" t="s">
        <v>1770</v>
      </c>
      <c r="D4" s="3901"/>
      <c r="E4" s="3902" t="s">
        <v>1771</v>
      </c>
      <c r="F4" s="3903"/>
      <c r="G4" s="3900" t="s">
        <v>1772</v>
      </c>
      <c r="H4" s="3901"/>
      <c r="I4" s="3900" t="s">
        <v>1773</v>
      </c>
      <c r="J4" s="3901"/>
      <c r="K4" s="537" t="s">
        <v>1774</v>
      </c>
      <c r="L4" s="2487"/>
      <c r="M4" s="2488"/>
      <c r="N4" s="2488"/>
      <c r="O4" s="2488"/>
      <c r="P4" s="3933" t="s">
        <v>1775</v>
      </c>
      <c r="Q4" s="3934"/>
      <c r="R4" s="3937" t="s">
        <v>1771</v>
      </c>
      <c r="S4" s="3938"/>
      <c r="T4" s="3937" t="s">
        <v>1772</v>
      </c>
      <c r="U4" s="3938"/>
      <c r="V4" s="3939" t="s">
        <v>1773</v>
      </c>
      <c r="W4" s="3939"/>
      <c r="X4" s="1809"/>
      <c r="Y4" s="3937" t="s">
        <v>1775</v>
      </c>
      <c r="Z4" s="3938"/>
      <c r="AA4" s="3941" t="s">
        <v>1771</v>
      </c>
      <c r="AB4" s="3941" t="s">
        <v>1772</v>
      </c>
      <c r="AC4" s="3930" t="s">
        <v>1773</v>
      </c>
    </row>
    <row r="5" spans="1:29" ht="15">
      <c r="A5" s="348"/>
      <c r="B5" s="349"/>
      <c r="C5" s="3918" t="s">
        <v>1673</v>
      </c>
      <c r="D5" s="3919"/>
      <c r="E5" s="3925" t="s">
        <v>1674</v>
      </c>
      <c r="F5" s="3926"/>
      <c r="G5" s="3918" t="s">
        <v>1675</v>
      </c>
      <c r="H5" s="3919"/>
      <c r="I5" s="3918" t="s">
        <v>1676</v>
      </c>
      <c r="J5" s="3919"/>
      <c r="K5" s="537"/>
      <c r="L5" s="2487"/>
      <c r="M5" s="2488"/>
      <c r="N5" s="2488"/>
      <c r="O5" s="2488"/>
      <c r="P5" s="3935"/>
      <c r="Q5" s="3907"/>
      <c r="R5" s="3912"/>
      <c r="S5" s="3913"/>
      <c r="T5" s="3912"/>
      <c r="U5" s="3913"/>
      <c r="V5" s="3886"/>
      <c r="W5" s="3886"/>
      <c r="X5" s="1265"/>
      <c r="Y5" s="3912"/>
      <c r="Z5" s="3913"/>
      <c r="AA5" s="3898"/>
      <c r="AB5" s="3898"/>
      <c r="AC5" s="3931"/>
    </row>
    <row r="6" spans="1:29" ht="15.75" thickBot="1">
      <c r="A6" s="350"/>
      <c r="B6" s="351"/>
      <c r="C6" s="3916" t="s">
        <v>1677</v>
      </c>
      <c r="D6" s="3917"/>
      <c r="E6" s="3923" t="s">
        <v>1677</v>
      </c>
      <c r="F6" s="3924"/>
      <c r="G6" s="3916" t="s">
        <v>1677</v>
      </c>
      <c r="H6" s="3917"/>
      <c r="I6" s="3916" t="s">
        <v>1677</v>
      </c>
      <c r="J6" s="3917"/>
      <c r="K6" s="537" t="s">
        <v>1678</v>
      </c>
      <c r="L6" s="2487"/>
      <c r="M6" s="2488"/>
      <c r="N6" s="2488"/>
      <c r="O6" s="2488"/>
      <c r="P6" s="3936"/>
      <c r="Q6" s="3909"/>
      <c r="R6" s="3912"/>
      <c r="S6" s="3913"/>
      <c r="T6" s="3914"/>
      <c r="U6" s="3915"/>
      <c r="V6" s="3886"/>
      <c r="W6" s="3886"/>
      <c r="X6" s="1265"/>
      <c r="Y6" s="3914"/>
      <c r="Z6" s="3915"/>
      <c r="AA6" s="3899"/>
      <c r="AB6" s="3899"/>
      <c r="AC6" s="3932"/>
    </row>
    <row r="7" spans="1:29" s="102" customFormat="1" ht="15.75" thickBot="1">
      <c r="A7" s="352" t="s">
        <v>1679</v>
      </c>
      <c r="B7" s="353"/>
      <c r="C7" s="354">
        <f>'数据-取费表'!B2</f>
        <v>45995</v>
      </c>
      <c r="D7" s="355">
        <v>100</v>
      </c>
      <c r="E7" s="356"/>
      <c r="F7" s="357">
        <f>SUMIF(59:59,YEAR(E7)&amp;"-"&amp;MONTH(E7),60:60)</f>
        <v>0</v>
      </c>
      <c r="G7" s="356"/>
      <c r="H7" s="355">
        <f>SUMIF(59:59,YEAR(G7)&amp;"-"&amp;MONTH(G7),60:60)</f>
        <v>0</v>
      </c>
      <c r="I7" s="356"/>
      <c r="J7" s="355">
        <f>SUMIF(59:59,YEAR(I7)&amp;"-"&amp;MONTH(I7),60:60)</f>
        <v>0</v>
      </c>
      <c r="K7" s="38"/>
      <c r="L7" s="2489"/>
      <c r="M7" s="2440"/>
      <c r="N7" s="2440"/>
      <c r="O7" s="2440"/>
      <c r="P7" s="3940" t="s">
        <v>1680</v>
      </c>
      <c r="Q7" s="3922"/>
      <c r="R7" s="664" t="s">
        <v>14</v>
      </c>
      <c r="S7" s="665">
        <f t="shared" ref="S7:S15" si="0">F7</f>
        <v>0</v>
      </c>
      <c r="T7" s="664" t="s">
        <v>14</v>
      </c>
      <c r="U7" s="665">
        <f t="shared" ref="U7:U15" si="1">H7</f>
        <v>0</v>
      </c>
      <c r="V7" s="664" t="s">
        <v>14</v>
      </c>
      <c r="W7" s="665">
        <f t="shared" ref="W7:W15" si="2">J7</f>
        <v>0</v>
      </c>
      <c r="X7" s="666"/>
      <c r="Y7" s="3920" t="s">
        <v>1680</v>
      </c>
      <c r="Z7" s="392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940" t="s">
        <v>1683</v>
      </c>
      <c r="Q8" s="3921"/>
      <c r="R8" s="664" t="s">
        <v>14</v>
      </c>
      <c r="S8" s="665">
        <f t="shared" si="0"/>
        <v>100</v>
      </c>
      <c r="T8" s="664" t="s">
        <v>14</v>
      </c>
      <c r="U8" s="665">
        <f t="shared" si="1"/>
        <v>100</v>
      </c>
      <c r="V8" s="664" t="s">
        <v>14</v>
      </c>
      <c r="W8" s="665">
        <f t="shared" si="2"/>
        <v>100</v>
      </c>
      <c r="X8" s="666"/>
      <c r="Y8" s="3920" t="s">
        <v>1683</v>
      </c>
      <c r="Z8" s="392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896" t="s">
        <v>1686</v>
      </c>
      <c r="Q9" s="530" t="str">
        <f t="shared" ref="Q9:Q15" si="6">B9</f>
        <v>用途</v>
      </c>
      <c r="R9" s="664" t="s">
        <v>14</v>
      </c>
      <c r="S9" s="665">
        <f t="shared" si="0"/>
        <v>100</v>
      </c>
      <c r="T9" s="664" t="s">
        <v>14</v>
      </c>
      <c r="U9" s="665">
        <f t="shared" si="1"/>
        <v>100</v>
      </c>
      <c r="V9" s="664" t="s">
        <v>14</v>
      </c>
      <c r="W9" s="665">
        <f t="shared" si="2"/>
        <v>100</v>
      </c>
      <c r="X9" s="666"/>
      <c r="Y9" s="371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896"/>
      <c r="Q10" s="530" t="str">
        <f t="shared" si="6"/>
        <v>土地使用年限（年）</v>
      </c>
      <c r="R10" s="664" t="s">
        <v>14</v>
      </c>
      <c r="S10" s="665">
        <f t="shared" si="0"/>
        <v>100</v>
      </c>
      <c r="T10" s="664" t="s">
        <v>14</v>
      </c>
      <c r="U10" s="665">
        <f t="shared" si="1"/>
        <v>100</v>
      </c>
      <c r="V10" s="664" t="s">
        <v>14</v>
      </c>
      <c r="W10" s="665">
        <f t="shared" si="2"/>
        <v>100</v>
      </c>
      <c r="X10" s="666"/>
      <c r="Y10" s="371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896"/>
      <c r="Q11" s="530" t="str">
        <f t="shared" si="6"/>
        <v>容积率</v>
      </c>
      <c r="R11" s="664" t="s">
        <v>14</v>
      </c>
      <c r="S11" s="665">
        <f t="shared" si="0"/>
        <v>100</v>
      </c>
      <c r="T11" s="664" t="s">
        <v>14</v>
      </c>
      <c r="U11" s="665">
        <f t="shared" si="1"/>
        <v>100</v>
      </c>
      <c r="V11" s="664" t="s">
        <v>14</v>
      </c>
      <c r="W11" s="665">
        <f t="shared" si="2"/>
        <v>100</v>
      </c>
      <c r="X11" s="666"/>
      <c r="Y11" s="371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896"/>
      <c r="Q12" s="530">
        <f t="shared" si="6"/>
        <v>111</v>
      </c>
      <c r="R12" s="664" t="s">
        <v>14</v>
      </c>
      <c r="S12" s="665">
        <f t="shared" si="0"/>
        <v>100</v>
      </c>
      <c r="T12" s="664" t="s">
        <v>14</v>
      </c>
      <c r="U12" s="665">
        <f t="shared" si="1"/>
        <v>100</v>
      </c>
      <c r="V12" s="664" t="s">
        <v>14</v>
      </c>
      <c r="W12" s="665">
        <f t="shared" si="2"/>
        <v>100</v>
      </c>
      <c r="X12" s="666"/>
      <c r="Y12" s="371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896"/>
      <c r="Q13" s="530">
        <f t="shared" si="6"/>
        <v>111</v>
      </c>
      <c r="R13" s="664" t="s">
        <v>14</v>
      </c>
      <c r="S13" s="665">
        <f t="shared" si="0"/>
        <v>100</v>
      </c>
      <c r="T13" s="664" t="s">
        <v>14</v>
      </c>
      <c r="U13" s="665">
        <f t="shared" si="1"/>
        <v>100</v>
      </c>
      <c r="V13" s="664" t="s">
        <v>14</v>
      </c>
      <c r="W13" s="665">
        <f t="shared" si="2"/>
        <v>100</v>
      </c>
      <c r="X13" s="666"/>
      <c r="Y13" s="371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896"/>
      <c r="Q14" s="530">
        <f t="shared" si="6"/>
        <v>111</v>
      </c>
      <c r="R14" s="664" t="s">
        <v>14</v>
      </c>
      <c r="S14" s="665">
        <f t="shared" si="0"/>
        <v>100</v>
      </c>
      <c r="T14" s="664" t="s">
        <v>14</v>
      </c>
      <c r="U14" s="665">
        <f t="shared" si="1"/>
        <v>100</v>
      </c>
      <c r="V14" s="664" t="s">
        <v>14</v>
      </c>
      <c r="W14" s="665">
        <f t="shared" si="2"/>
        <v>100</v>
      </c>
      <c r="X14" s="666"/>
      <c r="Y14" s="371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894" t="s">
        <v>1691</v>
      </c>
      <c r="Q15" s="1263" t="str">
        <f t="shared" si="6"/>
        <v>办公集聚程度</v>
      </c>
      <c r="R15" s="667" t="s">
        <v>14</v>
      </c>
      <c r="S15" s="668">
        <f t="shared" si="0"/>
        <v>100</v>
      </c>
      <c r="T15" s="667" t="s">
        <v>14</v>
      </c>
      <c r="U15" s="668">
        <f t="shared" si="1"/>
        <v>100</v>
      </c>
      <c r="V15" s="667" t="s">
        <v>14</v>
      </c>
      <c r="W15" s="668">
        <f t="shared" si="2"/>
        <v>100</v>
      </c>
      <c r="X15" s="1265"/>
      <c r="Y15" s="388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895"/>
      <c r="Q16" s="1263"/>
      <c r="R16" s="667"/>
      <c r="S16" s="668"/>
      <c r="T16" s="667"/>
      <c r="U16" s="668"/>
      <c r="V16" s="667"/>
      <c r="W16" s="668"/>
      <c r="X16" s="1265"/>
      <c r="Y16" s="3888"/>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895"/>
      <c r="Q17" s="1263" t="str">
        <f>B17</f>
        <v>交通便捷度</v>
      </c>
      <c r="R17" s="667" t="s">
        <v>14</v>
      </c>
      <c r="S17" s="668">
        <f>F17</f>
        <v>100</v>
      </c>
      <c r="T17" s="667" t="s">
        <v>14</v>
      </c>
      <c r="U17" s="668">
        <f>H17</f>
        <v>100</v>
      </c>
      <c r="V17" s="667" t="s">
        <v>14</v>
      </c>
      <c r="W17" s="668">
        <f>J17</f>
        <v>100</v>
      </c>
      <c r="X17" s="1265"/>
      <c r="Y17" s="388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895"/>
      <c r="Q18" s="1263"/>
      <c r="R18" s="667"/>
      <c r="S18" s="668"/>
      <c r="T18" s="667"/>
      <c r="U18" s="668"/>
      <c r="V18" s="667"/>
      <c r="W18" s="668"/>
      <c r="X18" s="1265"/>
      <c r="Y18" s="3888"/>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895"/>
      <c r="Q19" s="1263" t="str">
        <f>B19</f>
        <v>公共配套设施</v>
      </c>
      <c r="R19" s="667" t="s">
        <v>14</v>
      </c>
      <c r="S19" s="668">
        <f>F19</f>
        <v>100</v>
      </c>
      <c r="T19" s="667" t="s">
        <v>14</v>
      </c>
      <c r="U19" s="668">
        <f>H19</f>
        <v>100</v>
      </c>
      <c r="V19" s="667" t="s">
        <v>14</v>
      </c>
      <c r="W19" s="668">
        <f>J19</f>
        <v>100</v>
      </c>
      <c r="X19" s="1265"/>
      <c r="Y19" s="388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895"/>
      <c r="Q20" s="1263"/>
      <c r="R20" s="667"/>
      <c r="S20" s="668"/>
      <c r="T20" s="667"/>
      <c r="U20" s="668"/>
      <c r="V20" s="667"/>
      <c r="W20" s="668"/>
      <c r="X20" s="1265"/>
      <c r="Y20" s="3888"/>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895"/>
      <c r="Q21" s="1263" t="str">
        <f>B21</f>
        <v>基础设施水平</v>
      </c>
      <c r="R21" s="667" t="s">
        <v>14</v>
      </c>
      <c r="S21" s="668">
        <f>F21</f>
        <v>100</v>
      </c>
      <c r="T21" s="667" t="s">
        <v>14</v>
      </c>
      <c r="U21" s="668">
        <f>H21</f>
        <v>100</v>
      </c>
      <c r="V21" s="667" t="s">
        <v>14</v>
      </c>
      <c r="W21" s="668">
        <f>J21</f>
        <v>100</v>
      </c>
      <c r="X21" s="1265"/>
      <c r="Y21" s="388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895"/>
      <c r="Q22" s="1263"/>
      <c r="R22" s="667"/>
      <c r="S22" s="668"/>
      <c r="T22" s="667"/>
      <c r="U22" s="668"/>
      <c r="V22" s="667"/>
      <c r="W22" s="668"/>
      <c r="X22" s="1265"/>
      <c r="Y22" s="3888"/>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895"/>
      <c r="Q23" s="1263" t="str">
        <f>B23</f>
        <v>环境质量</v>
      </c>
      <c r="R23" s="667" t="s">
        <v>14</v>
      </c>
      <c r="S23" s="668">
        <f>F23</f>
        <v>100</v>
      </c>
      <c r="T23" s="667" t="s">
        <v>14</v>
      </c>
      <c r="U23" s="668">
        <f>H23</f>
        <v>100</v>
      </c>
      <c r="V23" s="667" t="s">
        <v>14</v>
      </c>
      <c r="W23" s="668">
        <f>J23</f>
        <v>100</v>
      </c>
      <c r="X23" s="1265"/>
      <c r="Y23" s="388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895"/>
      <c r="Q24" s="1263"/>
      <c r="R24" s="667"/>
      <c r="S24" s="668"/>
      <c r="T24" s="667"/>
      <c r="U24" s="668"/>
      <c r="V24" s="667"/>
      <c r="W24" s="668"/>
      <c r="X24" s="1265"/>
      <c r="Y24" s="388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895"/>
      <c r="Q25" s="1263" t="str">
        <f>B25</f>
        <v>毗邻道路的类型与等级</v>
      </c>
      <c r="R25" s="667" t="s">
        <v>14</v>
      </c>
      <c r="S25" s="668">
        <f>F25</f>
        <v>100</v>
      </c>
      <c r="T25" s="667" t="s">
        <v>14</v>
      </c>
      <c r="U25" s="668">
        <f>H25</f>
        <v>100</v>
      </c>
      <c r="V25" s="667" t="s">
        <v>14</v>
      </c>
      <c r="W25" s="668">
        <f>J25</f>
        <v>100</v>
      </c>
      <c r="X25" s="1265"/>
      <c r="Y25" s="388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895"/>
      <c r="Q26" s="1263"/>
      <c r="R26" s="667"/>
      <c r="S26" s="668"/>
      <c r="T26" s="667"/>
      <c r="U26" s="668"/>
      <c r="V26" s="667"/>
      <c r="W26" s="668"/>
      <c r="X26" s="1265"/>
      <c r="Y26" s="388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895"/>
      <c r="Q27" s="1263" t="str">
        <f t="shared" ref="Q27:Q47" si="11">B27</f>
        <v>楼层</v>
      </c>
      <c r="R27" s="667" t="s">
        <v>14</v>
      </c>
      <c r="S27" s="668">
        <f>F27</f>
        <v>100</v>
      </c>
      <c r="T27" s="667" t="s">
        <v>14</v>
      </c>
      <c r="U27" s="668">
        <f>H27</f>
        <v>100</v>
      </c>
      <c r="V27" s="667" t="s">
        <v>14</v>
      </c>
      <c r="W27" s="668">
        <f>J27</f>
        <v>100</v>
      </c>
      <c r="X27" s="1265"/>
      <c r="Y27" s="388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895"/>
      <c r="Q28" s="530" t="str">
        <f t="shared" si="11"/>
        <v>朝向</v>
      </c>
      <c r="R28" s="664" t="s">
        <v>14</v>
      </c>
      <c r="S28" s="665">
        <f>F28</f>
        <v>100</v>
      </c>
      <c r="T28" s="664" t="s">
        <v>14</v>
      </c>
      <c r="U28" s="665">
        <f>H28</f>
        <v>100</v>
      </c>
      <c r="V28" s="664" t="s">
        <v>14</v>
      </c>
      <c r="W28" s="665">
        <f>J28</f>
        <v>100</v>
      </c>
      <c r="X28" s="666"/>
      <c r="Y28" s="388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895"/>
      <c r="Q29" s="1263">
        <f t="shared" si="11"/>
        <v>111</v>
      </c>
      <c r="R29" s="667" t="s">
        <v>14</v>
      </c>
      <c r="S29" s="668">
        <f t="shared" ref="S29:S47" si="12">F29</f>
        <v>100</v>
      </c>
      <c r="T29" s="667" t="s">
        <v>14</v>
      </c>
      <c r="U29" s="668">
        <f t="shared" ref="U29:U47" si="13">H29</f>
        <v>100</v>
      </c>
      <c r="V29" s="667" t="s">
        <v>14</v>
      </c>
      <c r="W29" s="668">
        <f t="shared" ref="W29:W47" si="14">J29</f>
        <v>100</v>
      </c>
      <c r="X29" s="1265"/>
      <c r="Y29" s="388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895"/>
      <c r="Q30" s="1263">
        <f t="shared" si="11"/>
        <v>111</v>
      </c>
      <c r="R30" s="667" t="s">
        <v>14</v>
      </c>
      <c r="S30" s="668">
        <f t="shared" si="12"/>
        <v>100</v>
      </c>
      <c r="T30" s="667" t="s">
        <v>14</v>
      </c>
      <c r="U30" s="668">
        <f t="shared" si="13"/>
        <v>100</v>
      </c>
      <c r="V30" s="667" t="s">
        <v>14</v>
      </c>
      <c r="W30" s="668">
        <f t="shared" si="14"/>
        <v>100</v>
      </c>
      <c r="X30" s="1265"/>
      <c r="Y30" s="388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895"/>
      <c r="Q31" s="1263">
        <f t="shared" si="11"/>
        <v>111</v>
      </c>
      <c r="R31" s="667" t="s">
        <v>14</v>
      </c>
      <c r="S31" s="668">
        <f t="shared" si="12"/>
        <v>100</v>
      </c>
      <c r="T31" s="667" t="s">
        <v>14</v>
      </c>
      <c r="U31" s="668">
        <f t="shared" si="13"/>
        <v>100</v>
      </c>
      <c r="V31" s="667" t="s">
        <v>14</v>
      </c>
      <c r="W31" s="668">
        <f t="shared" si="14"/>
        <v>100</v>
      </c>
      <c r="X31" s="1265"/>
      <c r="Y31" s="388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895"/>
      <c r="Q32" s="1263">
        <f t="shared" si="11"/>
        <v>111</v>
      </c>
      <c r="R32" s="667" t="s">
        <v>14</v>
      </c>
      <c r="S32" s="668">
        <f t="shared" si="12"/>
        <v>100</v>
      </c>
      <c r="T32" s="667" t="s">
        <v>14</v>
      </c>
      <c r="U32" s="668">
        <f t="shared" si="13"/>
        <v>100</v>
      </c>
      <c r="V32" s="667" t="s">
        <v>14</v>
      </c>
      <c r="W32" s="668">
        <f t="shared" si="14"/>
        <v>100</v>
      </c>
      <c r="X32" s="1265"/>
      <c r="Y32" s="388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889" t="s">
        <v>1696</v>
      </c>
      <c r="Q33" s="1263" t="str">
        <f t="shared" si="11"/>
        <v>建筑类型</v>
      </c>
      <c r="R33" s="667" t="s">
        <v>14</v>
      </c>
      <c r="S33" s="668">
        <f t="shared" si="12"/>
        <v>100</v>
      </c>
      <c r="T33" s="667" t="s">
        <v>14</v>
      </c>
      <c r="U33" s="668">
        <f t="shared" si="13"/>
        <v>100</v>
      </c>
      <c r="V33" s="667" t="s">
        <v>14</v>
      </c>
      <c r="W33" s="668">
        <f t="shared" si="14"/>
        <v>100</v>
      </c>
      <c r="X33" s="1265"/>
      <c r="Y33" s="389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890"/>
      <c r="Q34" s="531" t="str">
        <f t="shared" si="11"/>
        <v>项目建筑规模</v>
      </c>
      <c r="R34" s="669" t="s">
        <v>14</v>
      </c>
      <c r="S34" s="670" t="e">
        <f t="shared" si="12"/>
        <v>#N/A</v>
      </c>
      <c r="T34" s="669" t="s">
        <v>14</v>
      </c>
      <c r="U34" s="670" t="e">
        <f t="shared" si="13"/>
        <v>#N/A</v>
      </c>
      <c r="V34" s="669" t="s">
        <v>14</v>
      </c>
      <c r="W34" s="670" t="e">
        <f t="shared" si="14"/>
        <v>#N/A</v>
      </c>
      <c r="X34" s="671"/>
      <c r="Y34" s="389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890"/>
      <c r="Q35" s="1263" t="str">
        <f t="shared" si="11"/>
        <v>建筑结构</v>
      </c>
      <c r="R35" s="667" t="s">
        <v>14</v>
      </c>
      <c r="S35" s="668">
        <f t="shared" si="12"/>
        <v>100</v>
      </c>
      <c r="T35" s="667" t="s">
        <v>14</v>
      </c>
      <c r="U35" s="668">
        <f t="shared" si="13"/>
        <v>100</v>
      </c>
      <c r="V35" s="667" t="s">
        <v>14</v>
      </c>
      <c r="W35" s="668">
        <f t="shared" si="14"/>
        <v>100</v>
      </c>
      <c r="X35" s="1265"/>
      <c r="Y35" s="389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890"/>
      <c r="Q36" s="1263" t="str">
        <f t="shared" si="11"/>
        <v>公共部分装修</v>
      </c>
      <c r="R36" s="667" t="s">
        <v>14</v>
      </c>
      <c r="S36" s="668">
        <f t="shared" si="12"/>
        <v>100</v>
      </c>
      <c r="T36" s="667" t="s">
        <v>14</v>
      </c>
      <c r="U36" s="668">
        <f t="shared" si="13"/>
        <v>100</v>
      </c>
      <c r="V36" s="667" t="s">
        <v>14</v>
      </c>
      <c r="W36" s="668">
        <f t="shared" si="14"/>
        <v>100</v>
      </c>
      <c r="X36" s="1265"/>
      <c r="Y36" s="389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890"/>
      <c r="Q37" s="1263" t="str">
        <f t="shared" si="11"/>
        <v>成新度</v>
      </c>
      <c r="R37" s="667" t="s">
        <v>14</v>
      </c>
      <c r="S37" s="668" t="e">
        <f t="shared" si="12"/>
        <v>#N/A</v>
      </c>
      <c r="T37" s="667" t="s">
        <v>14</v>
      </c>
      <c r="U37" s="668" t="e">
        <f t="shared" si="13"/>
        <v>#N/A</v>
      </c>
      <c r="V37" s="667" t="s">
        <v>14</v>
      </c>
      <c r="W37" s="668" t="e">
        <f t="shared" si="14"/>
        <v>#N/A</v>
      </c>
      <c r="X37" s="1265"/>
      <c r="Y37" s="389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890"/>
      <c r="Q38" s="530" t="str">
        <f t="shared" si="11"/>
        <v>写字楼等级</v>
      </c>
      <c r="R38" s="664" t="s">
        <v>14</v>
      </c>
      <c r="S38" s="665">
        <f t="shared" si="12"/>
        <v>100</v>
      </c>
      <c r="T38" s="664" t="s">
        <v>14</v>
      </c>
      <c r="U38" s="665">
        <f t="shared" si="13"/>
        <v>100</v>
      </c>
      <c r="V38" s="664" t="s">
        <v>14</v>
      </c>
      <c r="W38" s="665">
        <f t="shared" si="14"/>
        <v>100</v>
      </c>
      <c r="X38" s="666"/>
      <c r="Y38" s="389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890" t="s">
        <v>1696</v>
      </c>
      <c r="Q39" s="1263" t="str">
        <f t="shared" si="11"/>
        <v>物业管理</v>
      </c>
      <c r="R39" s="667" t="s">
        <v>14</v>
      </c>
      <c r="S39" s="668">
        <f t="shared" si="12"/>
        <v>100</v>
      </c>
      <c r="T39" s="667" t="s">
        <v>14</v>
      </c>
      <c r="U39" s="668">
        <f t="shared" si="13"/>
        <v>100</v>
      </c>
      <c r="V39" s="667" t="s">
        <v>14</v>
      </c>
      <c r="W39" s="668">
        <f t="shared" si="14"/>
        <v>100</v>
      </c>
      <c r="X39" s="1265"/>
      <c r="Y39" s="389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890"/>
      <c r="Q40" s="1263" t="str">
        <f t="shared" si="11"/>
        <v>市政基础设施</v>
      </c>
      <c r="R40" s="667" t="s">
        <v>14</v>
      </c>
      <c r="S40" s="668">
        <f t="shared" si="12"/>
        <v>100</v>
      </c>
      <c r="T40" s="667" t="s">
        <v>14</v>
      </c>
      <c r="U40" s="668">
        <f t="shared" si="13"/>
        <v>100</v>
      </c>
      <c r="V40" s="667" t="s">
        <v>14</v>
      </c>
      <c r="W40" s="668">
        <f t="shared" si="14"/>
        <v>100</v>
      </c>
      <c r="X40" s="1265"/>
      <c r="Y40" s="389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890"/>
      <c r="Q41" s="1263" t="str">
        <f t="shared" si="11"/>
        <v>层高</v>
      </c>
      <c r="R41" s="667" t="s">
        <v>14</v>
      </c>
      <c r="S41" s="668">
        <f t="shared" si="12"/>
        <v>100</v>
      </c>
      <c r="T41" s="667" t="s">
        <v>14</v>
      </c>
      <c r="U41" s="668">
        <f t="shared" si="13"/>
        <v>100</v>
      </c>
      <c r="V41" s="667" t="s">
        <v>14</v>
      </c>
      <c r="W41" s="668">
        <f t="shared" si="14"/>
        <v>100</v>
      </c>
      <c r="X41" s="1265"/>
      <c r="Y41" s="389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890"/>
      <c r="Q42" s="531" t="str">
        <f t="shared" si="11"/>
        <v>单套建筑面积</v>
      </c>
      <c r="R42" s="669" t="s">
        <v>14</v>
      </c>
      <c r="S42" s="670">
        <f t="shared" si="12"/>
        <v>100</v>
      </c>
      <c r="T42" s="669" t="s">
        <v>14</v>
      </c>
      <c r="U42" s="670">
        <f t="shared" si="13"/>
        <v>100</v>
      </c>
      <c r="V42" s="669" t="s">
        <v>14</v>
      </c>
      <c r="W42" s="670">
        <f t="shared" si="14"/>
        <v>100</v>
      </c>
      <c r="X42" s="671"/>
      <c r="Y42" s="389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890"/>
      <c r="Q43" s="1263" t="str">
        <f t="shared" si="11"/>
        <v>内部装修</v>
      </c>
      <c r="R43" s="667" t="s">
        <v>14</v>
      </c>
      <c r="S43" s="668">
        <f t="shared" si="12"/>
        <v>100</v>
      </c>
      <c r="T43" s="667" t="s">
        <v>14</v>
      </c>
      <c r="U43" s="668">
        <f t="shared" si="13"/>
        <v>100</v>
      </c>
      <c r="V43" s="667" t="s">
        <v>14</v>
      </c>
      <c r="W43" s="668">
        <f t="shared" si="14"/>
        <v>100</v>
      </c>
      <c r="X43" s="1265"/>
      <c r="Y43" s="389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890"/>
      <c r="Q44" s="1263" t="str">
        <f t="shared" si="11"/>
        <v>内部装修维护情况</v>
      </c>
      <c r="R44" s="667" t="s">
        <v>14</v>
      </c>
      <c r="S44" s="668">
        <f t="shared" si="12"/>
        <v>100</v>
      </c>
      <c r="T44" s="667" t="s">
        <v>14</v>
      </c>
      <c r="U44" s="668">
        <f t="shared" si="13"/>
        <v>100</v>
      </c>
      <c r="V44" s="667" t="s">
        <v>14</v>
      </c>
      <c r="W44" s="668">
        <f t="shared" si="14"/>
        <v>100</v>
      </c>
      <c r="X44" s="1265"/>
      <c r="Y44" s="389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890"/>
      <c r="Q45" s="530">
        <f t="shared" si="11"/>
        <v>111</v>
      </c>
      <c r="R45" s="664" t="s">
        <v>14</v>
      </c>
      <c r="S45" s="665">
        <f t="shared" si="12"/>
        <v>100</v>
      </c>
      <c r="T45" s="664" t="s">
        <v>14</v>
      </c>
      <c r="U45" s="665">
        <f t="shared" si="13"/>
        <v>100</v>
      </c>
      <c r="V45" s="664" t="s">
        <v>14</v>
      </c>
      <c r="W45" s="665">
        <f t="shared" si="14"/>
        <v>100</v>
      </c>
      <c r="X45" s="666"/>
      <c r="Y45" s="389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890"/>
      <c r="Q46" s="1263">
        <f t="shared" si="11"/>
        <v>111</v>
      </c>
      <c r="R46" s="667" t="s">
        <v>14</v>
      </c>
      <c r="S46" s="668">
        <f t="shared" si="12"/>
        <v>100</v>
      </c>
      <c r="T46" s="667" t="s">
        <v>14</v>
      </c>
      <c r="U46" s="668">
        <f t="shared" si="13"/>
        <v>100</v>
      </c>
      <c r="V46" s="667" t="s">
        <v>14</v>
      </c>
      <c r="W46" s="668">
        <f t="shared" si="14"/>
        <v>100</v>
      </c>
      <c r="X46" s="1265"/>
      <c r="Y46" s="389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891"/>
      <c r="Q47" s="1263">
        <f t="shared" si="11"/>
        <v>111</v>
      </c>
      <c r="R47" s="667" t="s">
        <v>14</v>
      </c>
      <c r="S47" s="668">
        <f t="shared" si="12"/>
        <v>100</v>
      </c>
      <c r="T47" s="667" t="s">
        <v>14</v>
      </c>
      <c r="U47" s="668">
        <f t="shared" si="13"/>
        <v>100</v>
      </c>
      <c r="V47" s="667" t="s">
        <v>14</v>
      </c>
      <c r="W47" s="668">
        <f t="shared" si="14"/>
        <v>100</v>
      </c>
      <c r="X47" s="1265"/>
      <c r="Y47" s="389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896" t="str">
        <f>A48</f>
        <v>成交单价（元/平方米）</v>
      </c>
      <c r="Q48" s="3885"/>
      <c r="R48" s="3886">
        <f>E48</f>
        <v>0</v>
      </c>
      <c r="S48" s="3886"/>
      <c r="T48" s="3886">
        <f>G48</f>
        <v>0</v>
      </c>
      <c r="U48" s="3886"/>
      <c r="V48" s="3886">
        <f>I48</f>
        <v>0</v>
      </c>
      <c r="W48" s="388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896" t="str">
        <f>A49</f>
        <v>比较价值（元/平方米）</v>
      </c>
      <c r="Q49" s="3885"/>
      <c r="R49" s="3886" t="e">
        <f>IF(F1="售价",ROUND(PRODUCT(R48,AA7:AA47),0),ROUND(PRODUCT(R48,AA7:AA47),1))</f>
        <v>#DIV/0!</v>
      </c>
      <c r="S49" s="3886"/>
      <c r="T49" s="3886" t="e">
        <f>IF(F1="售价",ROUND(PRODUCT(T48,AB7:AB47),0),ROUND(PRODUCT(T48,AB7:AB47),1))</f>
        <v>#DIV/0!</v>
      </c>
      <c r="U49" s="3886"/>
      <c r="V49" s="3886" t="e">
        <f>IF(F1="售价",ROUND(PRODUCT(V48,AC7:AC47),0),ROUND(PRODUCT(V48,AC7:AC47),1))</f>
        <v>#DIV/0!</v>
      </c>
      <c r="W49" s="388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927" t="str">
        <f>A50</f>
        <v>估价对象XX用房的比较价值（楼面单价，元/平方米）</v>
      </c>
      <c r="Q50" s="3928"/>
      <c r="R50" s="3929" t="e">
        <f>IF(F1="售价",ROUND(IF(D49="简单平均",AVERAGE(R49:V49),R49*F49+T49*H49+V49*J49),0),ROUND(IF(D49="简单平均",AVERAGE(R49:V49),R49*F49+T49*H49+V49*J49),1))</f>
        <v>#DIV/0!</v>
      </c>
      <c r="S50" s="3929"/>
      <c r="T50" s="3929"/>
      <c r="U50" s="3929"/>
      <c r="V50" s="3929"/>
      <c r="W50" s="392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估价对象为北京市房地产，为所有。根据《国有土地使用证》[]，估价对象（分摊）出让国有建设用地使用权面积为0平方米，建筑面积为48097.7平方米。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估价对象为北京市房地产,属开发建设的，该项目尚在开发建设中。根据《国有土地使用证》[]，估价对象（分摊）出让国有建设用地使用权面积为0平方米，规划建筑面积为48097.7平方米。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2025年12月4日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本次估价的“房地产价值”是指在正常市场情况下，在价值时点2025年12月4日，估价对象规划用途为，土地取得方式为划拨，假定未设立法定优先受偿款下的房地产市场价值。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48097.7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900" t="s">
        <v>1770</v>
      </c>
      <c r="D4" s="3901"/>
      <c r="E4" s="3902" t="s">
        <v>1771</v>
      </c>
      <c r="F4" s="3903"/>
      <c r="G4" s="3900" t="s">
        <v>1772</v>
      </c>
      <c r="H4" s="3901"/>
      <c r="I4" s="3900" t="s">
        <v>1773</v>
      </c>
      <c r="J4" s="3901"/>
      <c r="K4" s="537" t="s">
        <v>1774</v>
      </c>
      <c r="L4" s="860"/>
      <c r="M4" s="861"/>
      <c r="N4" s="861"/>
      <c r="O4" s="861"/>
      <c r="P4" s="3904" t="s">
        <v>1775</v>
      </c>
      <c r="Q4" s="3905"/>
      <c r="R4" s="3910" t="s">
        <v>1771</v>
      </c>
      <c r="S4" s="3911"/>
      <c r="T4" s="3910" t="s">
        <v>1772</v>
      </c>
      <c r="U4" s="3911"/>
      <c r="V4" s="3886" t="s">
        <v>1773</v>
      </c>
      <c r="W4" s="3886"/>
      <c r="X4" s="1265"/>
      <c r="Y4" s="3910" t="s">
        <v>1775</v>
      </c>
      <c r="Z4" s="3911"/>
      <c r="AA4" s="3897" t="s">
        <v>1771</v>
      </c>
      <c r="AB4" s="3898" t="s">
        <v>1772</v>
      </c>
      <c r="AC4" s="3897" t="s">
        <v>1773</v>
      </c>
    </row>
    <row r="5" spans="1:29" ht="15">
      <c r="A5" s="348"/>
      <c r="B5" s="349"/>
      <c r="C5" s="3918" t="s">
        <v>1673</v>
      </c>
      <c r="D5" s="3919"/>
      <c r="E5" s="3925" t="s">
        <v>1674</v>
      </c>
      <c r="F5" s="3926"/>
      <c r="G5" s="3918" t="s">
        <v>1675</v>
      </c>
      <c r="H5" s="3919"/>
      <c r="I5" s="3918" t="s">
        <v>1676</v>
      </c>
      <c r="J5" s="3919"/>
      <c r="K5" s="537"/>
      <c r="L5" s="860"/>
      <c r="M5" s="861"/>
      <c r="N5" s="861"/>
      <c r="O5" s="861"/>
      <c r="P5" s="3906"/>
      <c r="Q5" s="3907"/>
      <c r="R5" s="3912"/>
      <c r="S5" s="3913"/>
      <c r="T5" s="3912"/>
      <c r="U5" s="3913"/>
      <c r="V5" s="3886"/>
      <c r="W5" s="3886"/>
      <c r="X5" s="1265"/>
      <c r="Y5" s="3912"/>
      <c r="Z5" s="3913"/>
      <c r="AA5" s="3898"/>
      <c r="AB5" s="3898"/>
      <c r="AC5" s="3898"/>
    </row>
    <row r="6" spans="1:29" ht="15.75" thickBot="1">
      <c r="A6" s="350"/>
      <c r="B6" s="351"/>
      <c r="C6" s="3916" t="s">
        <v>1677</v>
      </c>
      <c r="D6" s="3917"/>
      <c r="E6" s="3923" t="s">
        <v>1677</v>
      </c>
      <c r="F6" s="3924"/>
      <c r="G6" s="3916" t="s">
        <v>1677</v>
      </c>
      <c r="H6" s="3917"/>
      <c r="I6" s="3916" t="s">
        <v>1677</v>
      </c>
      <c r="J6" s="3917"/>
      <c r="K6" s="537" t="s">
        <v>1678</v>
      </c>
      <c r="L6" s="860"/>
      <c r="M6" s="861"/>
      <c r="N6" s="861"/>
      <c r="O6" s="861"/>
      <c r="P6" s="3908"/>
      <c r="Q6" s="3909"/>
      <c r="R6" s="3912"/>
      <c r="S6" s="3913"/>
      <c r="T6" s="3914"/>
      <c r="U6" s="3915"/>
      <c r="V6" s="3886"/>
      <c r="W6" s="3886"/>
      <c r="X6" s="1265"/>
      <c r="Y6" s="3914"/>
      <c r="Z6" s="3915"/>
      <c r="AA6" s="3899"/>
      <c r="AB6" s="3899"/>
      <c r="AC6" s="3899"/>
    </row>
    <row r="7" spans="1:29" s="102" customFormat="1" ht="15.75" thickBot="1">
      <c r="A7" s="352" t="s">
        <v>1679</v>
      </c>
      <c r="B7" s="353"/>
      <c r="C7" s="354">
        <f>'数据-取费表'!B2</f>
        <v>45995</v>
      </c>
      <c r="D7" s="355">
        <v>100</v>
      </c>
      <c r="E7" s="356"/>
      <c r="F7" s="357">
        <f>SUMIF(52:52,YEAR(E7)&amp;"-"&amp;MONTH(E7),53:53)</f>
        <v>0</v>
      </c>
      <c r="G7" s="356"/>
      <c r="H7" s="355">
        <f>SUMIF(52:52,YEAR(G7)&amp;"-"&amp;MONTH(G7),53:53)</f>
        <v>0</v>
      </c>
      <c r="I7" s="356"/>
      <c r="J7" s="355">
        <f>SUMIF(52:52,YEAR(I7)&amp;"-"&amp;MONTH(I7),53:53)</f>
        <v>0</v>
      </c>
      <c r="K7" s="38"/>
      <c r="L7" s="862"/>
      <c r="M7" s="863"/>
      <c r="N7" s="863"/>
      <c r="O7" s="863"/>
      <c r="P7" s="3920" t="s">
        <v>1680</v>
      </c>
      <c r="Q7" s="3922"/>
      <c r="R7" s="664" t="s">
        <v>14</v>
      </c>
      <c r="S7" s="665">
        <f t="shared" ref="S7:S15" si="0">F7</f>
        <v>0</v>
      </c>
      <c r="T7" s="664" t="s">
        <v>14</v>
      </c>
      <c r="U7" s="665">
        <f t="shared" ref="U7:U15" si="1">H7</f>
        <v>0</v>
      </c>
      <c r="V7" s="664" t="s">
        <v>14</v>
      </c>
      <c r="W7" s="665">
        <f t="shared" ref="W7:W15" si="2">J7</f>
        <v>0</v>
      </c>
      <c r="X7" s="666"/>
      <c r="Y7" s="3920" t="s">
        <v>1680</v>
      </c>
      <c r="Z7" s="392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920" t="s">
        <v>1683</v>
      </c>
      <c r="Q8" s="3921"/>
      <c r="R8" s="664" t="s">
        <v>14</v>
      </c>
      <c r="S8" s="665">
        <f t="shared" si="0"/>
        <v>100</v>
      </c>
      <c r="T8" s="664" t="s">
        <v>14</v>
      </c>
      <c r="U8" s="665">
        <f t="shared" si="1"/>
        <v>100</v>
      </c>
      <c r="V8" s="664" t="s">
        <v>14</v>
      </c>
      <c r="W8" s="665">
        <f t="shared" si="2"/>
        <v>100</v>
      </c>
      <c r="X8" s="666"/>
      <c r="Y8" s="3920" t="s">
        <v>1683</v>
      </c>
      <c r="Z8" s="392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885" t="s">
        <v>1686</v>
      </c>
      <c r="Q9" s="530" t="str">
        <f t="shared" ref="Q9:Q15" si="6">B9</f>
        <v>用途</v>
      </c>
      <c r="R9" s="664" t="s">
        <v>14</v>
      </c>
      <c r="S9" s="665">
        <f t="shared" si="0"/>
        <v>100</v>
      </c>
      <c r="T9" s="664" t="s">
        <v>14</v>
      </c>
      <c r="U9" s="665">
        <f t="shared" si="1"/>
        <v>100</v>
      </c>
      <c r="V9" s="664" t="s">
        <v>14</v>
      </c>
      <c r="W9" s="665">
        <f t="shared" si="2"/>
        <v>100</v>
      </c>
      <c r="X9" s="666"/>
      <c r="Y9" s="371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885"/>
      <c r="Q10" s="530" t="str">
        <f t="shared" si="6"/>
        <v>土地使用年限（年）</v>
      </c>
      <c r="R10" s="664" t="s">
        <v>14</v>
      </c>
      <c r="S10" s="665">
        <f t="shared" si="0"/>
        <v>100</v>
      </c>
      <c r="T10" s="664" t="s">
        <v>14</v>
      </c>
      <c r="U10" s="665">
        <f t="shared" si="1"/>
        <v>100</v>
      </c>
      <c r="V10" s="664" t="s">
        <v>14</v>
      </c>
      <c r="W10" s="665">
        <f t="shared" si="2"/>
        <v>100</v>
      </c>
      <c r="X10" s="666"/>
      <c r="Y10" s="371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885"/>
      <c r="Q11" s="530" t="str">
        <f t="shared" si="6"/>
        <v>容积率</v>
      </c>
      <c r="R11" s="664" t="s">
        <v>14</v>
      </c>
      <c r="S11" s="665">
        <f t="shared" si="0"/>
        <v>100</v>
      </c>
      <c r="T11" s="664" t="s">
        <v>14</v>
      </c>
      <c r="U11" s="665">
        <f t="shared" si="1"/>
        <v>100</v>
      </c>
      <c r="V11" s="664" t="s">
        <v>14</v>
      </c>
      <c r="W11" s="665">
        <f t="shared" si="2"/>
        <v>100</v>
      </c>
      <c r="X11" s="666"/>
      <c r="Y11" s="371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885"/>
      <c r="Q12" s="530">
        <f t="shared" si="6"/>
        <v>111</v>
      </c>
      <c r="R12" s="664" t="s">
        <v>14</v>
      </c>
      <c r="S12" s="665">
        <f t="shared" si="0"/>
        <v>100</v>
      </c>
      <c r="T12" s="664" t="s">
        <v>14</v>
      </c>
      <c r="U12" s="665">
        <f t="shared" si="1"/>
        <v>100</v>
      </c>
      <c r="V12" s="664" t="s">
        <v>14</v>
      </c>
      <c r="W12" s="665">
        <f t="shared" si="2"/>
        <v>100</v>
      </c>
      <c r="X12" s="666"/>
      <c r="Y12" s="371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885"/>
      <c r="Q13" s="530">
        <f t="shared" si="6"/>
        <v>111</v>
      </c>
      <c r="R13" s="664" t="s">
        <v>14</v>
      </c>
      <c r="S13" s="665">
        <f t="shared" si="0"/>
        <v>100</v>
      </c>
      <c r="T13" s="664" t="s">
        <v>14</v>
      </c>
      <c r="U13" s="665">
        <f t="shared" si="1"/>
        <v>100</v>
      </c>
      <c r="V13" s="664" t="s">
        <v>14</v>
      </c>
      <c r="W13" s="665">
        <f t="shared" si="2"/>
        <v>100</v>
      </c>
      <c r="X13" s="666"/>
      <c r="Y13" s="371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885"/>
      <c r="Q14" s="530">
        <f t="shared" si="6"/>
        <v>111</v>
      </c>
      <c r="R14" s="664" t="s">
        <v>14</v>
      </c>
      <c r="S14" s="665">
        <f t="shared" si="0"/>
        <v>100</v>
      </c>
      <c r="T14" s="664" t="s">
        <v>14</v>
      </c>
      <c r="U14" s="665">
        <f t="shared" si="1"/>
        <v>100</v>
      </c>
      <c r="V14" s="664" t="s">
        <v>14</v>
      </c>
      <c r="W14" s="665">
        <f t="shared" si="2"/>
        <v>100</v>
      </c>
      <c r="X14" s="666"/>
      <c r="Y14" s="371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887" t="s">
        <v>1691</v>
      </c>
      <c r="Q15" s="1263" t="str">
        <f t="shared" si="6"/>
        <v>产业集聚程度</v>
      </c>
      <c r="R15" s="667" t="s">
        <v>14</v>
      </c>
      <c r="S15" s="668">
        <f t="shared" si="0"/>
        <v>100</v>
      </c>
      <c r="T15" s="667" t="s">
        <v>14</v>
      </c>
      <c r="U15" s="668">
        <f t="shared" si="1"/>
        <v>100</v>
      </c>
      <c r="V15" s="667" t="s">
        <v>14</v>
      </c>
      <c r="W15" s="668">
        <f t="shared" si="2"/>
        <v>100</v>
      </c>
      <c r="X15" s="1265"/>
      <c r="Y15" s="388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888"/>
      <c r="Q16" s="1263"/>
      <c r="R16" s="667"/>
      <c r="S16" s="668"/>
      <c r="T16" s="667"/>
      <c r="U16" s="668"/>
      <c r="V16" s="667"/>
      <c r="W16" s="668"/>
      <c r="X16" s="1265"/>
      <c r="Y16" s="388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888"/>
      <c r="Q17" s="1263" t="str">
        <f>B17</f>
        <v>交通便捷度</v>
      </c>
      <c r="R17" s="667" t="s">
        <v>14</v>
      </c>
      <c r="S17" s="668">
        <f>F17</f>
        <v>100</v>
      </c>
      <c r="T17" s="667" t="s">
        <v>14</v>
      </c>
      <c r="U17" s="668">
        <f>H17</f>
        <v>100</v>
      </c>
      <c r="V17" s="667" t="s">
        <v>14</v>
      </c>
      <c r="W17" s="668">
        <f>J17</f>
        <v>100</v>
      </c>
      <c r="X17" s="1265"/>
      <c r="Y17" s="388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888"/>
      <c r="Q18" s="1263"/>
      <c r="R18" s="667"/>
      <c r="S18" s="668"/>
      <c r="T18" s="667"/>
      <c r="U18" s="668"/>
      <c r="V18" s="667"/>
      <c r="W18" s="668"/>
      <c r="X18" s="1265"/>
      <c r="Y18" s="388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888"/>
      <c r="Q19" s="1263" t="str">
        <f>B19</f>
        <v>公共配套设施</v>
      </c>
      <c r="R19" s="667" t="s">
        <v>14</v>
      </c>
      <c r="S19" s="668">
        <f>F19</f>
        <v>100</v>
      </c>
      <c r="T19" s="667" t="s">
        <v>14</v>
      </c>
      <c r="U19" s="668">
        <f>H19</f>
        <v>100</v>
      </c>
      <c r="V19" s="667" t="s">
        <v>14</v>
      </c>
      <c r="W19" s="668">
        <f>J19</f>
        <v>100</v>
      </c>
      <c r="X19" s="1265"/>
      <c r="Y19" s="388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888"/>
      <c r="Q20" s="1263"/>
      <c r="R20" s="667"/>
      <c r="S20" s="668"/>
      <c r="T20" s="667"/>
      <c r="U20" s="668"/>
      <c r="V20" s="667"/>
      <c r="W20" s="668"/>
      <c r="X20" s="1265"/>
      <c r="Y20" s="388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888"/>
      <c r="Q21" s="1263" t="str">
        <f>B21</f>
        <v>基础设施水平</v>
      </c>
      <c r="R21" s="667" t="s">
        <v>14</v>
      </c>
      <c r="S21" s="668">
        <f>F21</f>
        <v>100</v>
      </c>
      <c r="T21" s="667" t="s">
        <v>14</v>
      </c>
      <c r="U21" s="668">
        <f>H21</f>
        <v>100</v>
      </c>
      <c r="V21" s="667" t="s">
        <v>14</v>
      </c>
      <c r="W21" s="668">
        <f>J21</f>
        <v>100</v>
      </c>
      <c r="X21" s="1265"/>
      <c r="Y21" s="388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888"/>
      <c r="Q22" s="1263"/>
      <c r="R22" s="667"/>
      <c r="S22" s="668"/>
      <c r="T22" s="667"/>
      <c r="U22" s="668"/>
      <c r="V22" s="667"/>
      <c r="W22" s="668"/>
      <c r="X22" s="1265"/>
      <c r="Y22" s="388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888"/>
      <c r="Q23" s="1263" t="str">
        <f>B23</f>
        <v>环境质量</v>
      </c>
      <c r="R23" s="667" t="s">
        <v>14</v>
      </c>
      <c r="S23" s="668">
        <f>F23</f>
        <v>100</v>
      </c>
      <c r="T23" s="667" t="s">
        <v>14</v>
      </c>
      <c r="U23" s="668">
        <f>H23</f>
        <v>100</v>
      </c>
      <c r="V23" s="667" t="s">
        <v>14</v>
      </c>
      <c r="W23" s="668">
        <f>J23</f>
        <v>100</v>
      </c>
      <c r="X23" s="1265"/>
      <c r="Y23" s="388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888"/>
      <c r="Q24" s="1263"/>
      <c r="R24" s="667"/>
      <c r="S24" s="668"/>
      <c r="T24" s="667"/>
      <c r="U24" s="668"/>
      <c r="V24" s="667"/>
      <c r="W24" s="668"/>
      <c r="X24" s="1265"/>
      <c r="Y24" s="388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888"/>
      <c r="Q25" s="1263">
        <f>B25</f>
        <v>111</v>
      </c>
      <c r="R25" s="667" t="s">
        <v>14</v>
      </c>
      <c r="S25" s="668">
        <f>F25</f>
        <v>100</v>
      </c>
      <c r="T25" s="667" t="s">
        <v>14</v>
      </c>
      <c r="U25" s="668">
        <f>H25</f>
        <v>100</v>
      </c>
      <c r="V25" s="667" t="s">
        <v>14</v>
      </c>
      <c r="W25" s="668">
        <f>J25</f>
        <v>100</v>
      </c>
      <c r="X25" s="1265"/>
      <c r="Y25" s="388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888"/>
      <c r="Q26" s="1263">
        <f t="shared" ref="Q26:Q40" si="11">B26</f>
        <v>111</v>
      </c>
      <c r="R26" s="667" t="s">
        <v>14</v>
      </c>
      <c r="S26" s="668">
        <f>F26</f>
        <v>100</v>
      </c>
      <c r="T26" s="667" t="s">
        <v>14</v>
      </c>
      <c r="U26" s="668">
        <f>H26</f>
        <v>100</v>
      </c>
      <c r="V26" s="667" t="s">
        <v>14</v>
      </c>
      <c r="W26" s="668">
        <f>J26</f>
        <v>100</v>
      </c>
      <c r="X26" s="1265"/>
      <c r="Y26" s="388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888"/>
      <c r="Q27" s="530">
        <f t="shared" si="11"/>
        <v>111</v>
      </c>
      <c r="R27" s="664" t="s">
        <v>14</v>
      </c>
      <c r="S27" s="665">
        <f>F27</f>
        <v>100</v>
      </c>
      <c r="T27" s="664" t="s">
        <v>14</v>
      </c>
      <c r="U27" s="665">
        <f>H27</f>
        <v>100</v>
      </c>
      <c r="V27" s="664" t="s">
        <v>14</v>
      </c>
      <c r="W27" s="665">
        <f>J27</f>
        <v>100</v>
      </c>
      <c r="X27" s="666"/>
      <c r="Y27" s="388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888"/>
      <c r="Q28" s="1263">
        <f t="shared" si="11"/>
        <v>111</v>
      </c>
      <c r="R28" s="667" t="s">
        <v>14</v>
      </c>
      <c r="S28" s="668">
        <f t="shared" ref="S28:S40" si="12">F28</f>
        <v>100</v>
      </c>
      <c r="T28" s="667" t="s">
        <v>14</v>
      </c>
      <c r="U28" s="668">
        <f t="shared" ref="U28:U40" si="13">H28</f>
        <v>100</v>
      </c>
      <c r="V28" s="667" t="s">
        <v>14</v>
      </c>
      <c r="W28" s="668">
        <f t="shared" ref="W28:W40" si="14">J28</f>
        <v>100</v>
      </c>
      <c r="X28" s="1265"/>
      <c r="Y28" s="388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942" t="s">
        <v>1696</v>
      </c>
      <c r="Q29" s="1263" t="str">
        <f t="shared" si="11"/>
        <v>建筑类型</v>
      </c>
      <c r="R29" s="667" t="s">
        <v>14</v>
      </c>
      <c r="S29" s="668">
        <f t="shared" si="12"/>
        <v>100</v>
      </c>
      <c r="T29" s="667" t="s">
        <v>14</v>
      </c>
      <c r="U29" s="668">
        <f t="shared" si="13"/>
        <v>100</v>
      </c>
      <c r="V29" s="667" t="s">
        <v>14</v>
      </c>
      <c r="W29" s="668">
        <f t="shared" si="14"/>
        <v>100</v>
      </c>
      <c r="X29" s="1265"/>
      <c r="Y29" s="389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892"/>
      <c r="Q30" s="531" t="str">
        <f t="shared" si="11"/>
        <v>项目建筑规模</v>
      </c>
      <c r="R30" s="669" t="s">
        <v>14</v>
      </c>
      <c r="S30" s="670" t="e">
        <f t="shared" si="12"/>
        <v>#N/A</v>
      </c>
      <c r="T30" s="669" t="s">
        <v>14</v>
      </c>
      <c r="U30" s="670" t="e">
        <f t="shared" si="13"/>
        <v>#N/A</v>
      </c>
      <c r="V30" s="669" t="s">
        <v>14</v>
      </c>
      <c r="W30" s="670" t="e">
        <f t="shared" si="14"/>
        <v>#N/A</v>
      </c>
      <c r="X30" s="671"/>
      <c r="Y30" s="389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892"/>
      <c r="Q31" s="1263" t="str">
        <f t="shared" si="11"/>
        <v>建筑结构</v>
      </c>
      <c r="R31" s="667" t="s">
        <v>14</v>
      </c>
      <c r="S31" s="668">
        <f t="shared" si="12"/>
        <v>100</v>
      </c>
      <c r="T31" s="667" t="s">
        <v>14</v>
      </c>
      <c r="U31" s="668">
        <f t="shared" si="13"/>
        <v>100</v>
      </c>
      <c r="V31" s="667" t="s">
        <v>14</v>
      </c>
      <c r="W31" s="668">
        <f t="shared" si="14"/>
        <v>100</v>
      </c>
      <c r="X31" s="1265"/>
      <c r="Y31" s="389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892"/>
      <c r="Q32" s="1263" t="str">
        <f t="shared" si="11"/>
        <v>公共部分装修</v>
      </c>
      <c r="R32" s="667" t="s">
        <v>14</v>
      </c>
      <c r="S32" s="668">
        <f t="shared" si="12"/>
        <v>100</v>
      </c>
      <c r="T32" s="667" t="s">
        <v>14</v>
      </c>
      <c r="U32" s="668">
        <f t="shared" si="13"/>
        <v>100</v>
      </c>
      <c r="V32" s="667" t="s">
        <v>14</v>
      </c>
      <c r="W32" s="668">
        <f t="shared" si="14"/>
        <v>100</v>
      </c>
      <c r="X32" s="1265"/>
      <c r="Y32" s="389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892"/>
      <c r="Q33" s="1263" t="str">
        <f t="shared" si="11"/>
        <v>成新度</v>
      </c>
      <c r="R33" s="667" t="s">
        <v>14</v>
      </c>
      <c r="S33" s="668" t="e">
        <f t="shared" si="12"/>
        <v>#N/A</v>
      </c>
      <c r="T33" s="667" t="s">
        <v>14</v>
      </c>
      <c r="U33" s="668" t="e">
        <f t="shared" si="13"/>
        <v>#N/A</v>
      </c>
      <c r="V33" s="667" t="s">
        <v>14</v>
      </c>
      <c r="W33" s="668" t="e">
        <f t="shared" si="14"/>
        <v>#N/A</v>
      </c>
      <c r="X33" s="1265"/>
      <c r="Y33" s="389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892"/>
      <c r="Q34" s="530" t="str">
        <f t="shared" si="11"/>
        <v>物业管理</v>
      </c>
      <c r="R34" s="664" t="s">
        <v>14</v>
      </c>
      <c r="S34" s="665">
        <f t="shared" si="12"/>
        <v>100</v>
      </c>
      <c r="T34" s="664" t="s">
        <v>14</v>
      </c>
      <c r="U34" s="665">
        <f t="shared" si="13"/>
        <v>100</v>
      </c>
      <c r="V34" s="664" t="s">
        <v>14</v>
      </c>
      <c r="W34" s="665">
        <f t="shared" si="14"/>
        <v>100</v>
      </c>
      <c r="X34" s="666"/>
      <c r="Y34" s="389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892" t="s">
        <v>1696</v>
      </c>
      <c r="Q35" s="1263" t="str">
        <f t="shared" si="11"/>
        <v>市政基础设施</v>
      </c>
      <c r="R35" s="667" t="s">
        <v>14</v>
      </c>
      <c r="S35" s="668">
        <f t="shared" si="12"/>
        <v>100</v>
      </c>
      <c r="T35" s="667" t="s">
        <v>14</v>
      </c>
      <c r="U35" s="668">
        <f t="shared" si="13"/>
        <v>100</v>
      </c>
      <c r="V35" s="667" t="s">
        <v>14</v>
      </c>
      <c r="W35" s="668">
        <f t="shared" si="14"/>
        <v>100</v>
      </c>
      <c r="X35" s="1265"/>
      <c r="Y35" s="389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892"/>
      <c r="Q36" s="1263" t="str">
        <f t="shared" si="11"/>
        <v>内部装修</v>
      </c>
      <c r="R36" s="667" t="s">
        <v>14</v>
      </c>
      <c r="S36" s="668">
        <f t="shared" si="12"/>
        <v>100</v>
      </c>
      <c r="T36" s="667" t="s">
        <v>14</v>
      </c>
      <c r="U36" s="668">
        <f t="shared" si="13"/>
        <v>100</v>
      </c>
      <c r="V36" s="667" t="s">
        <v>14</v>
      </c>
      <c r="W36" s="668">
        <f t="shared" si="14"/>
        <v>100</v>
      </c>
      <c r="X36" s="1265"/>
      <c r="Y36" s="389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892"/>
      <c r="Q37" s="1263" t="str">
        <f t="shared" si="11"/>
        <v>内部装修状况</v>
      </c>
      <c r="R37" s="667" t="s">
        <v>14</v>
      </c>
      <c r="S37" s="668">
        <f t="shared" si="12"/>
        <v>100</v>
      </c>
      <c r="T37" s="667" t="s">
        <v>14</v>
      </c>
      <c r="U37" s="668">
        <f t="shared" si="13"/>
        <v>100</v>
      </c>
      <c r="V37" s="667" t="s">
        <v>14</v>
      </c>
      <c r="W37" s="668">
        <f t="shared" si="14"/>
        <v>100</v>
      </c>
      <c r="X37" s="1265"/>
      <c r="Y37" s="389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892"/>
      <c r="Q38" s="531">
        <f t="shared" si="11"/>
        <v>111</v>
      </c>
      <c r="R38" s="669" t="s">
        <v>14</v>
      </c>
      <c r="S38" s="670">
        <f t="shared" si="12"/>
        <v>100</v>
      </c>
      <c r="T38" s="669" t="s">
        <v>14</v>
      </c>
      <c r="U38" s="670">
        <f t="shared" si="13"/>
        <v>100</v>
      </c>
      <c r="V38" s="669" t="s">
        <v>14</v>
      </c>
      <c r="W38" s="670">
        <f t="shared" si="14"/>
        <v>100</v>
      </c>
      <c r="X38" s="671"/>
      <c r="Y38" s="389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892"/>
      <c r="Q39" s="1263">
        <f t="shared" si="11"/>
        <v>111</v>
      </c>
      <c r="R39" s="667" t="s">
        <v>14</v>
      </c>
      <c r="S39" s="668">
        <f t="shared" si="12"/>
        <v>100</v>
      </c>
      <c r="T39" s="667" t="s">
        <v>14</v>
      </c>
      <c r="U39" s="668">
        <f t="shared" si="13"/>
        <v>100</v>
      </c>
      <c r="V39" s="667" t="s">
        <v>14</v>
      </c>
      <c r="W39" s="668">
        <f t="shared" si="14"/>
        <v>100</v>
      </c>
      <c r="X39" s="1265"/>
      <c r="Y39" s="389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893"/>
      <c r="Q40" s="1263">
        <f t="shared" si="11"/>
        <v>111</v>
      </c>
      <c r="R40" s="667" t="s">
        <v>14</v>
      </c>
      <c r="S40" s="668">
        <f t="shared" si="12"/>
        <v>100</v>
      </c>
      <c r="T40" s="667" t="s">
        <v>14</v>
      </c>
      <c r="U40" s="668">
        <f t="shared" si="13"/>
        <v>100</v>
      </c>
      <c r="V40" s="667" t="s">
        <v>14</v>
      </c>
      <c r="W40" s="668">
        <f t="shared" si="14"/>
        <v>100</v>
      </c>
      <c r="X40" s="1265"/>
      <c r="Y40" s="389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885" t="str">
        <f>A41</f>
        <v>成交单价（元/平方米）</v>
      </c>
      <c r="Q41" s="3885"/>
      <c r="R41" s="3886">
        <f>E41</f>
        <v>0</v>
      </c>
      <c r="S41" s="3886"/>
      <c r="T41" s="3886">
        <f>G41</f>
        <v>0</v>
      </c>
      <c r="U41" s="3886"/>
      <c r="V41" s="3886">
        <f>I41</f>
        <v>0</v>
      </c>
      <c r="W41" s="388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885" t="str">
        <f>A42</f>
        <v>比较价值（元/平方米）</v>
      </c>
      <c r="Q42" s="3885"/>
      <c r="R42" s="3886" t="e">
        <f>IF(F1="售价",ROUND(PRODUCT(R41,AA7:AA40),0),ROUND(PRODUCT(R41,AA7:AA40),1))</f>
        <v>#DIV/0!</v>
      </c>
      <c r="S42" s="3886"/>
      <c r="T42" s="3886" t="e">
        <f>IF(F1="售价",ROUND(PRODUCT(T41,AB7:AB40),0),ROUND(PRODUCT(T41,AB7:AB40),1))</f>
        <v>#DIV/0!</v>
      </c>
      <c r="U42" s="3886"/>
      <c r="V42" s="3886" t="e">
        <f>IF(F1="售价",ROUND(PRODUCT(V41,AC7:AC40),0),ROUND(PRODUCT(V41,AC7:AC40),1))</f>
        <v>#DIV/0!</v>
      </c>
      <c r="W42" s="388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882" t="str">
        <f>A43</f>
        <v>估价对象XX用房的比较价值（楼面单价，元/平方米）</v>
      </c>
      <c r="Q43" s="3883"/>
      <c r="R43" s="3884" t="e">
        <f>IF(F1="售价",ROUND(IF(D42="简单平均",AVERAGE(R42:V42),R42*F42+T42*H42+V42*J42),0),ROUND(IF(D42="简单平均",AVERAGE(R42:V42),R42*F42+T42*H42+V42*J42),1))</f>
        <v>#DIV/0!</v>
      </c>
      <c r="S43" s="3884"/>
      <c r="T43" s="3884"/>
      <c r="U43" s="3884"/>
      <c r="V43" s="3884"/>
      <c r="W43" s="388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900" t="s">
        <v>1770</v>
      </c>
      <c r="D4" s="3901"/>
      <c r="E4" s="3902" t="s">
        <v>1771</v>
      </c>
      <c r="F4" s="3903"/>
      <c r="G4" s="3900" t="s">
        <v>1772</v>
      </c>
      <c r="H4" s="3901"/>
      <c r="I4" s="3900" t="s">
        <v>1773</v>
      </c>
      <c r="J4" s="3901"/>
      <c r="K4" s="537" t="s">
        <v>1774</v>
      </c>
      <c r="L4" s="2487"/>
      <c r="M4" s="2488"/>
      <c r="N4" s="2488"/>
      <c r="O4" s="2488"/>
      <c r="P4" s="3904" t="s">
        <v>1775</v>
      </c>
      <c r="Q4" s="3905"/>
      <c r="R4" s="3910" t="s">
        <v>1771</v>
      </c>
      <c r="S4" s="3911"/>
      <c r="T4" s="3910" t="s">
        <v>1772</v>
      </c>
      <c r="U4" s="3911"/>
      <c r="V4" s="3886" t="s">
        <v>1773</v>
      </c>
      <c r="W4" s="3886"/>
      <c r="X4" s="1265"/>
      <c r="Y4" s="3910" t="s">
        <v>1775</v>
      </c>
      <c r="Z4" s="3911"/>
      <c r="AA4" s="3897" t="s">
        <v>1771</v>
      </c>
      <c r="AB4" s="3898" t="s">
        <v>1772</v>
      </c>
      <c r="AC4" s="3897" t="s">
        <v>1773</v>
      </c>
    </row>
    <row r="5" spans="1:29" ht="15">
      <c r="A5" s="348"/>
      <c r="B5" s="349"/>
      <c r="C5" s="3918" t="s">
        <v>1673</v>
      </c>
      <c r="D5" s="3919"/>
      <c r="E5" s="3925" t="s">
        <v>1674</v>
      </c>
      <c r="F5" s="3926"/>
      <c r="G5" s="3918" t="s">
        <v>1675</v>
      </c>
      <c r="H5" s="3919"/>
      <c r="I5" s="3918" t="s">
        <v>1676</v>
      </c>
      <c r="J5" s="3919"/>
      <c r="K5" s="537"/>
      <c r="L5" s="2487"/>
      <c r="M5" s="2488"/>
      <c r="N5" s="2488"/>
      <c r="O5" s="2488"/>
      <c r="P5" s="3906"/>
      <c r="Q5" s="3907"/>
      <c r="R5" s="3912"/>
      <c r="S5" s="3913"/>
      <c r="T5" s="3912"/>
      <c r="U5" s="3913"/>
      <c r="V5" s="3886"/>
      <c r="W5" s="3886"/>
      <c r="X5" s="1265"/>
      <c r="Y5" s="3912"/>
      <c r="Z5" s="3913"/>
      <c r="AA5" s="3898"/>
      <c r="AB5" s="3898"/>
      <c r="AC5" s="3898"/>
    </row>
    <row r="6" spans="1:29" ht="15.75" thickBot="1">
      <c r="A6" s="350"/>
      <c r="B6" s="351"/>
      <c r="C6" s="3916" t="s">
        <v>1677</v>
      </c>
      <c r="D6" s="3917"/>
      <c r="E6" s="3923" t="s">
        <v>1677</v>
      </c>
      <c r="F6" s="3924"/>
      <c r="G6" s="3916" t="s">
        <v>1677</v>
      </c>
      <c r="H6" s="3917"/>
      <c r="I6" s="3916" t="s">
        <v>1677</v>
      </c>
      <c r="J6" s="3917"/>
      <c r="K6" s="537" t="s">
        <v>1678</v>
      </c>
      <c r="L6" s="2487"/>
      <c r="M6" s="2488"/>
      <c r="N6" s="2488"/>
      <c r="O6" s="2488"/>
      <c r="P6" s="3908"/>
      <c r="Q6" s="3909"/>
      <c r="R6" s="3912"/>
      <c r="S6" s="3913"/>
      <c r="T6" s="3914"/>
      <c r="U6" s="3915"/>
      <c r="V6" s="3886"/>
      <c r="W6" s="3886"/>
      <c r="X6" s="1265"/>
      <c r="Y6" s="3914"/>
      <c r="Z6" s="3915"/>
      <c r="AA6" s="3899"/>
      <c r="AB6" s="3899"/>
      <c r="AC6" s="3899"/>
    </row>
    <row r="7" spans="1:29" s="102" customFormat="1" ht="15.75" thickBot="1">
      <c r="A7" s="352" t="s">
        <v>1679</v>
      </c>
      <c r="B7" s="353"/>
      <c r="C7" s="354">
        <f>'数据-取费表'!B2</f>
        <v>45995</v>
      </c>
      <c r="D7" s="355">
        <v>100</v>
      </c>
      <c r="E7" s="356"/>
      <c r="F7" s="357">
        <f>SUMIF(48:48,YEAR(E7)&amp;"-"&amp;MONTH(E7),49:49)</f>
        <v>0</v>
      </c>
      <c r="G7" s="356"/>
      <c r="H7" s="355">
        <f>SUMIF(48:48,YEAR(G7)&amp;"-"&amp;MONTH(G7),49:49)</f>
        <v>0</v>
      </c>
      <c r="I7" s="356"/>
      <c r="J7" s="355">
        <f>SUMIF(48:48,YEAR(I7)&amp;"-"&amp;MONTH(I7),49:49)</f>
        <v>0</v>
      </c>
      <c r="K7" s="38"/>
      <c r="L7" s="2489"/>
      <c r="M7" s="2440"/>
      <c r="N7" s="2440"/>
      <c r="O7" s="2440"/>
      <c r="P7" s="3920" t="s">
        <v>1680</v>
      </c>
      <c r="Q7" s="3922"/>
      <c r="R7" s="664" t="s">
        <v>14</v>
      </c>
      <c r="S7" s="665">
        <f t="shared" ref="S7:S14" si="0">F7</f>
        <v>0</v>
      </c>
      <c r="T7" s="664" t="s">
        <v>14</v>
      </c>
      <c r="U7" s="665">
        <f t="shared" ref="U7:U14" si="1">H7</f>
        <v>0</v>
      </c>
      <c r="V7" s="664" t="s">
        <v>14</v>
      </c>
      <c r="W7" s="665">
        <f t="shared" ref="W7:W14" si="2">J7</f>
        <v>0</v>
      </c>
      <c r="X7" s="666"/>
      <c r="Y7" s="3920" t="s">
        <v>1680</v>
      </c>
      <c r="Z7" s="392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920" t="s">
        <v>1683</v>
      </c>
      <c r="Q8" s="3921"/>
      <c r="R8" s="664" t="s">
        <v>14</v>
      </c>
      <c r="S8" s="665">
        <f t="shared" si="0"/>
        <v>100</v>
      </c>
      <c r="T8" s="664" t="s">
        <v>14</v>
      </c>
      <c r="U8" s="665">
        <f t="shared" si="1"/>
        <v>100</v>
      </c>
      <c r="V8" s="664" t="s">
        <v>14</v>
      </c>
      <c r="W8" s="665">
        <f t="shared" si="2"/>
        <v>100</v>
      </c>
      <c r="X8" s="666"/>
      <c r="Y8" s="3920" t="s">
        <v>1683</v>
      </c>
      <c r="Z8" s="392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885" t="s">
        <v>1686</v>
      </c>
      <c r="Q9" s="530" t="str">
        <f t="shared" ref="Q9:Q14" si="6">B9</f>
        <v>用途</v>
      </c>
      <c r="R9" s="664" t="s">
        <v>14</v>
      </c>
      <c r="S9" s="665">
        <f t="shared" si="0"/>
        <v>100</v>
      </c>
      <c r="T9" s="664" t="s">
        <v>14</v>
      </c>
      <c r="U9" s="665">
        <f t="shared" si="1"/>
        <v>100</v>
      </c>
      <c r="V9" s="664" t="s">
        <v>14</v>
      </c>
      <c r="W9" s="665">
        <f t="shared" si="2"/>
        <v>100</v>
      </c>
      <c r="X9" s="666"/>
      <c r="Y9" s="371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885"/>
      <c r="Q10" s="530" t="str">
        <f t="shared" si="6"/>
        <v>土地使用年限（年）</v>
      </c>
      <c r="R10" s="664" t="s">
        <v>14</v>
      </c>
      <c r="S10" s="665">
        <f t="shared" si="0"/>
        <v>100</v>
      </c>
      <c r="T10" s="664" t="s">
        <v>14</v>
      </c>
      <c r="U10" s="665">
        <f t="shared" si="1"/>
        <v>100</v>
      </c>
      <c r="V10" s="664" t="s">
        <v>14</v>
      </c>
      <c r="W10" s="665">
        <f t="shared" si="2"/>
        <v>100</v>
      </c>
      <c r="X10" s="666"/>
      <c r="Y10" s="371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885"/>
      <c r="Q11" s="530">
        <f t="shared" si="6"/>
        <v>111</v>
      </c>
      <c r="R11" s="664" t="s">
        <v>14</v>
      </c>
      <c r="S11" s="665">
        <f t="shared" si="0"/>
        <v>100</v>
      </c>
      <c r="T11" s="664" t="s">
        <v>14</v>
      </c>
      <c r="U11" s="665">
        <f t="shared" si="1"/>
        <v>100</v>
      </c>
      <c r="V11" s="664" t="s">
        <v>14</v>
      </c>
      <c r="W11" s="665">
        <f t="shared" si="2"/>
        <v>100</v>
      </c>
      <c r="X11" s="666"/>
      <c r="Y11" s="371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885"/>
      <c r="Q12" s="530">
        <f t="shared" si="6"/>
        <v>111</v>
      </c>
      <c r="R12" s="664" t="s">
        <v>14</v>
      </c>
      <c r="S12" s="665">
        <f t="shared" si="0"/>
        <v>100</v>
      </c>
      <c r="T12" s="664" t="s">
        <v>14</v>
      </c>
      <c r="U12" s="665">
        <f t="shared" si="1"/>
        <v>100</v>
      </c>
      <c r="V12" s="664" t="s">
        <v>14</v>
      </c>
      <c r="W12" s="665">
        <f t="shared" si="2"/>
        <v>100</v>
      </c>
      <c r="X12" s="666"/>
      <c r="Y12" s="371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885"/>
      <c r="Q13" s="530">
        <f t="shared" si="6"/>
        <v>111</v>
      </c>
      <c r="R13" s="664" t="s">
        <v>14</v>
      </c>
      <c r="S13" s="665">
        <f t="shared" si="0"/>
        <v>100</v>
      </c>
      <c r="T13" s="664" t="s">
        <v>14</v>
      </c>
      <c r="U13" s="665">
        <f t="shared" si="1"/>
        <v>100</v>
      </c>
      <c r="V13" s="664" t="s">
        <v>14</v>
      </c>
      <c r="W13" s="665">
        <f t="shared" si="2"/>
        <v>100</v>
      </c>
      <c r="X13" s="666"/>
      <c r="Y13" s="371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887" t="s">
        <v>1691</v>
      </c>
      <c r="Q14" s="1263" t="str">
        <f t="shared" si="6"/>
        <v>交通便捷度</v>
      </c>
      <c r="R14" s="667" t="s">
        <v>14</v>
      </c>
      <c r="S14" s="668">
        <f t="shared" si="0"/>
        <v>100</v>
      </c>
      <c r="T14" s="667" t="s">
        <v>14</v>
      </c>
      <c r="U14" s="668">
        <f t="shared" si="1"/>
        <v>100</v>
      </c>
      <c r="V14" s="667" t="s">
        <v>14</v>
      </c>
      <c r="W14" s="668">
        <f t="shared" si="2"/>
        <v>100</v>
      </c>
      <c r="X14" s="1265"/>
      <c r="Y14" s="388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888"/>
      <c r="Q15" s="1263"/>
      <c r="R15" s="667"/>
      <c r="S15" s="668"/>
      <c r="T15" s="667"/>
      <c r="U15" s="668"/>
      <c r="V15" s="667"/>
      <c r="W15" s="668"/>
      <c r="X15" s="1265"/>
      <c r="Y15" s="3888"/>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888"/>
      <c r="Q16" s="1263" t="str">
        <f>B16</f>
        <v>公共配套设施</v>
      </c>
      <c r="R16" s="667" t="s">
        <v>14</v>
      </c>
      <c r="S16" s="668">
        <f>F16</f>
        <v>100</v>
      </c>
      <c r="T16" s="667" t="s">
        <v>14</v>
      </c>
      <c r="U16" s="668">
        <f>H16</f>
        <v>100</v>
      </c>
      <c r="V16" s="667" t="s">
        <v>14</v>
      </c>
      <c r="W16" s="668">
        <f>J16</f>
        <v>100</v>
      </c>
      <c r="X16" s="1265"/>
      <c r="Y16" s="388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888"/>
      <c r="Q17" s="1263"/>
      <c r="R17" s="667"/>
      <c r="S17" s="668"/>
      <c r="T17" s="667"/>
      <c r="U17" s="668"/>
      <c r="V17" s="667"/>
      <c r="W17" s="668"/>
      <c r="X17" s="1265"/>
      <c r="Y17" s="388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888"/>
      <c r="Q18" s="1263" t="str">
        <f>B18</f>
        <v>基础设施水平</v>
      </c>
      <c r="R18" s="667" t="s">
        <v>14</v>
      </c>
      <c r="S18" s="668">
        <f>F18</f>
        <v>100</v>
      </c>
      <c r="T18" s="667" t="s">
        <v>14</v>
      </c>
      <c r="U18" s="668">
        <f>H18</f>
        <v>100</v>
      </c>
      <c r="V18" s="667" t="s">
        <v>14</v>
      </c>
      <c r="W18" s="668">
        <f>J18</f>
        <v>100</v>
      </c>
      <c r="X18" s="1265"/>
      <c r="Y18" s="388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888"/>
      <c r="Q19" s="1263"/>
      <c r="R19" s="667"/>
      <c r="S19" s="668"/>
      <c r="T19" s="667"/>
      <c r="U19" s="668"/>
      <c r="V19" s="667"/>
      <c r="W19" s="668"/>
      <c r="X19" s="1265"/>
      <c r="Y19" s="3888"/>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888"/>
      <c r="Q20" s="1263" t="str">
        <f>B20</f>
        <v>自然及人文环境</v>
      </c>
      <c r="R20" s="667" t="s">
        <v>14</v>
      </c>
      <c r="S20" s="668">
        <f>F20</f>
        <v>100</v>
      </c>
      <c r="T20" s="667" t="s">
        <v>14</v>
      </c>
      <c r="U20" s="668">
        <f>H20</f>
        <v>100</v>
      </c>
      <c r="V20" s="667" t="s">
        <v>14</v>
      </c>
      <c r="W20" s="668">
        <f>J20</f>
        <v>100</v>
      </c>
      <c r="X20" s="1265"/>
      <c r="Y20" s="388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888"/>
      <c r="Q21" s="1263"/>
      <c r="R21" s="667"/>
      <c r="S21" s="668"/>
      <c r="T21" s="667"/>
      <c r="U21" s="668"/>
      <c r="V21" s="667"/>
      <c r="W21" s="668"/>
      <c r="X21" s="1265"/>
      <c r="Y21" s="388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888"/>
      <c r="Q22" s="1263" t="str">
        <f>B22</f>
        <v>楼层</v>
      </c>
      <c r="R22" s="667" t="s">
        <v>14</v>
      </c>
      <c r="S22" s="668">
        <f>F22</f>
        <v>100</v>
      </c>
      <c r="T22" s="667" t="s">
        <v>14</v>
      </c>
      <c r="U22" s="668">
        <f>H22</f>
        <v>100</v>
      </c>
      <c r="V22" s="667" t="s">
        <v>14</v>
      </c>
      <c r="W22" s="668">
        <f>J22</f>
        <v>100</v>
      </c>
      <c r="X22" s="1265"/>
      <c r="Y22" s="388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888"/>
      <c r="Q23" s="1263">
        <f>B23</f>
        <v>111</v>
      </c>
      <c r="R23" s="667" t="s">
        <v>14</v>
      </c>
      <c r="S23" s="668">
        <f>F23</f>
        <v>100</v>
      </c>
      <c r="T23" s="667" t="s">
        <v>14</v>
      </c>
      <c r="U23" s="668">
        <f>H23</f>
        <v>100</v>
      </c>
      <c r="V23" s="667" t="s">
        <v>14</v>
      </c>
      <c r="W23" s="668">
        <f>J23</f>
        <v>100</v>
      </c>
      <c r="X23" s="1265"/>
      <c r="Y23" s="388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888"/>
      <c r="Q24" s="1263">
        <f t="shared" ref="Q24:Q36" si="11">B24</f>
        <v>111</v>
      </c>
      <c r="R24" s="667" t="s">
        <v>14</v>
      </c>
      <c r="S24" s="668">
        <f>F24</f>
        <v>100</v>
      </c>
      <c r="T24" s="667" t="s">
        <v>14</v>
      </c>
      <c r="U24" s="668">
        <f>H24</f>
        <v>100</v>
      </c>
      <c r="V24" s="667" t="s">
        <v>14</v>
      </c>
      <c r="W24" s="668">
        <f>J24</f>
        <v>100</v>
      </c>
      <c r="X24" s="1265"/>
      <c r="Y24" s="388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888"/>
      <c r="Q25" s="530">
        <f t="shared" si="11"/>
        <v>111</v>
      </c>
      <c r="R25" s="664" t="s">
        <v>14</v>
      </c>
      <c r="S25" s="665">
        <f>F25</f>
        <v>100</v>
      </c>
      <c r="T25" s="664" t="s">
        <v>14</v>
      </c>
      <c r="U25" s="665">
        <f>H25</f>
        <v>100</v>
      </c>
      <c r="V25" s="664" t="s">
        <v>14</v>
      </c>
      <c r="W25" s="665">
        <f>J25</f>
        <v>100</v>
      </c>
      <c r="X25" s="666"/>
      <c r="Y25" s="388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94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89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892"/>
      <c r="Q27" s="531" t="str">
        <f t="shared" si="11"/>
        <v>项目停车位配比</v>
      </c>
      <c r="R27" s="669" t="s">
        <v>14</v>
      </c>
      <c r="S27" s="670">
        <f t="shared" si="12"/>
        <v>100</v>
      </c>
      <c r="T27" s="669" t="s">
        <v>14</v>
      </c>
      <c r="U27" s="670">
        <f t="shared" si="13"/>
        <v>100</v>
      </c>
      <c r="V27" s="669" t="s">
        <v>14</v>
      </c>
      <c r="W27" s="670">
        <f t="shared" si="14"/>
        <v>100</v>
      </c>
      <c r="X27" s="671"/>
      <c r="Y27" s="389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892"/>
      <c r="Q28" s="1263" t="str">
        <f t="shared" si="11"/>
        <v>公共部分装修</v>
      </c>
      <c r="R28" s="667" t="s">
        <v>14</v>
      </c>
      <c r="S28" s="668">
        <f t="shared" si="12"/>
        <v>100</v>
      </c>
      <c r="T28" s="667" t="s">
        <v>14</v>
      </c>
      <c r="U28" s="668">
        <f t="shared" si="13"/>
        <v>100</v>
      </c>
      <c r="V28" s="667" t="s">
        <v>14</v>
      </c>
      <c r="W28" s="668">
        <f t="shared" si="14"/>
        <v>100</v>
      </c>
      <c r="X28" s="1265"/>
      <c r="Y28" s="389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892"/>
      <c r="Q29" s="1263" t="str">
        <f t="shared" si="11"/>
        <v>成新率</v>
      </c>
      <c r="R29" s="667" t="s">
        <v>14</v>
      </c>
      <c r="S29" s="668" t="e">
        <f t="shared" si="12"/>
        <v>#N/A</v>
      </c>
      <c r="T29" s="667" t="s">
        <v>14</v>
      </c>
      <c r="U29" s="668" t="e">
        <f t="shared" si="13"/>
        <v>#N/A</v>
      </c>
      <c r="V29" s="667" t="s">
        <v>14</v>
      </c>
      <c r="W29" s="668" t="e">
        <f t="shared" si="14"/>
        <v>#N/A</v>
      </c>
      <c r="X29" s="1265"/>
      <c r="Y29" s="389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892"/>
      <c r="Q30" s="1263" t="str">
        <f t="shared" si="11"/>
        <v>物业等级</v>
      </c>
      <c r="R30" s="667" t="s">
        <v>14</v>
      </c>
      <c r="S30" s="668">
        <f t="shared" si="12"/>
        <v>100</v>
      </c>
      <c r="T30" s="667" t="s">
        <v>14</v>
      </c>
      <c r="U30" s="668">
        <f t="shared" si="13"/>
        <v>100</v>
      </c>
      <c r="V30" s="667" t="s">
        <v>14</v>
      </c>
      <c r="W30" s="668">
        <f t="shared" si="14"/>
        <v>100</v>
      </c>
      <c r="X30" s="1265"/>
      <c r="Y30" s="389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892"/>
      <c r="Q31" s="530" t="str">
        <f t="shared" si="11"/>
        <v>停车位面积</v>
      </c>
      <c r="R31" s="664" t="s">
        <v>14</v>
      </c>
      <c r="S31" s="665" t="e">
        <f t="shared" si="12"/>
        <v>#N/A</v>
      </c>
      <c r="T31" s="664" t="s">
        <v>14</v>
      </c>
      <c r="U31" s="665" t="e">
        <f t="shared" si="13"/>
        <v>#N/A</v>
      </c>
      <c r="V31" s="664" t="s">
        <v>14</v>
      </c>
      <c r="W31" s="665" t="e">
        <f t="shared" si="14"/>
        <v>#N/A</v>
      </c>
      <c r="X31" s="666"/>
      <c r="Y31" s="389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892" t="s">
        <v>1696</v>
      </c>
      <c r="Q32" s="1263" t="str">
        <f t="shared" si="11"/>
        <v>车位类型</v>
      </c>
      <c r="R32" s="667" t="s">
        <v>14</v>
      </c>
      <c r="S32" s="668">
        <f t="shared" si="12"/>
        <v>100</v>
      </c>
      <c r="T32" s="667" t="s">
        <v>14</v>
      </c>
      <c r="U32" s="668">
        <f t="shared" si="13"/>
        <v>100</v>
      </c>
      <c r="V32" s="667" t="s">
        <v>14</v>
      </c>
      <c r="W32" s="668">
        <f t="shared" si="14"/>
        <v>100</v>
      </c>
      <c r="X32" s="1265"/>
      <c r="Y32" s="389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892"/>
      <c r="Q33" s="1263" t="str">
        <f t="shared" si="11"/>
        <v>是否直接入户</v>
      </c>
      <c r="R33" s="667" t="s">
        <v>14</v>
      </c>
      <c r="S33" s="668">
        <f t="shared" si="12"/>
        <v>100</v>
      </c>
      <c r="T33" s="667" t="s">
        <v>14</v>
      </c>
      <c r="U33" s="668">
        <f t="shared" si="13"/>
        <v>100</v>
      </c>
      <c r="V33" s="667" t="s">
        <v>14</v>
      </c>
      <c r="W33" s="668">
        <f t="shared" si="14"/>
        <v>100</v>
      </c>
      <c r="X33" s="1265"/>
      <c r="Y33" s="389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892"/>
      <c r="Q34" s="1263">
        <f t="shared" si="11"/>
        <v>111</v>
      </c>
      <c r="R34" s="667" t="s">
        <v>14</v>
      </c>
      <c r="S34" s="668">
        <f t="shared" si="12"/>
        <v>100</v>
      </c>
      <c r="T34" s="667" t="s">
        <v>14</v>
      </c>
      <c r="U34" s="668">
        <f t="shared" si="13"/>
        <v>100</v>
      </c>
      <c r="V34" s="667" t="s">
        <v>14</v>
      </c>
      <c r="W34" s="668">
        <f t="shared" si="14"/>
        <v>100</v>
      </c>
      <c r="X34" s="1265"/>
      <c r="Y34" s="389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892"/>
      <c r="Q35" s="531">
        <f t="shared" si="11"/>
        <v>111</v>
      </c>
      <c r="R35" s="669" t="s">
        <v>14</v>
      </c>
      <c r="S35" s="670">
        <f t="shared" si="12"/>
        <v>100</v>
      </c>
      <c r="T35" s="669" t="s">
        <v>14</v>
      </c>
      <c r="U35" s="670">
        <f t="shared" si="13"/>
        <v>100</v>
      </c>
      <c r="V35" s="669" t="s">
        <v>14</v>
      </c>
      <c r="W35" s="670">
        <f t="shared" si="14"/>
        <v>100</v>
      </c>
      <c r="X35" s="671"/>
      <c r="Y35" s="389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892"/>
      <c r="Q36" s="1263">
        <f t="shared" si="11"/>
        <v>111</v>
      </c>
      <c r="R36" s="667" t="s">
        <v>14</v>
      </c>
      <c r="S36" s="668">
        <f t="shared" si="12"/>
        <v>100</v>
      </c>
      <c r="T36" s="667" t="s">
        <v>14</v>
      </c>
      <c r="U36" s="668">
        <f t="shared" si="13"/>
        <v>100</v>
      </c>
      <c r="V36" s="667" t="s">
        <v>14</v>
      </c>
      <c r="W36" s="668">
        <f t="shared" si="14"/>
        <v>100</v>
      </c>
      <c r="X36" s="1265"/>
      <c r="Y36" s="3892"/>
      <c r="Z36" s="1264">
        <f t="shared" si="15"/>
        <v>111</v>
      </c>
      <c r="AA36" s="1264">
        <f t="shared" si="3"/>
        <v>1</v>
      </c>
      <c r="AB36" s="1264">
        <f t="shared" si="4"/>
        <v>1</v>
      </c>
      <c r="AC36" s="1264">
        <f t="shared" si="5"/>
        <v>1</v>
      </c>
    </row>
    <row r="37" spans="1:29" ht="15">
      <c r="A37" s="416" t="s">
        <v>1844</v>
      </c>
      <c r="B37" s="1821" t="s">
        <v>3351</v>
      </c>
      <c r="C37" s="1081" t="s">
        <v>0</v>
      </c>
      <c r="D37" s="418"/>
      <c r="E37" s="419"/>
      <c r="F37" s="420"/>
      <c r="G37" s="421"/>
      <c r="H37" s="422"/>
      <c r="I37" s="419"/>
      <c r="J37" s="422"/>
      <c r="K37" s="545"/>
      <c r="L37" s="2495"/>
      <c r="M37" s="2488"/>
      <c r="N37" s="2488"/>
      <c r="O37" s="2488"/>
      <c r="P37" s="3885" t="str">
        <f>A37</f>
        <v>成交单价</v>
      </c>
      <c r="Q37" s="3885"/>
      <c r="R37" s="3886">
        <f>E37</f>
        <v>0</v>
      </c>
      <c r="S37" s="3886"/>
      <c r="T37" s="3886">
        <f>G37</f>
        <v>0</v>
      </c>
      <c r="U37" s="3886"/>
      <c r="V37" s="3886">
        <f>I37</f>
        <v>0</v>
      </c>
      <c r="W37" s="388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885" t="str">
        <f>A38</f>
        <v>比较价值（元/平方米）</v>
      </c>
      <c r="Q38" s="3885"/>
      <c r="R38" s="3886" t="e">
        <f>IF(F1="售价",ROUND(PRODUCT(R37,AA7:AA36),0),ROUND(PRODUCT(R37,AA7:AA36),1))</f>
        <v>#DIV/0!</v>
      </c>
      <c r="S38" s="3886"/>
      <c r="T38" s="3886" t="e">
        <f>IF(F1="售价",ROUND(PRODUCT(T37,AB7:AB36),0),ROUND(PRODUCT(T37,AB7:AB36),1))</f>
        <v>#DIV/0!</v>
      </c>
      <c r="U38" s="3886"/>
      <c r="V38" s="3886" t="e">
        <f>IF(F1="售价",ROUND(PRODUCT(V37,AC7:AC36),0),ROUND(PRODUCT(V37,AC7:AC36),1))</f>
        <v>#DIV/0!</v>
      </c>
      <c r="W38" s="388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882" t="str">
        <f>A39</f>
        <v>估价对象XX用房的比较价值（楼面单价，元/平方米）</v>
      </c>
      <c r="Q39" s="3883"/>
      <c r="R39" s="3943" t="e">
        <f>IF(F1="售价",ROUND(IF(D38="简单平均",AVERAGE(R38:W38),R38*F38+T38*H38+V38*J38),0),ROUND(IF(D38="简单平均",AVERAGE(R38:V38),R38*F38+T38*H38+V38*J38),1))</f>
        <v>#DIV/0!</v>
      </c>
      <c r="S39" s="3943"/>
      <c r="T39" s="3943"/>
      <c r="U39" s="3943"/>
      <c r="V39" s="3943"/>
      <c r="W39" s="394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900" t="s">
        <v>1770</v>
      </c>
      <c r="D4" s="3901"/>
      <c r="E4" s="3902" t="s">
        <v>1771</v>
      </c>
      <c r="F4" s="3903"/>
      <c r="G4" s="3900" t="s">
        <v>1772</v>
      </c>
      <c r="H4" s="3901"/>
      <c r="I4" s="3900" t="s">
        <v>1773</v>
      </c>
      <c r="J4" s="3901"/>
      <c r="K4" s="537" t="s">
        <v>1774</v>
      </c>
      <c r="L4" s="2487"/>
      <c r="M4" s="2488"/>
      <c r="N4" s="2488"/>
      <c r="O4" s="2488"/>
      <c r="P4" s="3904" t="s">
        <v>1775</v>
      </c>
      <c r="Q4" s="3905"/>
      <c r="R4" s="3910" t="s">
        <v>1771</v>
      </c>
      <c r="S4" s="3911"/>
      <c r="T4" s="3910" t="s">
        <v>1772</v>
      </c>
      <c r="U4" s="3911"/>
      <c r="V4" s="3886" t="s">
        <v>1773</v>
      </c>
      <c r="W4" s="3886"/>
      <c r="X4" s="1265"/>
      <c r="Y4" s="3910" t="s">
        <v>1775</v>
      </c>
      <c r="Z4" s="3911"/>
      <c r="AA4" s="3897" t="s">
        <v>1771</v>
      </c>
      <c r="AB4" s="3898" t="s">
        <v>1772</v>
      </c>
      <c r="AC4" s="3897" t="s">
        <v>1773</v>
      </c>
    </row>
    <row r="5" spans="1:29" ht="15">
      <c r="A5" s="348"/>
      <c r="B5" s="349"/>
      <c r="C5" s="3918" t="s">
        <v>1673</v>
      </c>
      <c r="D5" s="3919"/>
      <c r="E5" s="3925" t="s">
        <v>1674</v>
      </c>
      <c r="F5" s="3926"/>
      <c r="G5" s="3918" t="s">
        <v>1675</v>
      </c>
      <c r="H5" s="3919"/>
      <c r="I5" s="3918" t="s">
        <v>1676</v>
      </c>
      <c r="J5" s="3919"/>
      <c r="K5" s="537"/>
      <c r="L5" s="2487"/>
      <c r="M5" s="2488"/>
      <c r="N5" s="2488"/>
      <c r="O5" s="2488"/>
      <c r="P5" s="3906"/>
      <c r="Q5" s="3907"/>
      <c r="R5" s="3912"/>
      <c r="S5" s="3913"/>
      <c r="T5" s="3912"/>
      <c r="U5" s="3913"/>
      <c r="V5" s="3886"/>
      <c r="W5" s="3886"/>
      <c r="X5" s="1265"/>
      <c r="Y5" s="3912"/>
      <c r="Z5" s="3913"/>
      <c r="AA5" s="3898"/>
      <c r="AB5" s="3898"/>
      <c r="AC5" s="3898"/>
    </row>
    <row r="6" spans="1:29" ht="15.75" thickBot="1">
      <c r="A6" s="350"/>
      <c r="B6" s="351"/>
      <c r="C6" s="3916" t="s">
        <v>1677</v>
      </c>
      <c r="D6" s="3917"/>
      <c r="E6" s="3923" t="s">
        <v>1677</v>
      </c>
      <c r="F6" s="3924"/>
      <c r="G6" s="3916" t="s">
        <v>1677</v>
      </c>
      <c r="H6" s="3917"/>
      <c r="I6" s="3916" t="s">
        <v>1677</v>
      </c>
      <c r="J6" s="3917"/>
      <c r="K6" s="537" t="s">
        <v>1678</v>
      </c>
      <c r="L6" s="2487"/>
      <c r="M6" s="2488"/>
      <c r="N6" s="2488"/>
      <c r="O6" s="2488"/>
      <c r="P6" s="3908"/>
      <c r="Q6" s="3909"/>
      <c r="R6" s="3912"/>
      <c r="S6" s="3913"/>
      <c r="T6" s="3914"/>
      <c r="U6" s="3915"/>
      <c r="V6" s="3886"/>
      <c r="W6" s="3886"/>
      <c r="X6" s="1265"/>
      <c r="Y6" s="3914"/>
      <c r="Z6" s="3915"/>
      <c r="AA6" s="3899"/>
      <c r="AB6" s="3899"/>
      <c r="AC6" s="3899"/>
    </row>
    <row r="7" spans="1:29" s="102" customFormat="1" ht="15.75" thickBot="1">
      <c r="A7" s="352" t="s">
        <v>1679</v>
      </c>
      <c r="B7" s="353"/>
      <c r="C7" s="354">
        <f>'数据-取费表'!B2</f>
        <v>45995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920" t="s">
        <v>1680</v>
      </c>
      <c r="Q7" s="3922"/>
      <c r="R7" s="664" t="s">
        <v>14</v>
      </c>
      <c r="S7" s="665">
        <f t="shared" ref="S7:S15" si="0">F7</f>
        <v>0</v>
      </c>
      <c r="T7" s="664" t="s">
        <v>14</v>
      </c>
      <c r="U7" s="665">
        <f t="shared" ref="U7:U15" si="1">H7</f>
        <v>0</v>
      </c>
      <c r="V7" s="664" t="s">
        <v>14</v>
      </c>
      <c r="W7" s="665">
        <f t="shared" ref="W7:W15" si="2">J7</f>
        <v>0</v>
      </c>
      <c r="X7" s="666"/>
      <c r="Y7" s="3920" t="s">
        <v>1680</v>
      </c>
      <c r="Z7" s="392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920" t="s">
        <v>1683</v>
      </c>
      <c r="Q8" s="3921"/>
      <c r="R8" s="664" t="s">
        <v>14</v>
      </c>
      <c r="S8" s="665">
        <f t="shared" si="0"/>
        <v>0</v>
      </c>
      <c r="T8" s="664" t="s">
        <v>14</v>
      </c>
      <c r="U8" s="665">
        <f t="shared" si="1"/>
        <v>0</v>
      </c>
      <c r="V8" s="664" t="s">
        <v>14</v>
      </c>
      <c r="W8" s="665">
        <f t="shared" si="2"/>
        <v>0</v>
      </c>
      <c r="X8" s="666"/>
      <c r="Y8" s="3920" t="s">
        <v>1683</v>
      </c>
      <c r="Z8" s="392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885" t="s">
        <v>1686</v>
      </c>
      <c r="Q9" s="530" t="str">
        <f t="shared" ref="Q9:Q15" si="6">B9</f>
        <v>用途</v>
      </c>
      <c r="R9" s="664" t="s">
        <v>14</v>
      </c>
      <c r="S9" s="665">
        <f t="shared" si="0"/>
        <v>100</v>
      </c>
      <c r="T9" s="664" t="s">
        <v>14</v>
      </c>
      <c r="U9" s="665">
        <f t="shared" si="1"/>
        <v>100</v>
      </c>
      <c r="V9" s="664" t="s">
        <v>14</v>
      </c>
      <c r="W9" s="665">
        <f t="shared" si="2"/>
        <v>100</v>
      </c>
      <c r="X9" s="666"/>
      <c r="Y9" s="371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90"/>
      <c r="M10" s="2491"/>
      <c r="N10" s="2491"/>
      <c r="O10" s="2542"/>
      <c r="P10" s="3885"/>
      <c r="Q10" s="530" t="str">
        <f t="shared" si="6"/>
        <v>土地使用年限（年）</v>
      </c>
      <c r="R10" s="664" t="s">
        <v>14</v>
      </c>
      <c r="S10" s="665">
        <f t="shared" si="0"/>
        <v>100</v>
      </c>
      <c r="T10" s="664" t="s">
        <v>14</v>
      </c>
      <c r="U10" s="665">
        <f t="shared" si="1"/>
        <v>100</v>
      </c>
      <c r="V10" s="664" t="s">
        <v>14</v>
      </c>
      <c r="W10" s="665">
        <f t="shared" si="2"/>
        <v>100</v>
      </c>
      <c r="X10" s="666"/>
      <c r="Y10" s="371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885"/>
      <c r="Q11" s="530" t="str">
        <f t="shared" si="6"/>
        <v>容积率</v>
      </c>
      <c r="R11" s="664" t="s">
        <v>14</v>
      </c>
      <c r="S11" s="665" t="e">
        <f t="shared" si="0"/>
        <v>#N/A</v>
      </c>
      <c r="T11" s="664" t="s">
        <v>14</v>
      </c>
      <c r="U11" s="665" t="e">
        <f t="shared" si="1"/>
        <v>#N/A</v>
      </c>
      <c r="V11" s="664" t="s">
        <v>14</v>
      </c>
      <c r="W11" s="665" t="e">
        <f t="shared" si="2"/>
        <v>#N/A</v>
      </c>
      <c r="X11" s="666"/>
      <c r="Y11" s="371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885"/>
      <c r="Q12" s="530" t="str">
        <f t="shared" si="6"/>
        <v>配建</v>
      </c>
      <c r="R12" s="664" t="s">
        <v>14</v>
      </c>
      <c r="S12" s="665">
        <f t="shared" si="0"/>
        <v>100</v>
      </c>
      <c r="T12" s="664" t="s">
        <v>14</v>
      </c>
      <c r="U12" s="665">
        <f t="shared" si="1"/>
        <v>100</v>
      </c>
      <c r="V12" s="664" t="s">
        <v>14</v>
      </c>
      <c r="W12" s="665">
        <f t="shared" si="2"/>
        <v>100</v>
      </c>
      <c r="X12" s="666"/>
      <c r="Y12" s="371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885"/>
      <c r="Q13" s="530">
        <f t="shared" si="6"/>
        <v>111</v>
      </c>
      <c r="R13" s="664" t="s">
        <v>14</v>
      </c>
      <c r="S13" s="665">
        <f t="shared" si="0"/>
        <v>100</v>
      </c>
      <c r="T13" s="664" t="s">
        <v>14</v>
      </c>
      <c r="U13" s="665">
        <f t="shared" si="1"/>
        <v>100</v>
      </c>
      <c r="V13" s="664" t="s">
        <v>14</v>
      </c>
      <c r="W13" s="665">
        <f t="shared" si="2"/>
        <v>100</v>
      </c>
      <c r="X13" s="666"/>
      <c r="Y13" s="371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885"/>
      <c r="Q14" s="530">
        <f t="shared" si="6"/>
        <v>111</v>
      </c>
      <c r="R14" s="664" t="s">
        <v>14</v>
      </c>
      <c r="S14" s="665">
        <f t="shared" si="0"/>
        <v>100</v>
      </c>
      <c r="T14" s="664" t="s">
        <v>14</v>
      </c>
      <c r="U14" s="665">
        <f t="shared" si="1"/>
        <v>100</v>
      </c>
      <c r="V14" s="664" t="s">
        <v>14</v>
      </c>
      <c r="W14" s="665">
        <f t="shared" si="2"/>
        <v>100</v>
      </c>
      <c r="X14" s="666"/>
      <c r="Y14" s="371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887" t="s">
        <v>1691</v>
      </c>
      <c r="Q15" s="1263" t="str">
        <f t="shared" si="6"/>
        <v>居住社区成熟度</v>
      </c>
      <c r="R15" s="667" t="s">
        <v>14</v>
      </c>
      <c r="S15" s="668">
        <f t="shared" si="0"/>
        <v>100</v>
      </c>
      <c r="T15" s="667" t="s">
        <v>14</v>
      </c>
      <c r="U15" s="668">
        <f t="shared" si="1"/>
        <v>100</v>
      </c>
      <c r="V15" s="667" t="s">
        <v>14</v>
      </c>
      <c r="W15" s="668">
        <f t="shared" si="2"/>
        <v>100</v>
      </c>
      <c r="X15" s="1265"/>
      <c r="Y15" s="388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888"/>
      <c r="Q16" s="1263"/>
      <c r="R16" s="667"/>
      <c r="S16" s="668"/>
      <c r="T16" s="667"/>
      <c r="U16" s="668"/>
      <c r="V16" s="667"/>
      <c r="W16" s="668"/>
      <c r="X16" s="1265"/>
      <c r="Y16" s="3888"/>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888"/>
      <c r="Q17" s="1263" t="str">
        <f>B17</f>
        <v>商业繁华度</v>
      </c>
      <c r="R17" s="667" t="s">
        <v>14</v>
      </c>
      <c r="S17" s="668">
        <f>F17</f>
        <v>100</v>
      </c>
      <c r="T17" s="667" t="s">
        <v>14</v>
      </c>
      <c r="U17" s="668">
        <f>H17</f>
        <v>100</v>
      </c>
      <c r="V17" s="667" t="s">
        <v>14</v>
      </c>
      <c r="W17" s="668">
        <f>J17</f>
        <v>100</v>
      </c>
      <c r="X17" s="1265"/>
      <c r="Y17" s="388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888"/>
      <c r="Q18" s="1263"/>
      <c r="R18" s="667"/>
      <c r="S18" s="668"/>
      <c r="T18" s="667"/>
      <c r="U18" s="668"/>
      <c r="V18" s="667"/>
      <c r="W18" s="668"/>
      <c r="X18" s="1265"/>
      <c r="Y18" s="3888"/>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888"/>
      <c r="Q19" s="1263" t="str">
        <f>B19</f>
        <v>办公集聚程度</v>
      </c>
      <c r="R19" s="667" t="s">
        <v>14</v>
      </c>
      <c r="S19" s="668">
        <f>F19</f>
        <v>100</v>
      </c>
      <c r="T19" s="667" t="s">
        <v>14</v>
      </c>
      <c r="U19" s="668">
        <f>H19</f>
        <v>100</v>
      </c>
      <c r="V19" s="667" t="s">
        <v>14</v>
      </c>
      <c r="W19" s="668">
        <f>J19</f>
        <v>100</v>
      </c>
      <c r="X19" s="1265"/>
      <c r="Y19" s="388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888"/>
      <c r="Q20" s="1263"/>
      <c r="R20" s="667"/>
      <c r="S20" s="668"/>
      <c r="T20" s="667"/>
      <c r="U20" s="668"/>
      <c r="V20" s="667"/>
      <c r="W20" s="668"/>
      <c r="X20" s="1265"/>
      <c r="Y20" s="3888"/>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888"/>
      <c r="Q21" s="1263" t="str">
        <f>B21</f>
        <v>交通便捷度</v>
      </c>
      <c r="R21" s="667" t="s">
        <v>14</v>
      </c>
      <c r="S21" s="668">
        <f>F21</f>
        <v>100</v>
      </c>
      <c r="T21" s="667" t="s">
        <v>14</v>
      </c>
      <c r="U21" s="668">
        <f>H21</f>
        <v>100</v>
      </c>
      <c r="V21" s="667" t="s">
        <v>14</v>
      </c>
      <c r="W21" s="668">
        <f>J21</f>
        <v>100</v>
      </c>
      <c r="X21" s="1265"/>
      <c r="Y21" s="388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888"/>
      <c r="Q22" s="1263"/>
      <c r="R22" s="667"/>
      <c r="S22" s="668"/>
      <c r="T22" s="667"/>
      <c r="U22" s="668"/>
      <c r="V22" s="667"/>
      <c r="W22" s="668"/>
      <c r="X22" s="1265"/>
      <c r="Y22" s="388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888"/>
      <c r="Q23" s="1263" t="str">
        <f t="shared" ref="Q23:Q37" si="8">B23</f>
        <v>区域土地利用方向</v>
      </c>
      <c r="R23" s="667" t="s">
        <v>14</v>
      </c>
      <c r="S23" s="668">
        <f>F23</f>
        <v>100</v>
      </c>
      <c r="T23" s="667" t="s">
        <v>14</v>
      </c>
      <c r="U23" s="668">
        <f>H23</f>
        <v>100</v>
      </c>
      <c r="V23" s="667" t="s">
        <v>14</v>
      </c>
      <c r="W23" s="668">
        <f>J23</f>
        <v>100</v>
      </c>
      <c r="X23" s="1265"/>
      <c r="Y23" s="388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888"/>
      <c r="Q24" s="1263"/>
      <c r="R24" s="667"/>
      <c r="S24" s="668"/>
      <c r="T24" s="667"/>
      <c r="U24" s="668"/>
      <c r="V24" s="667"/>
      <c r="W24" s="668"/>
      <c r="X24" s="1265"/>
      <c r="Y24" s="3888"/>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888"/>
      <c r="Q25" s="1263" t="str">
        <f t="shared" si="8"/>
        <v>自然及人文环境状况</v>
      </c>
      <c r="R25" s="667" t="s">
        <v>14</v>
      </c>
      <c r="S25" s="668">
        <f>F25</f>
        <v>100</v>
      </c>
      <c r="T25" s="667" t="s">
        <v>14</v>
      </c>
      <c r="U25" s="668">
        <f>H25</f>
        <v>100</v>
      </c>
      <c r="V25" s="667" t="s">
        <v>14</v>
      </c>
      <c r="W25" s="668">
        <f>J25</f>
        <v>100</v>
      </c>
      <c r="X25" s="1265"/>
      <c r="Y25" s="388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888"/>
      <c r="Q26" s="1263"/>
      <c r="R26" s="667"/>
      <c r="S26" s="668"/>
      <c r="T26" s="667"/>
      <c r="U26" s="668"/>
      <c r="V26" s="667"/>
      <c r="W26" s="668"/>
      <c r="X26" s="1265"/>
      <c r="Y26" s="3888"/>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888"/>
      <c r="Q27" s="530" t="str">
        <f t="shared" si="8"/>
        <v>公共配套设施</v>
      </c>
      <c r="R27" s="664" t="s">
        <v>14</v>
      </c>
      <c r="S27" s="665">
        <f>F27</f>
        <v>100</v>
      </c>
      <c r="T27" s="664" t="s">
        <v>14</v>
      </c>
      <c r="U27" s="665">
        <f>H27</f>
        <v>100</v>
      </c>
      <c r="V27" s="664" t="s">
        <v>14</v>
      </c>
      <c r="W27" s="665">
        <f>J27</f>
        <v>100</v>
      </c>
      <c r="X27" s="666"/>
      <c r="Y27" s="388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888"/>
      <c r="Q28" s="530"/>
      <c r="R28" s="664"/>
      <c r="S28" s="665"/>
      <c r="T28" s="664"/>
      <c r="U28" s="665"/>
      <c r="V28" s="664"/>
      <c r="W28" s="665"/>
      <c r="X28" s="666"/>
      <c r="Y28" s="388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888"/>
      <c r="Q29" s="530" t="str">
        <f t="shared" ref="Q29" si="9">B29</f>
        <v>基础设施水平</v>
      </c>
      <c r="R29" s="664" t="s">
        <v>14</v>
      </c>
      <c r="S29" s="665">
        <f>F29</f>
        <v>100</v>
      </c>
      <c r="T29" s="664" t="s">
        <v>14</v>
      </c>
      <c r="U29" s="665">
        <f>H29</f>
        <v>100</v>
      </c>
      <c r="V29" s="664" t="s">
        <v>14</v>
      </c>
      <c r="W29" s="665">
        <f>J29</f>
        <v>100</v>
      </c>
      <c r="X29" s="666"/>
      <c r="Y29" s="388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888"/>
      <c r="Q30" s="530"/>
      <c r="R30" s="664"/>
      <c r="S30" s="665"/>
      <c r="T30" s="664"/>
      <c r="U30" s="665"/>
      <c r="V30" s="664"/>
      <c r="W30" s="665"/>
      <c r="X30" s="666"/>
      <c r="Y30" s="388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88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88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888"/>
      <c r="Q32" s="1263" t="str">
        <f t="shared" si="8"/>
        <v>毗邻道路的类型与等级</v>
      </c>
      <c r="R32" s="667" t="s">
        <v>14</v>
      </c>
      <c r="S32" s="668">
        <f t="shared" si="10"/>
        <v>100</v>
      </c>
      <c r="T32" s="667" t="s">
        <v>14</v>
      </c>
      <c r="U32" s="668">
        <f t="shared" si="11"/>
        <v>100</v>
      </c>
      <c r="V32" s="667" t="s">
        <v>14</v>
      </c>
      <c r="W32" s="668">
        <f t="shared" si="12"/>
        <v>100</v>
      </c>
      <c r="X32" s="1265"/>
      <c r="Y32" s="388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888"/>
      <c r="Q33" s="1263"/>
      <c r="R33" s="667"/>
      <c r="S33" s="668"/>
      <c r="T33" s="667"/>
      <c r="U33" s="668"/>
      <c r="V33" s="667"/>
      <c r="W33" s="668"/>
      <c r="X33" s="1265"/>
      <c r="Y33" s="388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888"/>
      <c r="Q34" s="1263" t="str">
        <f t="shared" si="8"/>
        <v>土地级别</v>
      </c>
      <c r="R34" s="667" t="s">
        <v>14</v>
      </c>
      <c r="S34" s="668">
        <f t="shared" si="10"/>
        <v>100</v>
      </c>
      <c r="T34" s="667" t="s">
        <v>14</v>
      </c>
      <c r="U34" s="668">
        <f t="shared" si="11"/>
        <v>100</v>
      </c>
      <c r="V34" s="667" t="s">
        <v>14</v>
      </c>
      <c r="W34" s="668">
        <f t="shared" si="12"/>
        <v>100</v>
      </c>
      <c r="X34" s="1265"/>
      <c r="Y34" s="388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888"/>
      <c r="Q35" s="1263">
        <f t="shared" si="8"/>
        <v>111</v>
      </c>
      <c r="R35" s="667" t="s">
        <v>14</v>
      </c>
      <c r="S35" s="668">
        <f t="shared" si="10"/>
        <v>100</v>
      </c>
      <c r="T35" s="667" t="s">
        <v>14</v>
      </c>
      <c r="U35" s="668">
        <f t="shared" si="11"/>
        <v>100</v>
      </c>
      <c r="V35" s="667" t="s">
        <v>14</v>
      </c>
      <c r="W35" s="668">
        <f t="shared" si="12"/>
        <v>100</v>
      </c>
      <c r="X35" s="1265"/>
      <c r="Y35" s="388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942" t="s">
        <v>1696</v>
      </c>
      <c r="Q36" s="1263">
        <f t="shared" si="8"/>
        <v>111</v>
      </c>
      <c r="R36" s="667" t="s">
        <v>14</v>
      </c>
      <c r="S36" s="668">
        <f t="shared" si="10"/>
        <v>100</v>
      </c>
      <c r="T36" s="667" t="s">
        <v>14</v>
      </c>
      <c r="U36" s="668">
        <f t="shared" si="11"/>
        <v>100</v>
      </c>
      <c r="V36" s="667" t="s">
        <v>14</v>
      </c>
      <c r="W36" s="668">
        <f t="shared" si="12"/>
        <v>100</v>
      </c>
      <c r="X36" s="1265"/>
      <c r="Y36" s="389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892"/>
      <c r="Q37" s="1263">
        <f t="shared" si="8"/>
        <v>111</v>
      </c>
      <c r="R37" s="669" t="s">
        <v>14</v>
      </c>
      <c r="S37" s="670">
        <f t="shared" si="10"/>
        <v>100</v>
      </c>
      <c r="T37" s="669" t="s">
        <v>14</v>
      </c>
      <c r="U37" s="670">
        <f t="shared" si="11"/>
        <v>100</v>
      </c>
      <c r="V37" s="669" t="s">
        <v>14</v>
      </c>
      <c r="W37" s="670">
        <f t="shared" si="12"/>
        <v>100</v>
      </c>
      <c r="X37" s="671"/>
      <c r="Y37" s="389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892"/>
      <c r="Q38" s="1263" t="str">
        <f>B38</f>
        <v>宗地面积</v>
      </c>
      <c r="R38" s="667" t="s">
        <v>14</v>
      </c>
      <c r="S38" s="668" t="e">
        <f t="shared" si="10"/>
        <v>#N/A</v>
      </c>
      <c r="T38" s="667" t="s">
        <v>14</v>
      </c>
      <c r="U38" s="668" t="e">
        <f t="shared" si="11"/>
        <v>#N/A</v>
      </c>
      <c r="V38" s="667" t="s">
        <v>14</v>
      </c>
      <c r="W38" s="668" t="e">
        <f t="shared" si="12"/>
        <v>#N/A</v>
      </c>
      <c r="X38" s="1265"/>
      <c r="Y38" s="389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892"/>
      <c r="Q39" s="1263" t="str">
        <f t="shared" ref="Q39:Q45" si="14">B39</f>
        <v>宗地形状</v>
      </c>
      <c r="R39" s="667" t="s">
        <v>14</v>
      </c>
      <c r="S39" s="668">
        <f t="shared" si="10"/>
        <v>100</v>
      </c>
      <c r="T39" s="667" t="s">
        <v>14</v>
      </c>
      <c r="U39" s="668">
        <f t="shared" si="11"/>
        <v>100</v>
      </c>
      <c r="V39" s="667" t="s">
        <v>14</v>
      </c>
      <c r="W39" s="668">
        <f t="shared" si="12"/>
        <v>100</v>
      </c>
      <c r="X39" s="1265"/>
      <c r="Y39" s="389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892"/>
      <c r="Q40" s="1263" t="str">
        <f t="shared" si="14"/>
        <v>临街宽度及深度</v>
      </c>
      <c r="R40" s="667" t="s">
        <v>14</v>
      </c>
      <c r="S40" s="668">
        <f t="shared" si="10"/>
        <v>100</v>
      </c>
      <c r="T40" s="667" t="s">
        <v>14</v>
      </c>
      <c r="U40" s="668">
        <f t="shared" si="11"/>
        <v>100</v>
      </c>
      <c r="V40" s="667" t="s">
        <v>14</v>
      </c>
      <c r="W40" s="668">
        <f t="shared" si="12"/>
        <v>100</v>
      </c>
      <c r="X40" s="1265"/>
      <c r="Y40" s="389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892"/>
      <c r="Q41" s="1263" t="str">
        <f t="shared" si="14"/>
        <v>宗地开发程度</v>
      </c>
      <c r="R41" s="664" t="s">
        <v>14</v>
      </c>
      <c r="S41" s="665">
        <f t="shared" si="10"/>
        <v>100</v>
      </c>
      <c r="T41" s="664" t="s">
        <v>14</v>
      </c>
      <c r="U41" s="665">
        <f t="shared" si="11"/>
        <v>100</v>
      </c>
      <c r="V41" s="664" t="s">
        <v>14</v>
      </c>
      <c r="W41" s="665">
        <f t="shared" si="12"/>
        <v>100</v>
      </c>
      <c r="X41" s="666"/>
      <c r="Y41" s="389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892" t="s">
        <v>1696</v>
      </c>
      <c r="Q42" s="1263" t="str">
        <f t="shared" si="14"/>
        <v>工程地质条件</v>
      </c>
      <c r="R42" s="667" t="s">
        <v>14</v>
      </c>
      <c r="S42" s="668">
        <f t="shared" si="10"/>
        <v>100</v>
      </c>
      <c r="T42" s="667" t="s">
        <v>14</v>
      </c>
      <c r="U42" s="668">
        <f t="shared" si="11"/>
        <v>100</v>
      </c>
      <c r="V42" s="667" t="s">
        <v>14</v>
      </c>
      <c r="W42" s="668">
        <f t="shared" si="12"/>
        <v>100</v>
      </c>
      <c r="X42" s="1265"/>
      <c r="Y42" s="389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892"/>
      <c r="Q43" s="1263">
        <f t="shared" si="14"/>
        <v>111</v>
      </c>
      <c r="R43" s="667" t="s">
        <v>14</v>
      </c>
      <c r="S43" s="668">
        <f t="shared" si="10"/>
        <v>100</v>
      </c>
      <c r="T43" s="667" t="s">
        <v>14</v>
      </c>
      <c r="U43" s="668">
        <f t="shared" si="11"/>
        <v>100</v>
      </c>
      <c r="V43" s="667" t="s">
        <v>14</v>
      </c>
      <c r="W43" s="668">
        <f t="shared" si="12"/>
        <v>100</v>
      </c>
      <c r="X43" s="1265"/>
      <c r="Y43" s="389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892"/>
      <c r="Q44" s="1263">
        <f t="shared" si="14"/>
        <v>111</v>
      </c>
      <c r="R44" s="667" t="s">
        <v>14</v>
      </c>
      <c r="S44" s="668">
        <f t="shared" si="10"/>
        <v>100</v>
      </c>
      <c r="T44" s="667" t="s">
        <v>14</v>
      </c>
      <c r="U44" s="668">
        <f t="shared" si="11"/>
        <v>100</v>
      </c>
      <c r="V44" s="667" t="s">
        <v>14</v>
      </c>
      <c r="W44" s="668">
        <f t="shared" si="12"/>
        <v>100</v>
      </c>
      <c r="X44" s="1265"/>
      <c r="Y44" s="389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892"/>
      <c r="Q45" s="1263">
        <f t="shared" si="14"/>
        <v>111</v>
      </c>
      <c r="R45" s="669" t="s">
        <v>14</v>
      </c>
      <c r="S45" s="670">
        <f t="shared" si="10"/>
        <v>100</v>
      </c>
      <c r="T45" s="669" t="s">
        <v>14</v>
      </c>
      <c r="U45" s="670">
        <f t="shared" si="11"/>
        <v>100</v>
      </c>
      <c r="V45" s="669" t="s">
        <v>14</v>
      </c>
      <c r="W45" s="670">
        <f t="shared" si="12"/>
        <v>100</v>
      </c>
      <c r="X45" s="671"/>
      <c r="Y45" s="389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885" t="str">
        <f>A46</f>
        <v>成交单价</v>
      </c>
      <c r="Q46" s="3885"/>
      <c r="R46" s="3886">
        <f>E46</f>
        <v>0</v>
      </c>
      <c r="S46" s="3886"/>
      <c r="T46" s="3886">
        <f>G46</f>
        <v>0</v>
      </c>
      <c r="U46" s="3886"/>
      <c r="V46" s="3886">
        <f>I46</f>
        <v>0</v>
      </c>
      <c r="W46" s="388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885" t="str">
        <f>A47</f>
        <v>比较价值（元/平方米）</v>
      </c>
      <c r="Q47" s="3885"/>
      <c r="R47" s="3944" t="e">
        <f>ROUND(PRODUCT(R46,AA7:AA45),0)</f>
        <v>#DIV/0!</v>
      </c>
      <c r="S47" s="3944"/>
      <c r="T47" s="3944" t="e">
        <f>ROUND(PRODUCT(T46,AB7:AB45),0)</f>
        <v>#DIV/0!</v>
      </c>
      <c r="U47" s="3944"/>
      <c r="V47" s="3944" t="e">
        <f>ROUND(PRODUCT(V46,AC7:AC45),0)</f>
        <v>#DIV/0!</v>
      </c>
      <c r="W47" s="394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882" t="str">
        <f>A48</f>
        <v>估价对象XX用房的比较价值（楼面单价，元/平方米）</v>
      </c>
      <c r="Q48" s="3883"/>
      <c r="R48" s="3945" t="e">
        <f>ROUND(IF(D47="简单平均",AVERAGE(R47:W47),R47*F47+T47*H47+V47*J47),0)</f>
        <v>#DIV/0!</v>
      </c>
      <c r="S48" s="3945"/>
      <c r="T48" s="3945"/>
      <c r="U48" s="3945"/>
      <c r="V48" s="3945"/>
      <c r="W48" s="394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900" t="s">
        <v>1887</v>
      </c>
      <c r="H55" s="394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34587.24</v>
      </c>
      <c r="F56" s="833" t="e">
        <f t="shared" ref="F56:F64" si="15">ROUND(B56*E56/10000,0)</f>
        <v>#DIV/0!</v>
      </c>
      <c r="G56" s="3896"/>
      <c r="H56" s="388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5074.3600000000006</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0.1</v>
      </c>
      <c r="D62" s="891">
        <v>0.25</v>
      </c>
      <c r="E62" s="209">
        <f>'数据-汇总表'!E13</f>
        <v>8436.1</v>
      </c>
      <c r="F62" s="833" t="e">
        <f t="shared" si="15"/>
        <v>#DIV/0!</v>
      </c>
      <c r="G62" s="839" t="s">
        <v>1900</v>
      </c>
      <c r="H62" s="834" t="str">
        <f>IF(G62="商业",项目基本情况!B37,IF(G62="办公",项目基本情况!C37,IF(G62="住宅",项目基本情况!D37,项目基本情况!E37)))</f>
        <v>九级</v>
      </c>
      <c r="I62" s="838">
        <f>SUMIF(修正!A59:A70,H62,修正!G59:G70)</f>
        <v>0.1</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48097.7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900" t="s">
        <v>1770</v>
      </c>
      <c r="D4" s="3901"/>
      <c r="E4" s="3902" t="s">
        <v>1771</v>
      </c>
      <c r="F4" s="3903"/>
      <c r="G4" s="3900" t="s">
        <v>1772</v>
      </c>
      <c r="H4" s="3901"/>
      <c r="I4" s="3900" t="s">
        <v>1773</v>
      </c>
      <c r="J4" s="3901"/>
      <c r="K4" s="537" t="s">
        <v>1774</v>
      </c>
      <c r="L4" s="2487"/>
      <c r="M4" s="2488"/>
      <c r="N4" s="2488"/>
      <c r="O4" s="2488"/>
      <c r="P4" s="3904" t="s">
        <v>1775</v>
      </c>
      <c r="Q4" s="3905"/>
      <c r="R4" s="3910" t="s">
        <v>1771</v>
      </c>
      <c r="S4" s="3911"/>
      <c r="T4" s="3910" t="s">
        <v>1772</v>
      </c>
      <c r="U4" s="3911"/>
      <c r="V4" s="3886" t="s">
        <v>1773</v>
      </c>
      <c r="W4" s="3886"/>
      <c r="X4" s="1265"/>
      <c r="Y4" s="3910" t="s">
        <v>1775</v>
      </c>
      <c r="Z4" s="3911"/>
      <c r="AA4" s="3897" t="s">
        <v>1771</v>
      </c>
      <c r="AB4" s="3898" t="s">
        <v>1772</v>
      </c>
      <c r="AC4" s="3897" t="s">
        <v>1773</v>
      </c>
    </row>
    <row r="5" spans="1:29" ht="15">
      <c r="A5" s="348"/>
      <c r="B5" s="349"/>
      <c r="C5" s="3918" t="s">
        <v>1673</v>
      </c>
      <c r="D5" s="3919"/>
      <c r="E5" s="3925" t="s">
        <v>1674</v>
      </c>
      <c r="F5" s="3926"/>
      <c r="G5" s="3918" t="s">
        <v>1675</v>
      </c>
      <c r="H5" s="3919"/>
      <c r="I5" s="3918" t="s">
        <v>1676</v>
      </c>
      <c r="J5" s="3919"/>
      <c r="K5" s="537"/>
      <c r="L5" s="2487"/>
      <c r="M5" s="2488"/>
      <c r="N5" s="2488"/>
      <c r="O5" s="2488"/>
      <c r="P5" s="3906"/>
      <c r="Q5" s="3907"/>
      <c r="R5" s="3912"/>
      <c r="S5" s="3913"/>
      <c r="T5" s="3912"/>
      <c r="U5" s="3913"/>
      <c r="V5" s="3886"/>
      <c r="W5" s="3886"/>
      <c r="X5" s="1265"/>
      <c r="Y5" s="3912"/>
      <c r="Z5" s="3913"/>
      <c r="AA5" s="3898"/>
      <c r="AB5" s="3898"/>
      <c r="AC5" s="3898"/>
    </row>
    <row r="6" spans="1:29" ht="15.75" thickBot="1">
      <c r="A6" s="350"/>
      <c r="B6" s="351"/>
      <c r="C6" s="3947" t="s">
        <v>1919</v>
      </c>
      <c r="D6" s="3948"/>
      <c r="E6" s="3949" t="s">
        <v>1919</v>
      </c>
      <c r="F6" s="3950"/>
      <c r="G6" s="3947" t="s">
        <v>1919</v>
      </c>
      <c r="H6" s="3948"/>
      <c r="I6" s="3947" t="s">
        <v>1919</v>
      </c>
      <c r="J6" s="3948"/>
      <c r="K6" s="537" t="s">
        <v>1678</v>
      </c>
      <c r="L6" s="2487"/>
      <c r="M6" s="2488"/>
      <c r="N6" s="2488"/>
      <c r="O6" s="2488"/>
      <c r="P6" s="3908"/>
      <c r="Q6" s="3909"/>
      <c r="R6" s="3912"/>
      <c r="S6" s="3913"/>
      <c r="T6" s="3914"/>
      <c r="U6" s="3915"/>
      <c r="V6" s="3886"/>
      <c r="W6" s="3886"/>
      <c r="X6" s="1265"/>
      <c r="Y6" s="3914"/>
      <c r="Z6" s="3915"/>
      <c r="AA6" s="3899"/>
      <c r="AB6" s="3899"/>
      <c r="AC6" s="3899"/>
    </row>
    <row r="7" spans="1:29" s="102" customFormat="1" ht="15.75" thickBot="1">
      <c r="A7" s="352" t="s">
        <v>1679</v>
      </c>
      <c r="B7" s="353"/>
      <c r="C7" s="354">
        <f>'数据-取费表'!B2</f>
        <v>45995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920" t="s">
        <v>1680</v>
      </c>
      <c r="Q7" s="3922"/>
      <c r="R7" s="664" t="s">
        <v>14</v>
      </c>
      <c r="S7" s="665">
        <f t="shared" ref="S7:S15" si="0">F7</f>
        <v>0</v>
      </c>
      <c r="T7" s="664" t="s">
        <v>14</v>
      </c>
      <c r="U7" s="665">
        <f t="shared" ref="U7:U15" si="1">H7</f>
        <v>0</v>
      </c>
      <c r="V7" s="664" t="s">
        <v>14</v>
      </c>
      <c r="W7" s="665">
        <f t="shared" ref="W7:W15" si="2">J7</f>
        <v>0</v>
      </c>
      <c r="X7" s="666"/>
      <c r="Y7" s="3920" t="s">
        <v>1680</v>
      </c>
      <c r="Z7" s="392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920" t="s">
        <v>1683</v>
      </c>
      <c r="Q8" s="3921"/>
      <c r="R8" s="664" t="s">
        <v>14</v>
      </c>
      <c r="S8" s="665">
        <f t="shared" si="0"/>
        <v>0</v>
      </c>
      <c r="T8" s="664" t="s">
        <v>14</v>
      </c>
      <c r="U8" s="665">
        <f t="shared" si="1"/>
        <v>0</v>
      </c>
      <c r="V8" s="664" t="s">
        <v>14</v>
      </c>
      <c r="W8" s="665">
        <f t="shared" si="2"/>
        <v>0</v>
      </c>
      <c r="X8" s="666"/>
      <c r="Y8" s="3920" t="s">
        <v>1683</v>
      </c>
      <c r="Z8" s="392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885" t="s">
        <v>1686</v>
      </c>
      <c r="Q9" s="530" t="str">
        <f t="shared" ref="Q9:Q15" si="6">B9</f>
        <v>用途</v>
      </c>
      <c r="R9" s="664" t="s">
        <v>14</v>
      </c>
      <c r="S9" s="665">
        <f t="shared" si="0"/>
        <v>100</v>
      </c>
      <c r="T9" s="664" t="s">
        <v>14</v>
      </c>
      <c r="U9" s="665">
        <f t="shared" si="1"/>
        <v>100</v>
      </c>
      <c r="V9" s="664" t="s">
        <v>14</v>
      </c>
      <c r="W9" s="665">
        <f t="shared" si="2"/>
        <v>100</v>
      </c>
      <c r="X9" s="666"/>
      <c r="Y9" s="371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90"/>
      <c r="M10" s="2491"/>
      <c r="N10" s="2491"/>
      <c r="O10" s="2542"/>
      <c r="P10" s="3885"/>
      <c r="Q10" s="530" t="str">
        <f t="shared" si="6"/>
        <v>土地使用年限（年）</v>
      </c>
      <c r="R10" s="664" t="s">
        <v>14</v>
      </c>
      <c r="S10" s="665">
        <f t="shared" si="0"/>
        <v>100</v>
      </c>
      <c r="T10" s="664" t="s">
        <v>14</v>
      </c>
      <c r="U10" s="665">
        <f t="shared" si="1"/>
        <v>100</v>
      </c>
      <c r="V10" s="664" t="s">
        <v>14</v>
      </c>
      <c r="W10" s="665">
        <f t="shared" si="2"/>
        <v>100</v>
      </c>
      <c r="X10" s="666"/>
      <c r="Y10" s="371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885"/>
      <c r="Q11" s="530" t="str">
        <f t="shared" si="6"/>
        <v>容积率</v>
      </c>
      <c r="R11" s="664" t="s">
        <v>14</v>
      </c>
      <c r="S11" s="665" t="e">
        <f t="shared" si="0"/>
        <v>#N/A</v>
      </c>
      <c r="T11" s="664" t="s">
        <v>14</v>
      </c>
      <c r="U11" s="665" t="e">
        <f t="shared" si="1"/>
        <v>#N/A</v>
      </c>
      <c r="V11" s="664" t="s">
        <v>14</v>
      </c>
      <c r="W11" s="665" t="e">
        <f t="shared" si="2"/>
        <v>#N/A</v>
      </c>
      <c r="X11" s="666"/>
      <c r="Y11" s="371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885"/>
      <c r="Q12" s="530">
        <f t="shared" si="6"/>
        <v>111</v>
      </c>
      <c r="R12" s="664" t="s">
        <v>14</v>
      </c>
      <c r="S12" s="665">
        <f t="shared" si="0"/>
        <v>100</v>
      </c>
      <c r="T12" s="664" t="s">
        <v>14</v>
      </c>
      <c r="U12" s="665">
        <f t="shared" si="1"/>
        <v>100</v>
      </c>
      <c r="V12" s="664" t="s">
        <v>14</v>
      </c>
      <c r="W12" s="665">
        <f t="shared" si="2"/>
        <v>100</v>
      </c>
      <c r="X12" s="666"/>
      <c r="Y12" s="371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885"/>
      <c r="Q13" s="530">
        <f t="shared" si="6"/>
        <v>111</v>
      </c>
      <c r="R13" s="664" t="s">
        <v>14</v>
      </c>
      <c r="S13" s="665">
        <f t="shared" si="0"/>
        <v>100</v>
      </c>
      <c r="T13" s="664" t="s">
        <v>14</v>
      </c>
      <c r="U13" s="665">
        <f t="shared" si="1"/>
        <v>100</v>
      </c>
      <c r="V13" s="664" t="s">
        <v>14</v>
      </c>
      <c r="W13" s="665">
        <f t="shared" si="2"/>
        <v>100</v>
      </c>
      <c r="X13" s="666"/>
      <c r="Y13" s="371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885"/>
      <c r="Q14" s="530">
        <f t="shared" si="6"/>
        <v>111</v>
      </c>
      <c r="R14" s="664" t="s">
        <v>14</v>
      </c>
      <c r="S14" s="665">
        <f t="shared" si="0"/>
        <v>100</v>
      </c>
      <c r="T14" s="664" t="s">
        <v>14</v>
      </c>
      <c r="U14" s="665">
        <f t="shared" si="1"/>
        <v>100</v>
      </c>
      <c r="V14" s="664" t="s">
        <v>14</v>
      </c>
      <c r="W14" s="665">
        <f t="shared" si="2"/>
        <v>100</v>
      </c>
      <c r="X14" s="666"/>
      <c r="Y14" s="371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887" t="s">
        <v>1691</v>
      </c>
      <c r="Q15" s="1263" t="str">
        <f t="shared" si="6"/>
        <v>产业集聚程度</v>
      </c>
      <c r="R15" s="667" t="s">
        <v>14</v>
      </c>
      <c r="S15" s="668">
        <f t="shared" si="0"/>
        <v>100</v>
      </c>
      <c r="T15" s="667" t="s">
        <v>14</v>
      </c>
      <c r="U15" s="668">
        <f t="shared" si="1"/>
        <v>100</v>
      </c>
      <c r="V15" s="667" t="s">
        <v>14</v>
      </c>
      <c r="W15" s="668">
        <f t="shared" si="2"/>
        <v>100</v>
      </c>
      <c r="X15" s="1265"/>
      <c r="Y15" s="388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888"/>
      <c r="Q16" s="1263"/>
      <c r="R16" s="667"/>
      <c r="S16" s="668"/>
      <c r="T16" s="667"/>
      <c r="U16" s="668"/>
      <c r="V16" s="667"/>
      <c r="W16" s="668"/>
      <c r="X16" s="1265"/>
      <c r="Y16" s="388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888"/>
      <c r="Q17" s="1263" t="str">
        <f>B17</f>
        <v>交通便捷度</v>
      </c>
      <c r="R17" s="667" t="s">
        <v>14</v>
      </c>
      <c r="S17" s="668">
        <f>F17</f>
        <v>100</v>
      </c>
      <c r="T17" s="667" t="s">
        <v>14</v>
      </c>
      <c r="U17" s="668">
        <f>H17</f>
        <v>100</v>
      </c>
      <c r="V17" s="667" t="s">
        <v>14</v>
      </c>
      <c r="W17" s="668">
        <f>J17</f>
        <v>100</v>
      </c>
      <c r="X17" s="1265"/>
      <c r="Y17" s="388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888"/>
      <c r="Q18" s="1263"/>
      <c r="R18" s="667"/>
      <c r="S18" s="668"/>
      <c r="T18" s="667"/>
      <c r="U18" s="668"/>
      <c r="V18" s="667"/>
      <c r="W18" s="668"/>
      <c r="X18" s="1265"/>
      <c r="Y18" s="388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888"/>
      <c r="Q19" s="1263" t="str">
        <f t="shared" ref="Q19:Q33" si="8">B19</f>
        <v>区域土地利用方向</v>
      </c>
      <c r="R19" s="667" t="s">
        <v>14</v>
      </c>
      <c r="S19" s="668">
        <f>F19</f>
        <v>100</v>
      </c>
      <c r="T19" s="667" t="s">
        <v>14</v>
      </c>
      <c r="U19" s="668">
        <f>H19</f>
        <v>100</v>
      </c>
      <c r="V19" s="667" t="s">
        <v>14</v>
      </c>
      <c r="W19" s="668">
        <f>J19</f>
        <v>100</v>
      </c>
      <c r="X19" s="1265"/>
      <c r="Y19" s="388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888"/>
      <c r="Q20" s="1263"/>
      <c r="R20" s="667"/>
      <c r="S20" s="668"/>
      <c r="T20" s="667"/>
      <c r="U20" s="668"/>
      <c r="V20" s="667"/>
      <c r="W20" s="668"/>
      <c r="X20" s="1265"/>
      <c r="Y20" s="388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888"/>
      <c r="Q21" s="1263" t="str">
        <f t="shared" si="8"/>
        <v>环境状况</v>
      </c>
      <c r="R21" s="667" t="s">
        <v>14</v>
      </c>
      <c r="S21" s="668">
        <f>F21</f>
        <v>100</v>
      </c>
      <c r="T21" s="667" t="s">
        <v>14</v>
      </c>
      <c r="U21" s="668">
        <f>H21</f>
        <v>100</v>
      </c>
      <c r="V21" s="667" t="s">
        <v>14</v>
      </c>
      <c r="W21" s="668">
        <f>J21</f>
        <v>100</v>
      </c>
      <c r="X21" s="1265"/>
      <c r="Y21" s="388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888"/>
      <c r="Q22" s="1263"/>
      <c r="R22" s="667"/>
      <c r="S22" s="668"/>
      <c r="T22" s="667"/>
      <c r="U22" s="668"/>
      <c r="V22" s="667"/>
      <c r="W22" s="668"/>
      <c r="X22" s="1265"/>
      <c r="Y22" s="388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888"/>
      <c r="Q23" s="530" t="str">
        <f t="shared" si="8"/>
        <v>公共配套设施</v>
      </c>
      <c r="R23" s="664" t="s">
        <v>14</v>
      </c>
      <c r="S23" s="665">
        <f>F23</f>
        <v>100</v>
      </c>
      <c r="T23" s="664" t="s">
        <v>14</v>
      </c>
      <c r="U23" s="665">
        <f>H23</f>
        <v>100</v>
      </c>
      <c r="V23" s="664" t="s">
        <v>14</v>
      </c>
      <c r="W23" s="665">
        <f>J23</f>
        <v>100</v>
      </c>
      <c r="X23" s="666"/>
      <c r="Y23" s="388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888"/>
      <c r="Q24" s="530"/>
      <c r="R24" s="664"/>
      <c r="S24" s="665"/>
      <c r="T24" s="664"/>
      <c r="U24" s="665"/>
      <c r="V24" s="664"/>
      <c r="W24" s="665"/>
      <c r="X24" s="666"/>
      <c r="Y24" s="388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888"/>
      <c r="Q25" s="530" t="str">
        <f t="shared" ref="Q25" si="9">B25</f>
        <v>基础设施水平</v>
      </c>
      <c r="R25" s="664" t="s">
        <v>14</v>
      </c>
      <c r="S25" s="665">
        <f>F25</f>
        <v>100</v>
      </c>
      <c r="T25" s="664" t="s">
        <v>14</v>
      </c>
      <c r="U25" s="665">
        <f>H25</f>
        <v>100</v>
      </c>
      <c r="V25" s="664" t="s">
        <v>14</v>
      </c>
      <c r="W25" s="665">
        <f>J25</f>
        <v>100</v>
      </c>
      <c r="X25" s="666"/>
      <c r="Y25" s="388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888"/>
      <c r="Q26" s="530"/>
      <c r="R26" s="664"/>
      <c r="S26" s="665"/>
      <c r="T26" s="664"/>
      <c r="U26" s="665"/>
      <c r="V26" s="664"/>
      <c r="W26" s="665"/>
      <c r="X26" s="666"/>
      <c r="Y26" s="388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88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88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888"/>
      <c r="Q28" s="1263" t="str">
        <f t="shared" si="8"/>
        <v>毗邻道路的类型与等级</v>
      </c>
      <c r="R28" s="667" t="s">
        <v>14</v>
      </c>
      <c r="S28" s="668">
        <f t="shared" si="10"/>
        <v>100</v>
      </c>
      <c r="T28" s="667" t="s">
        <v>14</v>
      </c>
      <c r="U28" s="668">
        <f t="shared" si="11"/>
        <v>100</v>
      </c>
      <c r="V28" s="667" t="s">
        <v>14</v>
      </c>
      <c r="W28" s="668">
        <f t="shared" si="12"/>
        <v>100</v>
      </c>
      <c r="X28" s="1265"/>
      <c r="Y28" s="388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888"/>
      <c r="Q29" s="1263"/>
      <c r="R29" s="667"/>
      <c r="S29" s="668"/>
      <c r="T29" s="667"/>
      <c r="U29" s="668"/>
      <c r="V29" s="667"/>
      <c r="W29" s="668"/>
      <c r="X29" s="1265"/>
      <c r="Y29" s="388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888"/>
      <c r="Q30" s="1263" t="str">
        <f t="shared" si="8"/>
        <v>土地级别</v>
      </c>
      <c r="R30" s="667" t="s">
        <v>14</v>
      </c>
      <c r="S30" s="668">
        <f t="shared" si="10"/>
        <v>100</v>
      </c>
      <c r="T30" s="667" t="s">
        <v>14</v>
      </c>
      <c r="U30" s="668">
        <f t="shared" si="11"/>
        <v>100</v>
      </c>
      <c r="V30" s="667" t="s">
        <v>14</v>
      </c>
      <c r="W30" s="668">
        <f t="shared" si="12"/>
        <v>100</v>
      </c>
      <c r="X30" s="1265"/>
      <c r="Y30" s="388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888"/>
      <c r="Q31" s="1263">
        <f t="shared" si="8"/>
        <v>111</v>
      </c>
      <c r="R31" s="667" t="s">
        <v>14</v>
      </c>
      <c r="S31" s="668">
        <f t="shared" si="10"/>
        <v>100</v>
      </c>
      <c r="T31" s="667" t="s">
        <v>14</v>
      </c>
      <c r="U31" s="668">
        <f t="shared" si="11"/>
        <v>100</v>
      </c>
      <c r="V31" s="667" t="s">
        <v>14</v>
      </c>
      <c r="W31" s="668">
        <f t="shared" si="12"/>
        <v>100</v>
      </c>
      <c r="X31" s="1265"/>
      <c r="Y31" s="388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942" t="s">
        <v>1696</v>
      </c>
      <c r="Q32" s="1263">
        <f t="shared" si="8"/>
        <v>111</v>
      </c>
      <c r="R32" s="667" t="s">
        <v>14</v>
      </c>
      <c r="S32" s="668">
        <f t="shared" si="10"/>
        <v>100</v>
      </c>
      <c r="T32" s="667" t="s">
        <v>14</v>
      </c>
      <c r="U32" s="668">
        <f t="shared" si="11"/>
        <v>100</v>
      </c>
      <c r="V32" s="667" t="s">
        <v>14</v>
      </c>
      <c r="W32" s="668">
        <f t="shared" si="12"/>
        <v>100</v>
      </c>
      <c r="X32" s="1265"/>
      <c r="Y32" s="389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892"/>
      <c r="Q33" s="1263">
        <f t="shared" si="8"/>
        <v>111</v>
      </c>
      <c r="R33" s="669" t="s">
        <v>14</v>
      </c>
      <c r="S33" s="670">
        <f t="shared" si="10"/>
        <v>100</v>
      </c>
      <c r="T33" s="669" t="s">
        <v>14</v>
      </c>
      <c r="U33" s="670">
        <f t="shared" si="11"/>
        <v>100</v>
      </c>
      <c r="V33" s="669" t="s">
        <v>14</v>
      </c>
      <c r="W33" s="670">
        <f t="shared" si="12"/>
        <v>100</v>
      </c>
      <c r="X33" s="671"/>
      <c r="Y33" s="389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892"/>
      <c r="Q34" s="1263" t="str">
        <f>B34</f>
        <v>宗地面积</v>
      </c>
      <c r="R34" s="667" t="s">
        <v>14</v>
      </c>
      <c r="S34" s="668" t="e">
        <f t="shared" si="10"/>
        <v>#N/A</v>
      </c>
      <c r="T34" s="667" t="s">
        <v>14</v>
      </c>
      <c r="U34" s="668" t="e">
        <f t="shared" si="11"/>
        <v>#N/A</v>
      </c>
      <c r="V34" s="667" t="s">
        <v>14</v>
      </c>
      <c r="W34" s="668" t="e">
        <f t="shared" si="12"/>
        <v>#N/A</v>
      </c>
      <c r="X34" s="1265"/>
      <c r="Y34" s="389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892"/>
      <c r="Q35" s="1263" t="str">
        <f t="shared" ref="Q35:Q40" si="14">B35</f>
        <v>宗地形状</v>
      </c>
      <c r="R35" s="667" t="s">
        <v>14</v>
      </c>
      <c r="S35" s="668">
        <f t="shared" si="10"/>
        <v>100</v>
      </c>
      <c r="T35" s="667" t="s">
        <v>14</v>
      </c>
      <c r="U35" s="668">
        <f t="shared" si="11"/>
        <v>100</v>
      </c>
      <c r="V35" s="667" t="s">
        <v>14</v>
      </c>
      <c r="W35" s="668">
        <f t="shared" si="12"/>
        <v>100</v>
      </c>
      <c r="X35" s="1265"/>
      <c r="Y35" s="389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892"/>
      <c r="Q36" s="1263" t="str">
        <f t="shared" si="14"/>
        <v>宗地开发程度</v>
      </c>
      <c r="R36" s="664" t="s">
        <v>14</v>
      </c>
      <c r="S36" s="665">
        <f t="shared" si="10"/>
        <v>100</v>
      </c>
      <c r="T36" s="664" t="s">
        <v>14</v>
      </c>
      <c r="U36" s="665">
        <f t="shared" si="11"/>
        <v>100</v>
      </c>
      <c r="V36" s="664" t="s">
        <v>14</v>
      </c>
      <c r="W36" s="665">
        <f t="shared" si="12"/>
        <v>100</v>
      </c>
      <c r="X36" s="666"/>
      <c r="Y36" s="389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892" t="s">
        <v>1696</v>
      </c>
      <c r="Q37" s="1263" t="str">
        <f t="shared" si="14"/>
        <v>工程地质条件</v>
      </c>
      <c r="R37" s="667" t="s">
        <v>14</v>
      </c>
      <c r="S37" s="668">
        <f t="shared" si="10"/>
        <v>100</v>
      </c>
      <c r="T37" s="667" t="s">
        <v>14</v>
      </c>
      <c r="U37" s="668">
        <f t="shared" si="11"/>
        <v>100</v>
      </c>
      <c r="V37" s="667" t="s">
        <v>14</v>
      </c>
      <c r="W37" s="668">
        <f t="shared" si="12"/>
        <v>100</v>
      </c>
      <c r="X37" s="1265"/>
      <c r="Y37" s="389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892"/>
      <c r="Q38" s="1263">
        <f t="shared" si="14"/>
        <v>111</v>
      </c>
      <c r="R38" s="667" t="s">
        <v>14</v>
      </c>
      <c r="S38" s="668">
        <f t="shared" si="10"/>
        <v>100</v>
      </c>
      <c r="T38" s="667" t="s">
        <v>14</v>
      </c>
      <c r="U38" s="668">
        <f t="shared" si="11"/>
        <v>100</v>
      </c>
      <c r="V38" s="667" t="s">
        <v>14</v>
      </c>
      <c r="W38" s="668">
        <f t="shared" si="12"/>
        <v>100</v>
      </c>
      <c r="X38" s="1265"/>
      <c r="Y38" s="389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892"/>
      <c r="Q39" s="1263">
        <f t="shared" si="14"/>
        <v>111</v>
      </c>
      <c r="R39" s="667" t="s">
        <v>14</v>
      </c>
      <c r="S39" s="668">
        <f t="shared" si="10"/>
        <v>100</v>
      </c>
      <c r="T39" s="667" t="s">
        <v>14</v>
      </c>
      <c r="U39" s="668">
        <f t="shared" si="11"/>
        <v>100</v>
      </c>
      <c r="V39" s="667" t="s">
        <v>14</v>
      </c>
      <c r="W39" s="668">
        <f t="shared" si="12"/>
        <v>100</v>
      </c>
      <c r="X39" s="1265"/>
      <c r="Y39" s="389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892"/>
      <c r="Q40" s="1263">
        <f t="shared" si="14"/>
        <v>111</v>
      </c>
      <c r="R40" s="669" t="s">
        <v>14</v>
      </c>
      <c r="S40" s="670">
        <f t="shared" si="10"/>
        <v>100</v>
      </c>
      <c r="T40" s="669" t="s">
        <v>14</v>
      </c>
      <c r="U40" s="670">
        <f t="shared" si="11"/>
        <v>100</v>
      </c>
      <c r="V40" s="669" t="s">
        <v>14</v>
      </c>
      <c r="W40" s="670">
        <f t="shared" si="12"/>
        <v>100</v>
      </c>
      <c r="X40" s="671"/>
      <c r="Y40" s="389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885" t="str">
        <f>A41</f>
        <v>成交单价</v>
      </c>
      <c r="Q41" s="3885"/>
      <c r="R41" s="3886">
        <f>E41</f>
        <v>0</v>
      </c>
      <c r="S41" s="3886"/>
      <c r="T41" s="3886">
        <f>G41</f>
        <v>0</v>
      </c>
      <c r="U41" s="3886"/>
      <c r="V41" s="3886">
        <f>I41</f>
        <v>0</v>
      </c>
      <c r="W41" s="388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885" t="str">
        <f>A42</f>
        <v>比较价值（元/平方米）</v>
      </c>
      <c r="Q42" s="3885"/>
      <c r="R42" s="3944" t="e">
        <f>ROUND(PRODUCT(R41,AA7:AA40),0)</f>
        <v>#DIV/0!</v>
      </c>
      <c r="S42" s="3944"/>
      <c r="T42" s="3944" t="e">
        <f>ROUND(PRODUCT(T41,AB7:AB40),0)</f>
        <v>#DIV/0!</v>
      </c>
      <c r="U42" s="3944"/>
      <c r="V42" s="3944" t="e">
        <f>ROUND(PRODUCT(V41,AC7:AC40),0)</f>
        <v>#DIV/0!</v>
      </c>
      <c r="W42" s="394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882" t="str">
        <f>A43</f>
        <v>估价对象XX用房的比较价值（楼面单价，元/平方米）</v>
      </c>
      <c r="Q43" s="3883"/>
      <c r="R43" s="3945" t="e">
        <f>ROUND(IF(D42="简单平均",AVERAGE(R42:W42),R42*F42+T42*H42+V42*J42),0)</f>
        <v>#DIV/0!</v>
      </c>
      <c r="S43" s="3945"/>
      <c r="T43" s="3945"/>
      <c r="U43" s="3945"/>
      <c r="V43" s="3945"/>
      <c r="W43" s="394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900" t="s">
        <v>1887</v>
      </c>
      <c r="H50" s="394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34587.24</v>
      </c>
      <c r="F51" s="611" t="e">
        <f t="shared" ref="F51:F60" si="15">ROUND(B51*E51/10000,0)</f>
        <v>#DIV/0!</v>
      </c>
      <c r="G51" s="3896"/>
      <c r="H51" s="388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5074.3600000000006</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0.1</v>
      </c>
      <c r="D58" s="891">
        <v>0.25</v>
      </c>
      <c r="E58" s="209">
        <f>'数据-汇总表'!E13</f>
        <v>8436.1</v>
      </c>
      <c r="F58" s="611" t="e">
        <f t="shared" si="15"/>
        <v>#DIV/0!</v>
      </c>
      <c r="G58" s="839" t="s">
        <v>1900</v>
      </c>
      <c r="H58" s="834" t="str">
        <f>IF(G58="商业",项目基本情况!B37,IF(G58="办公",项目基本情况!C37,IF(G58="住宅",项目基本情况!D37,项目基本情况!E37)))</f>
        <v>九级</v>
      </c>
      <c r="I58" s="727">
        <f>SUMIF(修正!A59:A70,H58,修正!G59:G70)</f>
        <v>0.1</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954" t="s">
        <v>2084</v>
      </c>
      <c r="D1" s="3955"/>
      <c r="E1" s="3955"/>
      <c r="F1" s="3955"/>
      <c r="G1" s="3955"/>
      <c r="H1" s="3955"/>
      <c r="I1" s="3955"/>
      <c r="J1" s="3955"/>
      <c r="K1" s="3955"/>
      <c r="L1" s="3955"/>
      <c r="M1" s="3955"/>
      <c r="N1" s="3955"/>
      <c r="O1" s="3955"/>
      <c r="P1" s="3955"/>
      <c r="Q1" s="3955"/>
      <c r="R1" s="3955"/>
      <c r="S1" s="395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951" t="s">
        <v>27</v>
      </c>
      <c r="D22" s="3952"/>
      <c r="E22" s="3952"/>
      <c r="F22" s="3952"/>
      <c r="G22" s="3952"/>
      <c r="H22" s="3952"/>
      <c r="I22" s="3952"/>
      <c r="J22" s="3952"/>
      <c r="K22" s="3952"/>
      <c r="L22" s="3952"/>
      <c r="M22" s="3952"/>
      <c r="N22" s="3952"/>
      <c r="O22" s="3952"/>
      <c r="P22" s="3952"/>
      <c r="Q22" s="395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1141</v>
      </c>
      <c r="C2" s="1984" t="s">
        <v>2074</v>
      </c>
      <c r="D2" s="1984" t="s">
        <v>2075</v>
      </c>
      <c r="E2" s="2398">
        <f ca="1">SUMIF(E6:E13,"&lt;&gt;#ref!",E6:E13)</f>
        <v>13510.460000000001</v>
      </c>
      <c r="F2" s="2545"/>
      <c r="G2" s="2545"/>
      <c r="H2" s="2545"/>
      <c r="I2" s="2545"/>
      <c r="J2" s="2545"/>
      <c r="K2" s="2545"/>
      <c r="L2" s="2545"/>
      <c r="M2" s="2545"/>
      <c r="N2" s="2545"/>
      <c r="O2" s="2545"/>
      <c r="P2" s="2545"/>
    </row>
    <row r="3" spans="1:16" ht="15.75">
      <c r="A3" s="1984" t="s">
        <v>2076</v>
      </c>
      <c r="B3" s="2388">
        <f ca="1">ROUND(B2*10000/E2,0)</f>
        <v>845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1141</v>
      </c>
      <c r="C6" s="1984" t="s">
        <v>2074</v>
      </c>
      <c r="D6" s="2545"/>
      <c r="E6" s="2398">
        <f ca="1">SUMIF(INDIRECT("'"&amp;A6&amp;"'"&amp;"!C:C"),"建筑面积",INDIRECT("'"&amp;A6&amp;"'"&amp;"!D:D"))</f>
        <v>13510.460000000001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AF647-4A73-41BB-B07C-D86A4729A412}">
  <sheetPr>
    <tabColor rgb="FFFF0000"/>
  </sheetPr>
  <dimension ref="A1:P25"/>
  <sheetViews>
    <sheetView zoomScale="150" zoomScaleNormal="150" workbookViewId="0">
      <selection activeCell="G16" sqref="G16"/>
    </sheetView>
  </sheetViews>
  <sheetFormatPr defaultColWidth="22.875" defaultRowHeight="13.5"/>
  <cols>
    <col min="1" max="1" width="8" style="3606" customWidth="1"/>
    <col min="2" max="2" width="18.5" style="3606" customWidth="1"/>
    <col min="3" max="3" width="15.5" style="3606" customWidth="1"/>
    <col min="4" max="4" width="49.375" style="3606" customWidth="1"/>
    <col min="5" max="5" width="10.25" style="3606" customWidth="1"/>
    <col min="6" max="6" width="16.125" style="3606" customWidth="1"/>
    <col min="7" max="7" width="15.125" style="3606" bestFit="1" customWidth="1"/>
    <col min="8" max="8" width="11" style="3606" customWidth="1"/>
    <col min="9" max="11" width="11.375" style="3606" customWidth="1"/>
    <col min="12" max="12" width="16.125" style="3606" bestFit="1" customWidth="1"/>
    <col min="13" max="14" width="11.625" style="3606" bestFit="1" customWidth="1"/>
    <col min="15" max="15" width="9.5" style="3606" bestFit="1" customWidth="1"/>
    <col min="16" max="16" width="10.5" style="3606" bestFit="1" customWidth="1"/>
    <col min="17" max="16384" width="22.875" style="3606"/>
  </cols>
  <sheetData>
    <row r="1" spans="1:16">
      <c r="A1" s="3605" t="s">
        <v>3661</v>
      </c>
      <c r="B1" s="3605" t="s">
        <v>3662</v>
      </c>
      <c r="C1" s="3605" t="s">
        <v>3663</v>
      </c>
      <c r="D1" s="3605" t="s">
        <v>3664</v>
      </c>
      <c r="I1" s="3616"/>
      <c r="J1" s="3616"/>
      <c r="K1" s="3616"/>
    </row>
    <row r="2" spans="1:16" ht="37.5">
      <c r="A2" s="3607">
        <v>1</v>
      </c>
      <c r="B2" s="3605" t="s">
        <v>3665</v>
      </c>
      <c r="C2" s="3608">
        <f>E2/60</f>
        <v>278.95903805</v>
      </c>
      <c r="D2" s="3609" t="s">
        <v>3698</v>
      </c>
      <c r="E2" s="3606">
        <f>(G14-O14)/10000</f>
        <v>16737.542282999999</v>
      </c>
      <c r="F2" s="3610"/>
      <c r="I2" s="3616"/>
      <c r="J2" s="3616"/>
      <c r="K2" s="3616"/>
    </row>
    <row r="3" spans="1:16">
      <c r="A3" s="3607">
        <v>2</v>
      </c>
      <c r="B3" s="3605" t="s">
        <v>3666</v>
      </c>
      <c r="C3" s="3607">
        <f>C4+C5+C6</f>
        <v>0</v>
      </c>
      <c r="D3" s="3611" t="s">
        <v>3667</v>
      </c>
    </row>
    <row r="4" spans="1:16" ht="37.5">
      <c r="A4" s="3607">
        <v>2.1</v>
      </c>
      <c r="B4" s="3605" t="s">
        <v>3668</v>
      </c>
      <c r="C4" s="3608">
        <v>0</v>
      </c>
      <c r="D4" s="3612" t="s">
        <v>3703</v>
      </c>
    </row>
    <row r="5" spans="1:16" ht="24">
      <c r="A5" s="3607">
        <v>2.2000000000000002</v>
      </c>
      <c r="B5" s="3605" t="s">
        <v>3669</v>
      </c>
      <c r="C5" s="3622">
        <v>0</v>
      </c>
      <c r="D5" s="3609" t="s">
        <v>3702</v>
      </c>
    </row>
    <row r="6" spans="1:16" ht="24">
      <c r="A6" s="3607">
        <v>2.2999999999999998</v>
      </c>
      <c r="B6" s="3605" t="s">
        <v>3670</v>
      </c>
      <c r="C6" s="3607">
        <v>0</v>
      </c>
      <c r="D6" s="3609" t="s">
        <v>3699</v>
      </c>
    </row>
    <row r="7" spans="1:16">
      <c r="A7" s="3607">
        <v>3</v>
      </c>
      <c r="B7" s="3605" t="s">
        <v>3671</v>
      </c>
      <c r="C7" s="3607">
        <f>C8+C9+C10</f>
        <v>0</v>
      </c>
      <c r="D7" s="3611" t="s">
        <v>3672</v>
      </c>
    </row>
    <row r="8" spans="1:16">
      <c r="A8" s="3607">
        <v>3.1</v>
      </c>
      <c r="B8" s="3605" t="s">
        <v>3673</v>
      </c>
      <c r="C8" s="3607">
        <v>0</v>
      </c>
      <c r="D8" s="3609" t="s">
        <v>3700</v>
      </c>
    </row>
    <row r="9" spans="1:16">
      <c r="A9" s="3607">
        <v>3.2</v>
      </c>
      <c r="B9" s="3605" t="s">
        <v>3674</v>
      </c>
      <c r="C9" s="3607">
        <v>0</v>
      </c>
      <c r="D9" s="3609" t="s">
        <v>3701</v>
      </c>
    </row>
    <row r="10" spans="1:16" ht="24">
      <c r="A10" s="3607">
        <v>3.3</v>
      </c>
      <c r="B10" s="3605" t="s">
        <v>3675</v>
      </c>
      <c r="C10" s="3607">
        <v>0</v>
      </c>
      <c r="D10" s="3609" t="s">
        <v>3706</v>
      </c>
      <c r="E10" s="3623" t="s">
        <v>3676</v>
      </c>
    </row>
    <row r="11" spans="1:16" ht="20.25" customHeight="1">
      <c r="A11" s="3607">
        <v>4</v>
      </c>
      <c r="B11" s="3605" t="s">
        <v>3677</v>
      </c>
      <c r="C11" s="3608">
        <f>C2+C3+C7</f>
        <v>278.95903805</v>
      </c>
      <c r="D11" s="3615" t="s">
        <v>3678</v>
      </c>
    </row>
    <row r="12" spans="1:16">
      <c r="A12" s="3607">
        <v>5</v>
      </c>
      <c r="B12" s="3605" t="s">
        <v>3704</v>
      </c>
      <c r="C12" s="3614">
        <f>ROUND(C11*10000/G24/365,2)</f>
        <v>0.15</v>
      </c>
      <c r="D12" s="3615" t="s">
        <v>3705</v>
      </c>
      <c r="E12" s="3624">
        <f>ROUND(C11*10000/G24/12,2)</f>
        <v>4.51</v>
      </c>
    </row>
    <row r="13" spans="1:16">
      <c r="B13" s="3606" t="s">
        <v>3650</v>
      </c>
      <c r="C13" s="3620">
        <f>ROUND(C12*30*D13,0)</f>
        <v>132</v>
      </c>
      <c r="D13" s="3613">
        <f>Sheet1!L41</f>
        <v>29.292013888888889</v>
      </c>
      <c r="G13" s="3620" t="s">
        <v>3679</v>
      </c>
      <c r="H13" s="3616" t="s">
        <v>3680</v>
      </c>
      <c r="I13" s="3606" t="s">
        <v>3690</v>
      </c>
      <c r="J13" s="3606" t="s">
        <v>3691</v>
      </c>
      <c r="K13" s="3606" t="s">
        <v>3692</v>
      </c>
      <c r="L13" s="3606" t="s">
        <v>3693</v>
      </c>
      <c r="M13" s="3606" t="s">
        <v>3694</v>
      </c>
      <c r="N13" s="3606" t="s">
        <v>3695</v>
      </c>
      <c r="O13" s="3625" t="s">
        <v>3688</v>
      </c>
      <c r="P13" s="3606" t="s">
        <v>3689</v>
      </c>
    </row>
    <row r="14" spans="1:16">
      <c r="G14" s="3621">
        <v>167459128.34999999</v>
      </c>
      <c r="H14" s="3616">
        <v>6974806</v>
      </c>
      <c r="I14" s="3606">
        <v>3099694.34</v>
      </c>
      <c r="J14" s="3606">
        <v>5649311.7999999998</v>
      </c>
      <c r="K14" s="3606">
        <v>1846864.87</v>
      </c>
      <c r="L14" s="3613">
        <v>146392407.99000001</v>
      </c>
      <c r="M14" s="3606">
        <v>1153983.77</v>
      </c>
      <c r="N14" s="3606">
        <v>1442324.84</v>
      </c>
      <c r="O14" s="3625">
        <v>83705.52</v>
      </c>
      <c r="P14" s="3606">
        <v>816029.22</v>
      </c>
    </row>
    <row r="15" spans="1:16">
      <c r="F15" s="3618" t="s">
        <v>2552</v>
      </c>
      <c r="G15" s="3618">
        <f>'数据-汇总表'!F19</f>
        <v>34587.24</v>
      </c>
    </row>
    <row r="16" spans="1:16">
      <c r="F16" s="3618" t="s">
        <v>3681</v>
      </c>
      <c r="G16" s="3618">
        <f>'数据-汇总表'!G20</f>
        <v>8436.1</v>
      </c>
      <c r="H16" s="3606">
        <v>288</v>
      </c>
      <c r="I16" s="3606">
        <f>ROUND(G16/H16,2)</f>
        <v>29.29</v>
      </c>
    </row>
    <row r="17" spans="4:8">
      <c r="F17" s="3618" t="s">
        <v>3682</v>
      </c>
      <c r="G17" s="3618">
        <f>'数据-汇总表'!G21</f>
        <v>5074.3600000000006</v>
      </c>
    </row>
    <row r="18" spans="4:8">
      <c r="F18" s="3618" t="s">
        <v>3683</v>
      </c>
      <c r="G18" s="3618">
        <v>668.5</v>
      </c>
    </row>
    <row r="19" spans="4:8">
      <c r="F19" s="3618" t="s">
        <v>3687</v>
      </c>
      <c r="G19" s="3618">
        <v>258.3</v>
      </c>
    </row>
    <row r="20" spans="4:8">
      <c r="D20" s="3617"/>
      <c r="F20" s="3618" t="s">
        <v>3686</v>
      </c>
      <c r="G20" s="3618">
        <v>155.38999999999999</v>
      </c>
    </row>
    <row r="21" spans="4:8">
      <c r="F21" s="3618" t="s">
        <v>3685</v>
      </c>
      <c r="G21" s="3618">
        <v>602.4</v>
      </c>
    </row>
    <row r="22" spans="4:8">
      <c r="F22" s="3618" t="s">
        <v>3684</v>
      </c>
      <c r="G22" s="3618">
        <v>29.64</v>
      </c>
    </row>
    <row r="23" spans="4:8">
      <c r="F23" s="3618" t="s">
        <v>3697</v>
      </c>
      <c r="G23" s="3618">
        <v>1739.1</v>
      </c>
      <c r="H23" s="3606">
        <f>SUM(G15:G23)</f>
        <v>51551.03</v>
      </c>
    </row>
    <row r="24" spans="4:8">
      <c r="F24" s="3606" t="s">
        <v>3696</v>
      </c>
      <c r="G24" s="3619">
        <v>51551.03</v>
      </c>
    </row>
    <row r="25" spans="4:8">
      <c r="G25" s="3606">
        <f>G14/G24</f>
        <v>3248.4147911302643</v>
      </c>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 zoomScaleNormal="80" zoomScaleSheetLayoutView="100" workbookViewId="0">
      <selection activeCell="G41" sqref="G4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13510.460000000001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1141</v>
      </c>
      <c r="C2" s="1846" t="s">
        <v>1935</v>
      </c>
      <c r="D2" s="162" t="s">
        <v>1936</v>
      </c>
      <c r="E2" s="3121" t="s">
        <v>3401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Ⅸ-昌2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10558</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845</v>
      </c>
      <c r="C3" s="1846" t="s">
        <v>1941</v>
      </c>
      <c r="D3" s="162" t="s">
        <v>1942</v>
      </c>
      <c r="E3" s="3119" t="s">
        <v>3409</v>
      </c>
      <c r="F3" s="1848" t="s">
        <v>3447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8138</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964"/>
      <c r="B4" s="3965"/>
      <c r="C4" s="3965"/>
      <c r="D4" s="3966"/>
      <c r="E4" s="3966"/>
      <c r="F4" s="3966"/>
      <c r="G4" s="3966"/>
      <c r="H4" s="3966"/>
      <c r="I4" s="3966"/>
      <c r="J4" s="39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6638</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6577</v>
      </c>
      <c r="D5" s="1252">
        <f>ROUND(C6*C17+C20,0)</f>
        <v>6577</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5636</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6530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5134</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2.5</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961" t="s">
        <v>1960</v>
      </c>
      <c r="X8" s="39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6530</v>
      </c>
      <c r="N9" s="813">
        <f>SUMPRODUCT((因素修正幅度!B277:B326=I2)*(因素修正幅度!C3:G3=E2)*(因素修正幅度!C277:G326))</f>
        <v>0.15</v>
      </c>
      <c r="O9" s="1056"/>
      <c r="P9" s="1056"/>
      <c r="Q9" s="1056"/>
      <c r="R9" s="1129">
        <v>8</v>
      </c>
      <c r="S9" s="1130"/>
      <c r="T9" s="3064">
        <f t="shared" si="0"/>
        <v>0</v>
      </c>
      <c r="U9" s="1130"/>
      <c r="V9" s="3064">
        <f t="shared" si="1"/>
        <v>0</v>
      </c>
      <c r="W9" s="3963"/>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96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1</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t="s">
        <v>3448</v>
      </c>
      <c r="D15" s="1887" t="s">
        <v>3448</v>
      </c>
      <c r="E15" s="1888" t="s">
        <v>3449</v>
      </c>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v>1</v>
      </c>
      <c r="D16" s="3025">
        <v>1</v>
      </c>
      <c r="E16" s="3025">
        <v>1</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0.96709999999999996</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968" t="s">
        <v>3254</v>
      </c>
      <c r="B20" s="159" t="s">
        <v>1994</v>
      </c>
      <c r="C20" s="3032">
        <f>ROUND(IF(F21="与级别开发程度一致",0,(G21-E21)/C21),0)</f>
        <v>47</v>
      </c>
      <c r="D20" s="3047" t="s">
        <v>1998</v>
      </c>
      <c r="E20" s="3048"/>
      <c r="F20" s="3974" t="s">
        <v>1995</v>
      </c>
      <c r="G20" s="3975"/>
      <c r="H20" s="3033" t="s">
        <v>3451</v>
      </c>
      <c r="I20" s="3033" t="s">
        <v>3452</v>
      </c>
      <c r="J20" s="3034" t="s">
        <v>3453</v>
      </c>
      <c r="K20" s="1889" t="s">
        <v>3454</v>
      </c>
      <c r="L20" s="1889" t="s">
        <v>3455</v>
      </c>
      <c r="M20" s="1889" t="s">
        <v>3456</v>
      </c>
      <c r="N20" s="1889" t="s">
        <v>3457</v>
      </c>
      <c r="O20" s="1890" t="s">
        <v>3458</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969"/>
      <c r="B21" s="2002" t="s">
        <v>1997</v>
      </c>
      <c r="C21" s="2003">
        <f>IF(E3="M4科研用地",SUMPRODUCT((修正!A2:A7=E3)*(修正!B1:M1=G2)*(修正!B2:M7)),SUMPRODUCT((修正!A2:A7=E2)*(修正!B1:M1=G2)*(修正!B2:M7)))</f>
        <v>1.5</v>
      </c>
      <c r="D21" s="179" t="str">
        <f>IF(OR(G2="八级",G2="九级",G2="十级",G2="十一级",G2="十二级"),"五通一平","七通一平")</f>
        <v>五通一平</v>
      </c>
      <c r="E21" s="1993">
        <f>SUMPRODUCT((修正!B1:M1=G2)*(修正!B17:M17))</f>
        <v>185</v>
      </c>
      <c r="F21" s="1994" t="s">
        <v>3450</v>
      </c>
      <c r="G21" s="1995">
        <f>SUM(H21:O21)</f>
        <v>255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40</v>
      </c>
      <c r="M21" s="2003">
        <f>SUMPRODUCT((七通一平=M20)*(修正!B1:M1=G2)*(修正!B8:M16))</f>
        <v>30</v>
      </c>
      <c r="N21" s="2003">
        <f>SUMPRODUCT((七通一平=N20)*(修正!B1:M1=G2)*(修正!B8:M16))</f>
        <v>10</v>
      </c>
      <c r="O21" s="2005">
        <f>SUMPRODUCT((七通一平=O20)*(修正!B1:M1=G2)*(修正!B8:M16))</f>
        <v>35</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1.0274000000000001</v>
      </c>
      <c r="D23" s="1896" t="s">
        <v>2002</v>
      </c>
      <c r="E23" s="717">
        <v>44197</v>
      </c>
      <c r="F23" s="1896" t="s">
        <v>2003</v>
      </c>
      <c r="G23" s="718">
        <f>'数据-取费表'!B2</f>
        <v>45995</v>
      </c>
      <c r="H23" s="3049" t="s">
        <v>3459</v>
      </c>
      <c r="I23" s="3050" t="str">
        <f>IF(H23="季度增幅（自定义）",SUMIF(N25:N28,E2,O25:O28),"")</f>
        <v/>
      </c>
      <c r="J23" s="3142" t="s">
        <v>3460</v>
      </c>
      <c r="K23" s="1061"/>
      <c r="L23" s="1897" t="s">
        <v>2004</v>
      </c>
      <c r="M23" s="1241">
        <f>ROUND(SUMIF(地价!B2:G2,E2,地价!B16:G16),0)</f>
        <v>687</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3332</v>
      </c>
      <c r="C25" s="461">
        <f>IF(B25="容积率修正",IF(G3&lt;10,D26,J26),C27)</f>
        <v>0.86299999999999999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0.86299999999999999</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0.86299999999999999</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0.86299999999999999</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1.0134000000000001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1141</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286</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5910</v>
      </c>
      <c r="D33" s="1940"/>
      <c r="E33" s="727">
        <f>ROUND(C33*D33/10000,0)</f>
        <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1478</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972"/>
      <c r="B37" s="1955" t="s">
        <v>2036</v>
      </c>
      <c r="C37" s="167">
        <f>ROUND(D5*C22*C23*C24*C28*F37,0)</f>
        <v>3424</v>
      </c>
      <c r="D37" s="1940"/>
      <c r="E37" s="163">
        <f>ROUND(C37*D37/10000,0)</f>
        <v>0</v>
      </c>
      <c r="F37" s="163">
        <f>SUMIF(修正!A59:A70,G2,修正!B59:B70)</f>
        <v>0.5</v>
      </c>
      <c r="G37" s="163">
        <f>ROUND(IF(E2="工业",C37*$M$42,C37*$M$41),0)</f>
        <v>856</v>
      </c>
      <c r="H37" s="163">
        <f>D37</f>
        <v>0</v>
      </c>
      <c r="I37" s="163">
        <f>ROUND(G37*H37/10000,0)</f>
        <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973"/>
      <c r="B38" s="1884" t="s">
        <v>2037</v>
      </c>
      <c r="C38" s="167">
        <f>ROUND(D5*C22*C23*C24*C28*F38,0)</f>
        <v>1370</v>
      </c>
      <c r="D38" s="1940"/>
      <c r="E38" s="163">
        <f t="shared" ref="E38:E42" si="4">ROUND(C38*D38/10000,0)</f>
        <v>0</v>
      </c>
      <c r="F38" s="163">
        <f>SUMIF(修正!A59:A70,G2,修正!C59:C70)</f>
        <v>0.2</v>
      </c>
      <c r="G38" s="163">
        <f>ROUND(IF(E2="工业",C38*$M$42,C38*$M$41),0)</f>
        <v>343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973"/>
      <c r="B39" s="1884" t="s">
        <v>3257</v>
      </c>
      <c r="C39" s="167">
        <f>ROUND(D5*C22*C23*C24*C28*F39,0)</f>
        <v>1370</v>
      </c>
      <c r="D39" s="1940"/>
      <c r="E39" s="163">
        <f t="shared" si="4"/>
        <v>0</v>
      </c>
      <c r="F39" s="163">
        <f>SUMIF(修正!A59:A70,G2,修正!D59:D70)</f>
        <v>0.2</v>
      </c>
      <c r="G39" s="163">
        <f>ROUND(IF(E2="工业",C39*$M$42,C39*$M$41),0)</f>
        <v>343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1370</v>
      </c>
      <c r="D40" s="1940"/>
      <c r="E40" s="163">
        <f t="shared" si="4"/>
        <v>0</v>
      </c>
      <c r="F40" s="167">
        <f>SUMIF(修正!A59:A70,G2,修正!E59:E70)</f>
        <v>0.2</v>
      </c>
      <c r="G40" s="163">
        <f>ROUND(IF(E2="工业",C40*$M$42,C40*$M$41),0)</f>
        <v>343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1228</v>
      </c>
      <c r="D41" s="1940">
        <f>'数据-汇总表'!G21</f>
        <v>5074.3600000000006</v>
      </c>
      <c r="E41" s="163">
        <f t="shared" si="4"/>
        <v>623</v>
      </c>
      <c r="F41" s="167">
        <f>SUMIF(修正!A59:A70,G2,修正!F59:F70)</f>
        <v>0.2</v>
      </c>
      <c r="G41" s="163">
        <f>ROUND(IF(E2="工业",C41*$M$42,C41*$M$41),0)</f>
        <v>307</v>
      </c>
      <c r="H41" s="163">
        <f t="shared" si="5"/>
        <v>5074.3600000000006</v>
      </c>
      <c r="I41" s="163">
        <f t="shared" si="6"/>
        <v>156</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614</v>
      </c>
      <c r="D42" s="1945">
        <f>'数据-汇总表'!G20</f>
        <v>8436.1</v>
      </c>
      <c r="E42" s="179">
        <f t="shared" si="4"/>
        <v>518</v>
      </c>
      <c r="F42" s="723">
        <f>SUMIF(修正!A59:A70,G2,修正!G59:G70)</f>
        <v>0.1</v>
      </c>
      <c r="G42" s="179">
        <f>ROUND(IF(E2="工业",C42*$M$42,C42*$M$41),0)</f>
        <v>154</v>
      </c>
      <c r="H42" s="179">
        <f t="shared" si="5"/>
        <v>8436.1</v>
      </c>
      <c r="I42" s="179">
        <f t="shared" si="6"/>
        <v>130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0.89690000000000003</v>
      </c>
      <c r="D44" s="163" t="s">
        <v>1999</v>
      </c>
      <c r="E44" s="1991">
        <f>G24</f>
        <v>0.05</v>
      </c>
      <c r="F44" s="163" t="s">
        <v>2008</v>
      </c>
      <c r="G44" s="175">
        <v>35</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1.0134000000000001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3637</v>
      </c>
      <c r="D72" s="1002">
        <f t="shared" ref="D72:D80" si="17">SUMIF($J$71:$N$71,C72,J72:N72)</f>
        <v>0</v>
      </c>
      <c r="E72" s="702">
        <f>ROUND(SUM(D72:D80),4)</f>
        <v>1.34E-2</v>
      </c>
      <c r="F72" s="1675">
        <f>IF(E2="住宅",SUMIF(L1:L12,G2,N1:N12),"——")</f>
        <v>0.15</v>
      </c>
      <c r="G72" s="1000">
        <v>1.4999999999999999E-2</v>
      </c>
      <c r="H72" s="1003">
        <f t="shared" ref="H72:H80" si="18">IFERROR(ROUNDDOWN($F$72*I72/2,4),"——")</f>
        <v>1.4999999999999999E-2</v>
      </c>
      <c r="I72" s="3069">
        <v>0.2</v>
      </c>
      <c r="J72" s="1001">
        <f t="shared" ref="J72:J80" si="19">K72+$G72</f>
        <v>0.03</v>
      </c>
      <c r="K72" s="1001">
        <f t="shared" ref="K72:K80" si="20">$L72+$G72</f>
        <v>1.4999999999999999E-2</v>
      </c>
      <c r="L72" s="1001">
        <v>0</v>
      </c>
      <c r="M72" s="1001">
        <f t="shared" ref="M72:N80" si="21">L72-$G72</f>
        <v>-1.4999999999999999E-2</v>
      </c>
      <c r="N72" s="1001">
        <f t="shared" si="21"/>
        <v>-0.03</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3637</v>
      </c>
      <c r="D73" s="1002">
        <f t="shared" si="17"/>
        <v>0</v>
      </c>
      <c r="E73" s="705"/>
      <c r="F73" s="1675"/>
      <c r="G73" s="1000">
        <v>1.95E-2</v>
      </c>
      <c r="H73" s="1003">
        <f t="shared" si="18"/>
        <v>1.95E-2</v>
      </c>
      <c r="I73" s="3069">
        <v>0.26</v>
      </c>
      <c r="J73" s="1001">
        <f t="shared" si="19"/>
        <v>3.9E-2</v>
      </c>
      <c r="K73" s="1001">
        <f t="shared" si="20"/>
        <v>1.95E-2</v>
      </c>
      <c r="L73" s="1001">
        <v>0</v>
      </c>
      <c r="M73" s="1001">
        <f t="shared" si="21"/>
        <v>-1.95E-2</v>
      </c>
      <c r="N73" s="1001">
        <f t="shared" si="21"/>
        <v>-3.9E-2</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t="s">
        <v>3637</v>
      </c>
      <c r="D74" s="1002">
        <f t="shared" si="17"/>
        <v>0</v>
      </c>
      <c r="E74" s="705"/>
      <c r="F74" s="1675"/>
      <c r="G74" s="1000">
        <v>7.4999999999999997E-3</v>
      </c>
      <c r="H74" s="1003">
        <f t="shared" si="18"/>
        <v>7.4999999999999997E-3</v>
      </c>
      <c r="I74" s="3069">
        <v>0.1</v>
      </c>
      <c r="J74" s="1001">
        <f t="shared" si="19"/>
        <v>1.4999999999999999E-2</v>
      </c>
      <c r="K74" s="1001">
        <f t="shared" si="20"/>
        <v>7.4999999999999997E-3</v>
      </c>
      <c r="L74" s="1001">
        <v>0</v>
      </c>
      <c r="M74" s="1001">
        <f t="shared" si="21"/>
        <v>-7.4999999999999997E-3</v>
      </c>
      <c r="N74" s="1001">
        <f t="shared" si="21"/>
        <v>-1.4999999999999999E-2</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3637</v>
      </c>
      <c r="D75" s="1002">
        <f t="shared" si="17"/>
        <v>0</v>
      </c>
      <c r="E75" s="705"/>
      <c r="F75" s="1675"/>
      <c r="G75" s="1000">
        <v>3.7000000000000002E-3</v>
      </c>
      <c r="H75" s="1003">
        <f t="shared" si="18"/>
        <v>3.7000000000000002E-3</v>
      </c>
      <c r="I75" s="3069">
        <v>0.05</v>
      </c>
      <c r="J75" s="1001">
        <f t="shared" si="19"/>
        <v>7.4000000000000003E-3</v>
      </c>
      <c r="K75" s="1001">
        <f t="shared" si="20"/>
        <v>3.7000000000000002E-3</v>
      </c>
      <c r="L75" s="1001">
        <v>0</v>
      </c>
      <c r="M75" s="1001">
        <f t="shared" si="21"/>
        <v>-3.7000000000000002E-3</v>
      </c>
      <c r="N75" s="1001">
        <f t="shared" si="21"/>
        <v>-7.4000000000000003E-3</v>
      </c>
      <c r="O75" s="1056"/>
      <c r="P75" s="1056"/>
      <c r="Q75" s="1844"/>
      <c r="Z75" s="1845"/>
      <c r="AA75" s="1895"/>
      <c r="AG75" s="1058"/>
      <c r="AK75" s="1895"/>
    </row>
    <row r="76" spans="1:37" ht="25.5">
      <c r="A76" s="1970" t="s">
        <v>2059</v>
      </c>
      <c r="B76" s="1240" t="str">
        <f>估价对象房地状况!C21</f>
        <v>估价对象所在区域公共配套设施齐备情况</v>
      </c>
      <c r="C76" s="1887" t="s">
        <v>3637</v>
      </c>
      <c r="D76" s="1002">
        <f t="shared" si="17"/>
        <v>0</v>
      </c>
      <c r="E76" s="705"/>
      <c r="F76" s="1675"/>
      <c r="G76" s="1000">
        <v>6.0000000000000001E-3</v>
      </c>
      <c r="H76" s="1003">
        <f t="shared" si="18"/>
        <v>6.0000000000000001E-3</v>
      </c>
      <c r="I76" s="3069">
        <v>0.08</v>
      </c>
      <c r="J76" s="1001">
        <f t="shared" si="19"/>
        <v>1.2E-2</v>
      </c>
      <c r="K76" s="1001">
        <f t="shared" si="20"/>
        <v>6.0000000000000001E-3</v>
      </c>
      <c r="L76" s="1001">
        <v>0</v>
      </c>
      <c r="M76" s="1001">
        <f t="shared" si="21"/>
        <v>-6.0000000000000001E-3</v>
      </c>
      <c r="N76" s="1001">
        <f t="shared" si="21"/>
        <v>-1.2E-2</v>
      </c>
      <c r="O76" s="1056"/>
      <c r="P76" s="1056"/>
      <c r="Z76" s="1845"/>
      <c r="AA76" s="1895"/>
      <c r="AG76" s="1058"/>
      <c r="AK76" s="1895"/>
    </row>
    <row r="77" spans="1:37" ht="25.5">
      <c r="A77" s="1970" t="s">
        <v>2060</v>
      </c>
      <c r="B77" s="1240" t="str">
        <f>估价对象房地状况!C22</f>
        <v>估价对象所在区域基础设施水平</v>
      </c>
      <c r="C77" s="1887" t="s">
        <v>3648</v>
      </c>
      <c r="D77" s="1002">
        <f t="shared" si="17"/>
        <v>1.34E-2</v>
      </c>
      <c r="E77" s="705"/>
      <c r="F77" s="1675"/>
      <c r="G77" s="1000">
        <v>6.7000000000000002E-3</v>
      </c>
      <c r="H77" s="1003">
        <f t="shared" si="18"/>
        <v>6.7000000000000002E-3</v>
      </c>
      <c r="I77" s="3069">
        <v>0.09</v>
      </c>
      <c r="J77" s="1001">
        <f t="shared" si="19"/>
        <v>1.34E-2</v>
      </c>
      <c r="K77" s="1001">
        <f t="shared" si="20"/>
        <v>6.7000000000000002E-3</v>
      </c>
      <c r="L77" s="1001">
        <v>0</v>
      </c>
      <c r="M77" s="1001">
        <f t="shared" si="21"/>
        <v>-6.7000000000000002E-3</v>
      </c>
      <c r="N77" s="1001">
        <f t="shared" si="21"/>
        <v>-1.34E-2</v>
      </c>
      <c r="O77" s="1056"/>
      <c r="P77" s="1056"/>
      <c r="Z77" s="1845"/>
      <c r="AA77" s="1895"/>
      <c r="AG77" s="1058"/>
      <c r="AK77" s="1895"/>
    </row>
    <row r="78" spans="1:37" ht="24">
      <c r="A78" s="1970" t="s">
        <v>2057</v>
      </c>
      <c r="B78" s="1975" t="s">
        <v>2058</v>
      </c>
      <c r="C78" s="1887" t="s">
        <v>3426</v>
      </c>
      <c r="D78" s="1002">
        <f t="shared" si="17"/>
        <v>3.7000000000000002E-3</v>
      </c>
      <c r="E78" s="705"/>
      <c r="F78" s="1675"/>
      <c r="G78" s="1000">
        <v>3.7000000000000002E-3</v>
      </c>
      <c r="H78" s="1003">
        <f t="shared" si="18"/>
        <v>3.7000000000000002E-3</v>
      </c>
      <c r="I78" s="3069">
        <v>0.05</v>
      </c>
      <c r="J78" s="1001">
        <f t="shared" si="19"/>
        <v>7.4000000000000003E-3</v>
      </c>
      <c r="K78" s="1001">
        <f t="shared" si="20"/>
        <v>3.7000000000000002E-3</v>
      </c>
      <c r="L78" s="1001">
        <v>0</v>
      </c>
      <c r="M78" s="1001">
        <f t="shared" si="21"/>
        <v>-3.7000000000000002E-3</v>
      </c>
      <c r="N78" s="1001">
        <f t="shared" si="21"/>
        <v>-7.4000000000000003E-3</v>
      </c>
      <c r="O78" s="1844"/>
      <c r="P78" s="1844"/>
      <c r="Z78" s="1845"/>
      <c r="AA78" s="1895"/>
      <c r="AG78" s="1058"/>
      <c r="AK78" s="1895"/>
    </row>
    <row r="79" spans="1:37" ht="25.5">
      <c r="A79" s="1970" t="s">
        <v>2061</v>
      </c>
      <c r="B79" s="1973" t="str">
        <f>估价对象房地状况!C20</f>
        <v>区域自然环境：；人文环境；综合评价环境状况一般</v>
      </c>
      <c r="C79" s="1887" t="s">
        <v>3637</v>
      </c>
      <c r="D79" s="1002">
        <f t="shared" si="17"/>
        <v>0</v>
      </c>
      <c r="E79" s="705"/>
      <c r="F79" s="1675"/>
      <c r="G79" s="1000">
        <v>8.9999999999999993E-3</v>
      </c>
      <c r="H79" s="1003">
        <f t="shared" si="18"/>
        <v>8.9999999999999993E-3</v>
      </c>
      <c r="I79" s="3069">
        <v>0.12</v>
      </c>
      <c r="J79" s="1001">
        <f t="shared" si="19"/>
        <v>1.7999999999999999E-2</v>
      </c>
      <c r="K79" s="1001">
        <f t="shared" si="20"/>
        <v>8.9999999999999993E-3</v>
      </c>
      <c r="L79" s="1001">
        <v>0</v>
      </c>
      <c r="M79" s="1001">
        <f t="shared" si="21"/>
        <v>-8.9999999999999993E-3</v>
      </c>
      <c r="N79" s="1001">
        <f t="shared" si="21"/>
        <v>-1.7999999999999999E-2</v>
      </c>
      <c r="Z79" s="1845"/>
      <c r="AA79" s="1895"/>
      <c r="AG79" s="1058"/>
      <c r="AK79" s="1895"/>
    </row>
    <row r="80" spans="1:37" ht="24.75" thickBot="1">
      <c r="A80" s="1977" t="s">
        <v>2068</v>
      </c>
      <c r="B80" s="1981"/>
      <c r="C80" s="1887" t="s">
        <v>3649</v>
      </c>
      <c r="D80" s="1002">
        <f t="shared" si="17"/>
        <v>-3.7000000000000002E-3</v>
      </c>
      <c r="E80" s="706"/>
      <c r="F80" s="1675"/>
      <c r="G80" s="1000">
        <v>3.7000000000000002E-3</v>
      </c>
      <c r="H80" s="1003">
        <f t="shared" si="18"/>
        <v>3.7000000000000002E-3</v>
      </c>
      <c r="I80" s="3070">
        <v>0.05</v>
      </c>
      <c r="J80" s="1001">
        <f t="shared" si="19"/>
        <v>7.4000000000000003E-3</v>
      </c>
      <c r="K80" s="1001">
        <f t="shared" si="20"/>
        <v>3.7000000000000002E-3</v>
      </c>
      <c r="L80" s="1001">
        <v>0</v>
      </c>
      <c r="M80" s="1001">
        <f t="shared" si="21"/>
        <v>-3.7000000000000002E-3</v>
      </c>
      <c r="N80" s="1001">
        <f t="shared" si="21"/>
        <v>-7.4000000000000003E-3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970" t="s">
        <v>3292</v>
      </c>
      <c r="B103" s="3970"/>
      <c r="C103" s="3970"/>
      <c r="D103" s="3970"/>
      <c r="E103" s="3970"/>
      <c r="F103" s="3970"/>
      <c r="G103" s="3970"/>
      <c r="H103" s="3970"/>
      <c r="I103" s="3970"/>
      <c r="J103" s="3970"/>
      <c r="K103" s="1667"/>
      <c r="L103" s="1667"/>
      <c r="M103" s="1667"/>
      <c r="N103" s="1667"/>
    </row>
    <row r="104" spans="1:14">
      <c r="A104" s="3971" t="s">
        <v>3293</v>
      </c>
      <c r="B104" s="3971" t="s">
        <v>3294</v>
      </c>
      <c r="C104" s="3091" t="s">
        <v>3295</v>
      </c>
      <c r="D104" s="3092"/>
      <c r="E104" s="3092"/>
      <c r="F104" s="3092"/>
      <c r="G104" s="3092"/>
      <c r="H104" s="3092"/>
      <c r="I104" s="3092"/>
      <c r="J104" s="3093"/>
      <c r="K104" s="3094"/>
      <c r="L104" s="3094"/>
      <c r="M104" s="3094"/>
      <c r="N104" s="3094"/>
    </row>
    <row r="105" spans="1:14">
      <c r="A105" s="3971"/>
      <c r="B105" s="3971"/>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957"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95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95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95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95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958"/>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959"/>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960" t="s">
        <v>3309</v>
      </c>
      <c r="B113" s="3960"/>
      <c r="C113" s="3960"/>
      <c r="D113" s="3960"/>
      <c r="E113" s="3960"/>
      <c r="F113" s="3960"/>
      <c r="G113" s="3960"/>
      <c r="H113" s="3960"/>
      <c r="I113" s="3960"/>
      <c r="J113" s="396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2.5</v>
      </c>
      <c r="C116" s="3100" t="s">
        <v>3311</v>
      </c>
      <c r="D116" s="3101">
        <f>SUMPRODUCT((A118:A122=F116)*(B117:M117=H116)*B118:M122)</f>
        <v>0.75029999999999997</v>
      </c>
      <c r="E116" s="162" t="s">
        <v>3312</v>
      </c>
      <c r="F116" s="3102" t="str">
        <f>E2</f>
        <v>住宅</v>
      </c>
      <c r="G116" s="162" t="s">
        <v>3313</v>
      </c>
      <c r="H116" s="3102" t="str">
        <f>G2</f>
        <v>九级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5">I118</f>
        <v>0.80359999999999998</v>
      </c>
      <c r="K118" s="3090">
        <f t="shared" si="35"/>
        <v>0.80359999999999998</v>
      </c>
      <c r="L118" s="3090">
        <f t="shared" si="35"/>
        <v>0.80359999999999998</v>
      </c>
      <c r="M118" s="3110">
        <f t="shared" si="35"/>
        <v>0.80359999999999998</v>
      </c>
      <c r="N118" s="3098"/>
    </row>
    <row r="119" spans="1:14">
      <c r="A119" s="3058" t="s">
        <v>3327</v>
      </c>
      <c r="B119" s="3090">
        <f>ROUND(0.993-0.0112*B116,4)</f>
        <v>0.96499999999999997</v>
      </c>
      <c r="C119" s="3090">
        <f>B119</f>
        <v>0.96499999999999997</v>
      </c>
      <c r="D119" s="3090">
        <f>ROUND(0.9415-0.0142*B116,4)</f>
        <v>0.90600000000000003</v>
      </c>
      <c r="E119" s="3090">
        <f t="shared" ref="E119:H120" si="36">D119</f>
        <v>0.90600000000000003</v>
      </c>
      <c r="F119" s="3090">
        <f t="shared" si="36"/>
        <v>0.90600000000000003</v>
      </c>
      <c r="G119" s="3090">
        <f t="shared" si="36"/>
        <v>0.90600000000000003</v>
      </c>
      <c r="H119" s="3090">
        <f t="shared" si="36"/>
        <v>0.90600000000000003</v>
      </c>
      <c r="I119" s="3090">
        <f>ROUND(0.838-0.0182*B116,4)</f>
        <v>0.79249999999999998</v>
      </c>
      <c r="J119" s="3090">
        <f t="shared" si="35"/>
        <v>0.79249999999999998</v>
      </c>
      <c r="K119" s="3090">
        <f t="shared" si="35"/>
        <v>0.79249999999999998</v>
      </c>
      <c r="L119" s="3090">
        <f t="shared" si="35"/>
        <v>0.79249999999999998</v>
      </c>
      <c r="M119" s="3110">
        <f t="shared" si="35"/>
        <v>0.79249999999999998</v>
      </c>
      <c r="N119" s="3098"/>
    </row>
    <row r="120" spans="1:14">
      <c r="A120" s="3058" t="s">
        <v>3328</v>
      </c>
      <c r="B120" s="3090">
        <f>ROUND(0.9448-0.0115*B116,4)</f>
        <v>0.91610000000000003</v>
      </c>
      <c r="C120" s="3090">
        <f>B120</f>
        <v>0.91610000000000003</v>
      </c>
      <c r="D120" s="3090">
        <f>ROUND(0.937-0.0145*B116,4)</f>
        <v>0.90080000000000005</v>
      </c>
      <c r="E120" s="3090">
        <f t="shared" si="36"/>
        <v>0.90080000000000005</v>
      </c>
      <c r="F120" s="3090">
        <f t="shared" si="36"/>
        <v>0.90080000000000005</v>
      </c>
      <c r="G120" s="3090">
        <f t="shared" si="36"/>
        <v>0.90080000000000005</v>
      </c>
      <c r="H120" s="3090">
        <f t="shared" si="36"/>
        <v>0.90080000000000005</v>
      </c>
      <c r="I120" s="3090">
        <f>ROUND(0.7965-0.0185*B116,4)</f>
        <v>0.75029999999999997</v>
      </c>
      <c r="J120" s="3090">
        <f t="shared" si="35"/>
        <v>0.75029999999999997</v>
      </c>
      <c r="K120" s="3090">
        <f t="shared" si="35"/>
        <v>0.75029999999999997</v>
      </c>
      <c r="L120" s="3090">
        <f t="shared" si="35"/>
        <v>0.75029999999999997</v>
      </c>
      <c r="M120" s="3110">
        <f t="shared" si="35"/>
        <v>0.75029999999999997</v>
      </c>
      <c r="N120" s="3098"/>
    </row>
    <row r="121" spans="1:14" ht="13.5" thickBot="1">
      <c r="A121" s="3111" t="s">
        <v>3329</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5"/>
        <v>0.54300000000000004</v>
      </c>
      <c r="K121" s="3112">
        <f t="shared" si="35"/>
        <v>0.54300000000000004</v>
      </c>
      <c r="L121" s="3112">
        <f t="shared" si="35"/>
        <v>0.54300000000000004</v>
      </c>
      <c r="M121" s="3113">
        <f t="shared" si="35"/>
        <v>0.54300000000000004</v>
      </c>
      <c r="N121" s="3098"/>
    </row>
    <row r="122" spans="1:14">
      <c r="A122" s="3114" t="s">
        <v>2612</v>
      </c>
      <c r="B122" s="3090">
        <f>ROUND(0.9404-0.0106*B116,4)</f>
        <v>0.91390000000000005</v>
      </c>
      <c r="C122" s="3090">
        <f>B122</f>
        <v>0.91390000000000005</v>
      </c>
      <c r="D122" s="3090">
        <f>ROUND(0.8955-0.0135*B116,4)</f>
        <v>0.86180000000000001</v>
      </c>
      <c r="E122" s="3090">
        <f t="shared" ref="E122:H122" si="37">D122</f>
        <v>0.86180000000000001</v>
      </c>
      <c r="F122" s="3090">
        <f t="shared" si="37"/>
        <v>0.86180000000000001</v>
      </c>
      <c r="G122" s="3090">
        <f t="shared" si="37"/>
        <v>0.86180000000000001</v>
      </c>
      <c r="H122" s="3090">
        <f t="shared" si="37"/>
        <v>0.86180000000000001</v>
      </c>
      <c r="I122" s="3090">
        <f>ROUND(0.7632-0.0166*B116,4)</f>
        <v>0.72170000000000001</v>
      </c>
      <c r="J122" s="3090">
        <f t="shared" si="35"/>
        <v>0.72170000000000001</v>
      </c>
      <c r="K122" s="3090">
        <f t="shared" si="35"/>
        <v>0.72170000000000001</v>
      </c>
      <c r="L122" s="3090">
        <f t="shared" si="35"/>
        <v>0.72170000000000001</v>
      </c>
      <c r="M122" s="3110">
        <f t="shared" si="35"/>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9" priority="6" stopIfTrue="1" operator="notEqual">
      <formula>"——"</formula>
    </cfRule>
  </conditionalFormatting>
  <conditionalFormatting sqref="F61">
    <cfRule type="cellIs" dxfId="18" priority="5" stopIfTrue="1" operator="notEqual">
      <formula>"——"</formula>
    </cfRule>
  </conditionalFormatting>
  <conditionalFormatting sqref="F72">
    <cfRule type="cellIs" dxfId="17" priority="4" stopIfTrue="1" operator="notEqual">
      <formula>"——"</formula>
    </cfRule>
  </conditionalFormatting>
  <conditionalFormatting sqref="F83">
    <cfRule type="cellIs" dxfId="16" priority="3" stopIfTrue="1" operator="notEqual">
      <formula>"——"</formula>
    </cfRule>
  </conditionalFormatting>
  <conditionalFormatting sqref="H50:H58 H61:H69 H72:H80 H83:H91">
    <cfRule type="cellIs" dxfId="15" priority="2" operator="notEqual">
      <formula>"——"</formula>
    </cfRule>
  </conditionalFormatting>
  <conditionalFormatting sqref="H93:H101">
    <cfRule type="cellIs" dxfId="14"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L57"/>
  <sheetViews>
    <sheetView view="pageBreakPreview" zoomScaleNormal="70" zoomScaleSheetLayoutView="100" workbookViewId="0">
      <selection activeCell="M40" sqref="M4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3330</v>
      </c>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2777.7055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3293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6940607.4000000004</v>
      </c>
      <c r="D5" s="203" t="s">
        <v>1469</v>
      </c>
      <c r="E5" s="204" t="s">
        <v>1470</v>
      </c>
      <c r="F5" s="204" t="s">
        <v>1471</v>
      </c>
      <c r="G5" s="205"/>
    </row>
    <row r="6" spans="1:8" s="206" customFormat="1" ht="13.5" customHeight="1">
      <c r="A6" s="732" t="s">
        <v>1472</v>
      </c>
      <c r="B6" s="207" t="s">
        <v>1473</v>
      </c>
      <c r="C6" s="208">
        <f>基准地价修正!C42*基准地价修正!D42</f>
        <v>5179765.4000000004</v>
      </c>
      <c r="D6" s="209"/>
      <c r="E6" s="210"/>
      <c r="F6" s="210"/>
      <c r="G6" s="211"/>
    </row>
    <row r="7" spans="1:8" s="206" customFormat="1" ht="13.5" customHeight="1">
      <c r="A7" s="732" t="s">
        <v>1474</v>
      </c>
      <c r="B7" s="207" t="s">
        <v>1475</v>
      </c>
      <c r="C7" s="212">
        <f>ROUND(C6*F7,0)</f>
        <v>157983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1602859</v>
      </c>
      <c r="D8" s="214"/>
      <c r="E8" s="212"/>
      <c r="F8" s="213"/>
      <c r="G8" s="1714" t="s">
        <v>3592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1602859</v>
      </c>
      <c r="D10" s="795">
        <f ca="1">IF(B1="",'数据-汇总表'!E6,IF(INDIRECT("'数据-取费表'!c"&amp;$G$1)="住宅",INDIRECT("'数据-取费表'!s"&amp;$G$1),INDIRECT("'数据-取费表'!k"&amp;$G$1)+INDIRECT("'数据-取费表'!s"&amp;$G$1)))</f>
        <v>8436.1</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12" s="206" customFormat="1" ht="13.5" hidden="1" customHeight="1">
      <c r="A17" s="219" t="s">
        <v>10</v>
      </c>
      <c r="B17" s="207" t="s">
        <v>1569</v>
      </c>
      <c r="C17" s="221"/>
      <c r="D17" s="221"/>
      <c r="E17" s="221"/>
      <c r="F17" s="221"/>
      <c r="G17" s="211" t="s">
        <v>1568</v>
      </c>
    </row>
    <row r="18" spans="1:12" s="206" customFormat="1" ht="13.5" hidden="1" customHeight="1">
      <c r="A18" s="219" t="s">
        <v>11</v>
      </c>
      <c r="B18" s="207" t="s">
        <v>1570</v>
      </c>
      <c r="C18" s="212">
        <v>0</v>
      </c>
      <c r="D18" s="210"/>
      <c r="E18" s="210"/>
      <c r="F18" s="213">
        <v>3.0499999999999999E-2</v>
      </c>
      <c r="G18" s="211" t="s">
        <v>1571</v>
      </c>
    </row>
    <row r="19" spans="1:12" s="215" customFormat="1" ht="13.5" customHeight="1">
      <c r="A19" s="247" t="s">
        <v>1572</v>
      </c>
      <c r="B19" s="202" t="s">
        <v>1573</v>
      </c>
      <c r="C19" s="203" t="str">
        <f>IF(G19="已包含在土地取得成本中","0",ROUND(D19*E19,0))</f>
        <v>0</v>
      </c>
      <c r="D19" s="204">
        <f ca="1">D9+D10</f>
        <v>8436.1</v>
      </c>
      <c r="E19" s="203">
        <f>'数据-取费表'!B31</f>
        <v>200</v>
      </c>
      <c r="F19" s="223"/>
      <c r="G19" s="1714" t="s">
        <v>3593</v>
      </c>
    </row>
    <row r="20" spans="1:12" s="206" customFormat="1" ht="13.5" customHeight="1">
      <c r="A20" s="247" t="s">
        <v>1574</v>
      </c>
      <c r="B20" s="202" t="s">
        <v>1575</v>
      </c>
      <c r="C20" s="224">
        <f ca="1">ROUND((C5+C19)*F20,0)</f>
        <v>69406</v>
      </c>
      <c r="D20" s="224"/>
      <c r="E20" s="224"/>
      <c r="F20" s="225">
        <f>'数据-取费表'!B37</f>
        <v>0.01</v>
      </c>
      <c r="G20" s="226" t="s">
        <v>1576</v>
      </c>
    </row>
    <row r="21" spans="1:12" s="206" customFormat="1" ht="13.5" customHeight="1">
      <c r="A21" s="247" t="s">
        <v>1577</v>
      </c>
      <c r="B21" s="202" t="s">
        <v>1578</v>
      </c>
      <c r="C21" s="227">
        <f>F21</f>
        <v>0.03</v>
      </c>
      <c r="D21" s="228" t="s">
        <v>1579</v>
      </c>
      <c r="E21" s="224"/>
      <c r="F21" s="225">
        <f>'数据-取费表'!B38</f>
        <v>0.03</v>
      </c>
      <c r="G21" s="226" t="s">
        <v>1580</v>
      </c>
    </row>
    <row r="22" spans="1:12" s="206" customFormat="1" ht="13.5" customHeight="1">
      <c r="A22" s="247" t="s">
        <v>1581</v>
      </c>
      <c r="B22" s="202" t="s">
        <v>1582</v>
      </c>
      <c r="C22" s="224">
        <f ca="1">ROUND(SUM(C23:C25),0)</f>
        <v>443454</v>
      </c>
      <c r="D22" s="227">
        <f ca="1">C26</f>
        <v>8.9999999999999998E-4</v>
      </c>
      <c r="E22" s="228" t="s">
        <v>1579</v>
      </c>
      <c r="F22" s="229">
        <f ca="1">'数据-取费表'!B40</f>
        <v>3.1300000000000001E-2</v>
      </c>
      <c r="G22" s="226" t="str">
        <f>IF('数据-取费表'!B22&lt;=1,"单利计息","复利计息")</f>
        <v>复利计息</v>
      </c>
    </row>
    <row r="23" spans="1:12" s="206" customFormat="1" ht="13.5" customHeight="1">
      <c r="A23" s="734" t="s">
        <v>1472</v>
      </c>
      <c r="B23" s="207" t="s">
        <v>1583</v>
      </c>
      <c r="C23" s="230">
        <f ca="1">ROUND(IF('数据-取费表'!B22&lt;=1,C5*F22*'数据-取费表'!B22,C5*(POWER((1+F22),'数据-取费表'!B22)-1)),0)</f>
        <v>441282</v>
      </c>
      <c r="D23" s="230"/>
      <c r="E23" s="230"/>
      <c r="F23" s="231"/>
      <c r="G23" s="232" t="s">
        <v>1584</v>
      </c>
    </row>
    <row r="24" spans="1:12"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12" s="206" customFormat="1" ht="24">
      <c r="A25" s="734" t="s">
        <v>1476</v>
      </c>
      <c r="B25" s="207" t="s">
        <v>1587</v>
      </c>
      <c r="C25" s="230">
        <f ca="1">ROUND(IF('数据-取费表'!B22&lt;=1,C20*F22*'数据-取费表'!B22/2,C20*(POWER((1+F22),'数据-取费表'!B22/2)-1)),0)</f>
        <v>2172</v>
      </c>
      <c r="D25" s="230"/>
      <c r="E25" s="233"/>
      <c r="F25" s="231"/>
      <c r="G25" s="234" t="s">
        <v>1588</v>
      </c>
      <c r="J25" s="3508"/>
    </row>
    <row r="26" spans="1:12" s="206" customFormat="1">
      <c r="A26" s="734" t="s">
        <v>350</v>
      </c>
      <c r="B26" s="207" t="s">
        <v>1511</v>
      </c>
      <c r="C26" s="230">
        <f ca="1">ROUND(IF('数据-取费表'!B22&lt;=1,F21*F22*'数据-取费表'!B22/2,F21*(POWER((1+F22),'数据-取费表'!B22/2)-1)),4)</f>
        <v>8.9999999999999998E-4</v>
      </c>
      <c r="D26" s="230"/>
      <c r="E26" s="233"/>
      <c r="F26" s="231"/>
      <c r="G26" s="235"/>
    </row>
    <row r="27" spans="1:12" s="206" customFormat="1" ht="24.75">
      <c r="A27" s="247" t="s">
        <v>1512</v>
      </c>
      <c r="B27" s="236" t="s">
        <v>1513</v>
      </c>
      <c r="C27" s="237">
        <f ca="1">C28</f>
        <v>210300</v>
      </c>
      <c r="D27" s="227">
        <f ca="1">C29</f>
        <v>8.9999999999999998E-4</v>
      </c>
      <c r="E27" s="228" t="s">
        <v>1514</v>
      </c>
      <c r="F27" s="238">
        <f ca="1">IF(B1="",'数据-取费表'!Q16,INDIRECT("'数据-取费表'!q"&amp;$G$1))</f>
        <v>0.03</v>
      </c>
      <c r="G27" s="239" t="s">
        <v>1515</v>
      </c>
      <c r="J27" s="3578"/>
    </row>
    <row r="28" spans="1:12" s="206" customFormat="1" ht="13.5" customHeight="1">
      <c r="A28" s="734" t="s">
        <v>346</v>
      </c>
      <c r="B28" s="240" t="s">
        <v>1516</v>
      </c>
      <c r="C28" s="241">
        <f ca="1">ROUND((C5+C19+C20)*F27,0)</f>
        <v>210300</v>
      </c>
      <c r="D28" s="227"/>
      <c r="E28" s="228"/>
      <c r="F28" s="238"/>
      <c r="G28" s="239"/>
    </row>
    <row r="29" spans="1:12" s="206" customFormat="1" ht="13.5" customHeight="1">
      <c r="A29" s="734" t="s">
        <v>347</v>
      </c>
      <c r="B29" s="240" t="s">
        <v>1517</v>
      </c>
      <c r="C29" s="230">
        <f ca="1">ROUND(C21*F27,4)</f>
        <v>8.9999999999999998E-4</v>
      </c>
      <c r="D29" s="227"/>
      <c r="E29" s="228"/>
      <c r="F29" s="238"/>
      <c r="G29" s="239"/>
      <c r="I29" s="206">
        <v>12</v>
      </c>
    </row>
    <row r="30" spans="1:12" s="206" customFormat="1" ht="13.5" customHeight="1">
      <c r="A30" s="247" t="s">
        <v>1518</v>
      </c>
      <c r="B30" s="202" t="s">
        <v>1519</v>
      </c>
      <c r="C30" s="227">
        <f>ROUND(F30/(1+'数据-取费表'!C42),4)</f>
        <v>5.2400000000000002E-2</v>
      </c>
      <c r="D30" s="228" t="s">
        <v>1514</v>
      </c>
      <c r="E30" s="233"/>
      <c r="F30" s="229">
        <f>'数据-取费表'!B41</f>
        <v>5.5000000000000007E-2</v>
      </c>
      <c r="G30" s="226" t="s">
        <v>1520</v>
      </c>
      <c r="I30" s="206">
        <v>60</v>
      </c>
      <c r="J30" s="206">
        <v>114300</v>
      </c>
      <c r="L30" s="206">
        <v>150</v>
      </c>
    </row>
    <row r="31" spans="1:12" ht="16.5" customHeight="1">
      <c r="A31" s="201">
        <v>1</v>
      </c>
      <c r="B31" s="202" t="s">
        <v>1521</v>
      </c>
      <c r="C31" s="203">
        <f ca="1">ROUND((C5+C19+C20+C22+C27)/(1-C21-D22-D27-C30),0)</f>
        <v>8368385</v>
      </c>
      <c r="D31" s="222"/>
      <c r="E31" s="203"/>
      <c r="F31" s="242"/>
      <c r="G31" s="226" t="s">
        <v>1522</v>
      </c>
      <c r="I31" s="206">
        <f>J30/I29/I30</f>
        <v>158.75</v>
      </c>
      <c r="J31" s="243">
        <f>J30*J37/12</f>
        <v>142.875</v>
      </c>
      <c r="L31" s="243">
        <f>L30/J30*12</f>
        <v>1.5748031496062992E-2</v>
      </c>
    </row>
    <row r="32" spans="1:12" s="200" customFormat="1" ht="15.75">
      <c r="A32" s="244" t="s">
        <v>1589</v>
      </c>
      <c r="B32" s="245"/>
      <c r="C32" s="245"/>
      <c r="D32" s="245"/>
      <c r="E32" s="245"/>
      <c r="F32" s="245"/>
      <c r="G32" s="246"/>
    </row>
    <row r="33" spans="1:11" s="206" customFormat="1" ht="13.5" customHeight="1">
      <c r="A33" s="247" t="s">
        <v>337</v>
      </c>
      <c r="B33" s="202" t="s">
        <v>1590</v>
      </c>
      <c r="C33" s="248">
        <f ca="1">SUM(C34:C38)</f>
        <v>19740474</v>
      </c>
      <c r="D33" s="224"/>
      <c r="E33" s="204"/>
      <c r="F33" s="233"/>
      <c r="G33" s="226"/>
    </row>
    <row r="34" spans="1:11" s="250" customFormat="1" ht="13.5" customHeight="1">
      <c r="A34" s="734" t="s">
        <v>346</v>
      </c>
      <c r="B34" s="207" t="s">
        <v>1525</v>
      </c>
      <c r="C34" s="212">
        <f ca="1">ROUND(IF(B1="",SUMPRODUCT('数据-取费表'!K6:K14,'数据-取费表'!L6:L14),INDIRECT("'数据-取费表'!l"&amp;$G$1)*INDIRECT("'数据-取费表'!k"&amp;$G$1)+'数据-取费表'!L14*INDIRECT("'数据-取费表'!S"&amp;$G$1)),0)</f>
        <v>16872200</v>
      </c>
      <c r="D34" s="209"/>
      <c r="E34" s="212"/>
      <c r="F34" s="249"/>
      <c r="G34" s="211"/>
    </row>
    <row r="35" spans="1:11" ht="13.5" customHeight="1">
      <c r="A35" s="734" t="s">
        <v>351</v>
      </c>
      <c r="B35" s="207" t="s">
        <v>1527</v>
      </c>
      <c r="C35" s="212">
        <f ca="1">ROUND(C34*F35,0)</f>
        <v>843610</v>
      </c>
      <c r="D35" s="212"/>
      <c r="E35" s="212"/>
      <c r="F35" s="251">
        <f>'数据-取费表'!B33</f>
        <v>0.05</v>
      </c>
      <c r="G35" s="211" t="s">
        <v>1528</v>
      </c>
    </row>
    <row r="36" spans="1:11" ht="24">
      <c r="A36" s="734" t="s">
        <v>352</v>
      </c>
      <c r="B36" s="207" t="s">
        <v>1529</v>
      </c>
      <c r="C36" s="212">
        <f ca="1">ROUND(IF(B1="",SUM('数据-取费表'!AP6:AP13)*F36,IF(INDIRECT("'数据-取费表'!c"&amp;$G$1)="住宅",INDIRECT("'数据-取费表'!k"&amp;$G$1)*INDIRECT("'数据-取费表'!l"&amp;$G$1)*F36,0)),0)</f>
        <v>0</v>
      </c>
      <c r="D36" s="212"/>
      <c r="E36" s="212"/>
      <c r="F36" s="251">
        <f>'数据-取费表'!B34</f>
        <v>0.02</v>
      </c>
      <c r="G36" s="252" t="s">
        <v>1530</v>
      </c>
      <c r="J36" s="3597">
        <f>Sheet1!L41</f>
        <v>29.292013888888889</v>
      </c>
      <c r="K36" s="243">
        <v>60</v>
      </c>
    </row>
    <row r="37" spans="1:11" s="250" customFormat="1" ht="13.5" customHeight="1">
      <c r="A37" s="734" t="s">
        <v>353</v>
      </c>
      <c r="B37" s="207" t="s">
        <v>1531</v>
      </c>
      <c r="C37" s="241">
        <f ca="1">ROUND(E37*D37,0)</f>
        <v>1687220</v>
      </c>
      <c r="D37" s="209">
        <f ca="1">D19</f>
        <v>8436.1</v>
      </c>
      <c r="E37" s="241">
        <f>'数据-取费表'!B35</f>
        <v>200</v>
      </c>
      <c r="F37" s="251"/>
      <c r="G37" s="253"/>
      <c r="J37" s="3598">
        <v>1.4999999999999999E-2</v>
      </c>
      <c r="K37" s="250">
        <v>12</v>
      </c>
    </row>
    <row r="38" spans="1:11" ht="13.5" customHeight="1">
      <c r="A38" s="734" t="s">
        <v>354</v>
      </c>
      <c r="B38" s="207" t="s">
        <v>1533</v>
      </c>
      <c r="C38" s="212">
        <f ca="1">ROUND(C34*F38,0)</f>
        <v>337444</v>
      </c>
      <c r="D38" s="212"/>
      <c r="E38" s="212"/>
      <c r="F38" s="251">
        <f>'数据-取费表'!B36</f>
        <v>0.02</v>
      </c>
      <c r="G38" s="211" t="s">
        <v>1528</v>
      </c>
      <c r="J38" s="3596">
        <f ca="1">ROUND(B3*J37*J36/12,0)</f>
        <v>121</v>
      </c>
      <c r="K38" s="3601">
        <f ca="1">ROUND(B3/K36/K37*30,0)</f>
        <v>137</v>
      </c>
    </row>
    <row r="39" spans="1:11" s="206" customFormat="1" ht="13.5" customHeight="1">
      <c r="A39" s="247" t="s">
        <v>1534</v>
      </c>
      <c r="B39" s="202" t="s">
        <v>1535</v>
      </c>
      <c r="C39" s="224">
        <f ca="1">ROUND(C33*F20,0)</f>
        <v>197405</v>
      </c>
      <c r="D39" s="224"/>
      <c r="E39" s="224"/>
      <c r="F39" s="225">
        <f>F20</f>
        <v>0.01</v>
      </c>
      <c r="G39" s="226" t="s">
        <v>1536</v>
      </c>
      <c r="J39" s="206">
        <f ca="1">J38/J36/30</f>
        <v>0.13769395810860469</v>
      </c>
      <c r="K39" s="206">
        <f ca="1">ROUND(K38/J36/30,2)</f>
        <v>0.16</v>
      </c>
    </row>
    <row r="40" spans="1:11" s="206" customFormat="1" ht="13.5" customHeight="1">
      <c r="A40" s="247" t="s">
        <v>1537</v>
      </c>
      <c r="B40" s="202" t="s">
        <v>1538</v>
      </c>
      <c r="C40" s="227">
        <f>F21</f>
        <v>0.03</v>
      </c>
      <c r="D40" s="228" t="s">
        <v>1539</v>
      </c>
      <c r="E40" s="224"/>
      <c r="F40" s="225">
        <f>F21</f>
        <v>0.03</v>
      </c>
      <c r="G40" s="226" t="s">
        <v>1540</v>
      </c>
    </row>
    <row r="41" spans="1:11" s="206" customFormat="1" ht="13.5" customHeight="1">
      <c r="A41" s="247" t="s">
        <v>1541</v>
      </c>
      <c r="B41" s="202" t="s">
        <v>1542</v>
      </c>
      <c r="C41" s="224">
        <f ca="1">ROUND(SUM(C42:C43),0)</f>
        <v>624056</v>
      </c>
      <c r="D41" s="227">
        <f ca="1">C44</f>
        <v>8.9999999999999998E-4</v>
      </c>
      <c r="E41" s="228" t="s">
        <v>1539</v>
      </c>
      <c r="F41" s="229">
        <f ca="1">F22</f>
        <v>3.1300000000000001E-2</v>
      </c>
      <c r="G41" s="226" t="str">
        <f>IF('数据-取费表'!B22&lt;=1,"单利计息","复利计息")</f>
        <v>复利计息</v>
      </c>
    </row>
    <row r="42" spans="1:11" ht="13.5" customHeight="1">
      <c r="A42" s="734" t="s">
        <v>346</v>
      </c>
      <c r="B42" s="207" t="s">
        <v>1543</v>
      </c>
      <c r="C42" s="230">
        <f ca="1">ROUND(IF('数据-取费表'!B22&lt;=1,C33*F22*'数据-取费表'!B20/2,C33*(POWER((1+F22),'数据-取费表'!B20/2)-1)),0)</f>
        <v>617877</v>
      </c>
      <c r="D42" s="230"/>
      <c r="E42" s="230"/>
      <c r="F42" s="231"/>
      <c r="G42" s="3808" t="s">
        <v>1591</v>
      </c>
    </row>
    <row r="43" spans="1:11" ht="13.5" customHeight="1">
      <c r="A43" s="734" t="s">
        <v>347</v>
      </c>
      <c r="B43" s="207" t="s">
        <v>1545</v>
      </c>
      <c r="C43" s="230">
        <f ca="1">ROUND(IF('数据-取费表'!B22&lt;=1,C39*F22*'数据-取费表'!B20/2,C39*(POWER((1+F22),'数据-取费表'!B20/2)-1)),0)</f>
        <v>6179</v>
      </c>
      <c r="D43" s="230"/>
      <c r="E43" s="230"/>
      <c r="F43" s="231"/>
      <c r="G43" s="3809"/>
    </row>
    <row r="44" spans="1:11" ht="13.5" customHeight="1">
      <c r="A44" s="734" t="s">
        <v>348</v>
      </c>
      <c r="B44" s="207" t="s">
        <v>1546</v>
      </c>
      <c r="C44" s="230">
        <f ca="1">ROUND(IF('数据-取费表'!B22&lt;=1,C40*F22*'数据-取费表'!B20/2,C40*(POWER((1+F22),'数据-取费表'!B20/2)-1)),4)</f>
        <v>8.9999999999999998E-4</v>
      </c>
      <c r="D44" s="230"/>
      <c r="E44" s="230"/>
      <c r="F44" s="231"/>
      <c r="G44" s="3810"/>
    </row>
    <row r="45" spans="1:11" s="206" customFormat="1" ht="13.5" customHeight="1">
      <c r="A45" s="247" t="s">
        <v>1547</v>
      </c>
      <c r="B45" s="236" t="s">
        <v>1513</v>
      </c>
      <c r="C45" s="237">
        <f ca="1">C46</f>
        <v>598136</v>
      </c>
      <c r="D45" s="227">
        <f ca="1">C47</f>
        <v>8.9999999999999998E-4</v>
      </c>
      <c r="E45" s="228" t="s">
        <v>1539</v>
      </c>
      <c r="F45" s="238">
        <f ca="1">F27</f>
        <v>0.03</v>
      </c>
      <c r="G45" s="239" t="s">
        <v>1548</v>
      </c>
    </row>
    <row r="46" spans="1:11" s="206" customFormat="1" ht="13.5" customHeight="1">
      <c r="A46" s="734" t="s">
        <v>346</v>
      </c>
      <c r="B46" s="240" t="s">
        <v>1549</v>
      </c>
      <c r="C46" s="241">
        <f ca="1">ROUND((C33+C39)*F27,0)</f>
        <v>598136</v>
      </c>
      <c r="D46" s="255"/>
      <c r="E46" s="228"/>
      <c r="F46" s="238"/>
      <c r="G46" s="239"/>
    </row>
    <row r="47" spans="1:11" s="206" customFormat="1" ht="13.5" customHeight="1">
      <c r="A47" s="734" t="s">
        <v>347</v>
      </c>
      <c r="B47" s="240" t="s">
        <v>1550</v>
      </c>
      <c r="C47" s="230">
        <f ca="1">ROUND(C40*F27,4)</f>
        <v>8.9999999999999998E-4</v>
      </c>
      <c r="D47" s="255"/>
      <c r="E47" s="228"/>
      <c r="F47" s="238"/>
      <c r="G47" s="239"/>
    </row>
    <row r="48" spans="1:11"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23105559</v>
      </c>
      <c r="D49" s="224"/>
      <c r="E49" s="224"/>
      <c r="F49" s="256"/>
      <c r="G49" s="226" t="s">
        <v>1554</v>
      </c>
    </row>
    <row r="50" spans="1:7" s="250" customFormat="1">
      <c r="A50" s="247" t="s">
        <v>1555</v>
      </c>
      <c r="B50" s="202" t="s">
        <v>1556</v>
      </c>
      <c r="C50" s="224"/>
      <c r="D50" s="224"/>
      <c r="E50" s="224"/>
      <c r="F50" s="256">
        <f>IF('数据-取费表'!B24=0,'数据-取费表'!N16,1)</f>
        <v>0.84</v>
      </c>
      <c r="G50" s="239"/>
    </row>
    <row r="51" spans="1:7" ht="16.5" customHeight="1">
      <c r="A51" s="247" t="s">
        <v>1558</v>
      </c>
      <c r="B51" s="202" t="s">
        <v>1593</v>
      </c>
      <c r="C51" s="224">
        <f ca="1">ROUND(C49*F50,0)</f>
        <v>19408670</v>
      </c>
      <c r="D51" s="224"/>
      <c r="E51" s="224"/>
      <c r="F51" s="256"/>
      <c r="G51" s="226" t="s">
        <v>1560</v>
      </c>
    </row>
    <row r="52" spans="1:7" s="200" customFormat="1" ht="16.5" thickBot="1">
      <c r="A52" s="257" t="s">
        <v>1561</v>
      </c>
      <c r="B52" s="258"/>
      <c r="C52" s="259">
        <f ca="1">C31+C51</f>
        <v>27777055</v>
      </c>
      <c r="D52" s="258"/>
      <c r="E52" s="258"/>
      <c r="F52" s="258"/>
      <c r="G52" s="260"/>
    </row>
    <row r="55" spans="1:7" ht="15">
      <c r="B55" s="262" t="s">
        <v>1562</v>
      </c>
      <c r="C55" s="263"/>
    </row>
    <row r="56" spans="1:7">
      <c r="B56" s="265" t="s">
        <v>802</v>
      </c>
      <c r="C56" s="267">
        <f ca="1">1-C57</f>
        <v>0.30100000000000005</v>
      </c>
    </row>
    <row r="57" spans="1:7">
      <c r="B57" s="265" t="s">
        <v>803</v>
      </c>
      <c r="C57" s="266">
        <f ca="1">ROUND(C51/C52,3)</f>
        <v>0.69899999999999995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06584-BBB1-4B43-BEB8-451E871D9CF4}">
  <sheetPr>
    <tabColor rgb="FF92D050"/>
    <pageSetUpPr fitToPage="1"/>
  </sheetPr>
  <dimension ref="A1:K57"/>
  <sheetViews>
    <sheetView view="pageBreakPreview" zoomScaleNormal="70" zoomScaleSheetLayoutView="10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3331</v>
      </c>
      <c r="C1" s="1717" t="s">
        <v>1563</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2057.9216999999999</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f ca="1">ROUND(B2*10000/(IF(B1="",'数据-汇总表'!E3,INDIRECT("'数据-取费表'!k"&amp;$G$1))),0)</f>
        <v>4056</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7385497.080000001</v>
      </c>
      <c r="D5" s="203" t="s">
        <v>1469</v>
      </c>
      <c r="E5" s="204" t="s">
        <v>1470</v>
      </c>
      <c r="F5" s="204" t="s">
        <v>1471</v>
      </c>
      <c r="G5" s="205"/>
    </row>
    <row r="6" spans="1:8" s="206" customFormat="1" ht="13.5" customHeight="1">
      <c r="A6" s="732" t="s">
        <v>346</v>
      </c>
      <c r="B6" s="207" t="s">
        <v>1473</v>
      </c>
      <c r="C6" s="208">
        <f>基准地价修正!C41*基准地价修正!D41</f>
        <v>6231314.080000001</v>
      </c>
      <c r="D6" s="209"/>
      <c r="E6" s="210"/>
      <c r="F6" s="210"/>
      <c r="G6" s="211"/>
    </row>
    <row r="7" spans="1:8" s="206" customFormat="1" ht="13.5" customHeight="1">
      <c r="A7" s="732" t="s">
        <v>347</v>
      </c>
      <c r="B7" s="207" t="s">
        <v>1475</v>
      </c>
      <c r="C7" s="212">
        <f>ROUND(C6*F7,0)</f>
        <v>190055</v>
      </c>
      <c r="D7" s="212"/>
      <c r="E7" s="210"/>
      <c r="F7" s="213">
        <f>IF(项目基本情况!B8="出让",0,'数据-取费表'!B48+'数据-取费表'!B49)</f>
        <v>3.0499999999999999E-2</v>
      </c>
      <c r="G7" s="211"/>
    </row>
    <row r="8" spans="1:8" s="215" customFormat="1">
      <c r="A8" s="732" t="s">
        <v>348</v>
      </c>
      <c r="B8" s="207" t="s">
        <v>1477</v>
      </c>
      <c r="C8" s="212">
        <f ca="1">IF(G8="已包含在土地购买价格中",0,C9+C10)</f>
        <v>964128</v>
      </c>
      <c r="D8" s="214"/>
      <c r="E8" s="212"/>
      <c r="F8" s="213"/>
      <c r="G8" s="1714" t="s">
        <v>3592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964128</v>
      </c>
      <c r="D10" s="795">
        <f ca="1">IF(B1="",'数据-汇总表'!E6,IF(INDIRECT("'数据-取费表'!c"&amp;$G$1)="住宅",INDIRECT("'数据-取费表'!s"&amp;$G$1),INDIRECT("'数据-取费表'!k"&amp;$G$1)+INDIRECT("'数据-取费表'!s"&amp;$G$1)))</f>
        <v>5074.3600000000006</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10" s="206" customFormat="1" ht="13.5" hidden="1" customHeight="1">
      <c r="A17" s="219" t="s">
        <v>10</v>
      </c>
      <c r="B17" s="207" t="s">
        <v>1488</v>
      </c>
      <c r="C17" s="221"/>
      <c r="D17" s="221"/>
      <c r="E17" s="221"/>
      <c r="F17" s="221"/>
      <c r="G17" s="211" t="s">
        <v>1487</v>
      </c>
    </row>
    <row r="18" spans="1:10" s="206" customFormat="1" ht="13.5" hidden="1" customHeight="1">
      <c r="A18" s="219" t="s">
        <v>11</v>
      </c>
      <c r="B18" s="207" t="s">
        <v>1489</v>
      </c>
      <c r="C18" s="212">
        <v>0</v>
      </c>
      <c r="D18" s="210"/>
      <c r="E18" s="210"/>
      <c r="F18" s="213">
        <v>3.0499999999999999E-2</v>
      </c>
      <c r="G18" s="211" t="s">
        <v>1490</v>
      </c>
    </row>
    <row r="19" spans="1:10" s="215" customFormat="1" ht="13.5" customHeight="1">
      <c r="A19" s="247" t="s">
        <v>1491</v>
      </c>
      <c r="B19" s="202" t="s">
        <v>1492</v>
      </c>
      <c r="C19" s="203" t="str">
        <f>IF(G19="已包含在土地取得成本中","0",ROUND(D19*E19,0))</f>
        <v>0</v>
      </c>
      <c r="D19" s="204">
        <f ca="1">D9+D10</f>
        <v>5074.3600000000006</v>
      </c>
      <c r="E19" s="203">
        <f>'数据-取费表'!B31</f>
        <v>200</v>
      </c>
      <c r="F19" s="223"/>
      <c r="G19" s="1714" t="s">
        <v>3593</v>
      </c>
    </row>
    <row r="20" spans="1:10" s="206" customFormat="1" ht="13.5" customHeight="1">
      <c r="A20" s="247" t="s">
        <v>1493</v>
      </c>
      <c r="B20" s="202" t="s">
        <v>1494</v>
      </c>
      <c r="C20" s="224">
        <f ca="1">ROUND((C5+C19)*F20,0)</f>
        <v>73855</v>
      </c>
      <c r="D20" s="224"/>
      <c r="E20" s="224"/>
      <c r="F20" s="225">
        <f>'数据-取费表'!B37</f>
        <v>0.01</v>
      </c>
      <c r="G20" s="226" t="s">
        <v>1495</v>
      </c>
    </row>
    <row r="21" spans="1:10" s="206" customFormat="1" ht="13.5" customHeight="1">
      <c r="A21" s="247" t="s">
        <v>1496</v>
      </c>
      <c r="B21" s="202" t="s">
        <v>1497</v>
      </c>
      <c r="C21" s="227">
        <f>F21</f>
        <v>0.03</v>
      </c>
      <c r="D21" s="228" t="s">
        <v>1498</v>
      </c>
      <c r="E21" s="224"/>
      <c r="F21" s="225">
        <f>'数据-取费表'!B38</f>
        <v>0.03</v>
      </c>
      <c r="G21" s="226" t="s">
        <v>1499</v>
      </c>
    </row>
    <row r="22" spans="1:10" s="206" customFormat="1" ht="13.5" customHeight="1">
      <c r="A22" s="247" t="s">
        <v>1500</v>
      </c>
      <c r="B22" s="202" t="s">
        <v>1501</v>
      </c>
      <c r="C22" s="224">
        <f ca="1">ROUND(SUM(C23:C25),0)</f>
        <v>471880</v>
      </c>
      <c r="D22" s="227">
        <f ca="1">C26</f>
        <v>8.9999999999999998E-4</v>
      </c>
      <c r="E22" s="228" t="s">
        <v>1498</v>
      </c>
      <c r="F22" s="229">
        <f ca="1">'数据-取费表'!B40</f>
        <v>3.1300000000000001E-2</v>
      </c>
      <c r="G22" s="226" t="str">
        <f>IF('数据-取费表'!B22&lt;=1,"单利计息","复利计息")</f>
        <v>复利计息</v>
      </c>
    </row>
    <row r="23" spans="1:10" s="206" customFormat="1" ht="13.5" customHeight="1">
      <c r="A23" s="734" t="s">
        <v>346</v>
      </c>
      <c r="B23" s="207" t="s">
        <v>1503</v>
      </c>
      <c r="C23" s="230">
        <f ca="1">ROUND(IF('数据-取费表'!B22&lt;=1,C5*F22*'数据-取费表'!B22,C5*(POWER((1+F22),'数据-取费表'!B22)-1)),0)</f>
        <v>469568</v>
      </c>
      <c r="D23" s="230"/>
      <c r="E23" s="230"/>
      <c r="F23" s="231"/>
      <c r="G23" s="232" t="s">
        <v>1504</v>
      </c>
    </row>
    <row r="24" spans="1:10"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10" s="206" customFormat="1" ht="24">
      <c r="A25" s="734" t="s">
        <v>348</v>
      </c>
      <c r="B25" s="207" t="s">
        <v>1509</v>
      </c>
      <c r="C25" s="230">
        <f ca="1">ROUND(IF('数据-取费表'!B22&lt;=1,C20*F22*'数据-取费表'!B22/2,C20*(POWER((1+F22),'数据-取费表'!B22/2)-1)),0)</f>
        <v>2312</v>
      </c>
      <c r="D25" s="230"/>
      <c r="E25" s="233"/>
      <c r="F25" s="231"/>
      <c r="G25" s="234" t="s">
        <v>1510</v>
      </c>
      <c r="J25" s="3508"/>
    </row>
    <row r="26" spans="1:10" s="206" customFormat="1">
      <c r="A26" s="734" t="s">
        <v>350</v>
      </c>
      <c r="B26" s="207" t="s">
        <v>1511</v>
      </c>
      <c r="C26" s="230">
        <f ca="1">ROUND(IF('数据-取费表'!B22&lt;=1,F21*F22*'数据-取费表'!B22/2,F21*(POWER((1+F22),'数据-取费表'!B22/2)-1)),4)</f>
        <v>8.9999999999999998E-4</v>
      </c>
      <c r="D26" s="230"/>
      <c r="E26" s="233"/>
      <c r="F26" s="231"/>
      <c r="G26" s="235"/>
    </row>
    <row r="27" spans="1:10" s="206" customFormat="1" ht="24.75">
      <c r="A27" s="247" t="s">
        <v>1512</v>
      </c>
      <c r="B27" s="236" t="s">
        <v>1513</v>
      </c>
      <c r="C27" s="237">
        <f ca="1">C28</f>
        <v>223781</v>
      </c>
      <c r="D27" s="227">
        <f ca="1">C29</f>
        <v>8.9999999999999998E-4</v>
      </c>
      <c r="E27" s="228" t="s">
        <v>1498</v>
      </c>
      <c r="F27" s="238">
        <f ca="1">IF(B1="",'数据-取费表'!Q16,INDIRECT("'数据-取费表'!q"&amp;$G$1))</f>
        <v>0.03</v>
      </c>
      <c r="G27" s="239" t="s">
        <v>1515</v>
      </c>
      <c r="J27" s="3578"/>
    </row>
    <row r="28" spans="1:10" s="206" customFormat="1" ht="13.5" customHeight="1">
      <c r="A28" s="734" t="s">
        <v>346</v>
      </c>
      <c r="B28" s="240" t="s">
        <v>1516</v>
      </c>
      <c r="C28" s="241">
        <f ca="1">ROUND((C5+C19+C20)*F27,0)</f>
        <v>223781</v>
      </c>
      <c r="D28" s="227"/>
      <c r="E28" s="228"/>
      <c r="F28" s="238"/>
      <c r="G28" s="239"/>
    </row>
    <row r="29" spans="1:10" s="206" customFormat="1" ht="13.5" customHeight="1">
      <c r="A29" s="734" t="s">
        <v>347</v>
      </c>
      <c r="B29" s="240" t="s">
        <v>1517</v>
      </c>
      <c r="C29" s="230">
        <f ca="1">ROUND(C21*F27,4)</f>
        <v>8.9999999999999998E-4</v>
      </c>
      <c r="D29" s="227"/>
      <c r="E29" s="228"/>
      <c r="F29" s="238"/>
      <c r="G29" s="239"/>
    </row>
    <row r="30" spans="1:10" s="206" customFormat="1" ht="13.5" customHeight="1">
      <c r="A30" s="247" t="s">
        <v>1518</v>
      </c>
      <c r="B30" s="202" t="s">
        <v>1519</v>
      </c>
      <c r="C30" s="227">
        <f>ROUND(F30/(1+'数据-取费表'!C42),4)</f>
        <v>5.2400000000000002E-2</v>
      </c>
      <c r="D30" s="228" t="s">
        <v>1498</v>
      </c>
      <c r="E30" s="233"/>
      <c r="F30" s="229">
        <f>'数据-取费表'!B41</f>
        <v>5.5000000000000007E-2</v>
      </c>
      <c r="G30" s="226" t="s">
        <v>1520</v>
      </c>
      <c r="J30" s="206">
        <f ca="1">B3/60/365</f>
        <v>0.18520547945205479</v>
      </c>
    </row>
    <row r="31" spans="1:10" ht="16.5" customHeight="1">
      <c r="A31" s="201">
        <v>1</v>
      </c>
      <c r="B31" s="202" t="s">
        <v>1521</v>
      </c>
      <c r="C31" s="203">
        <f ca="1">ROUND((C5+C19+C20+C22+C27)/(1-C21-D22-D27-C30),0)</f>
        <v>8904797</v>
      </c>
      <c r="D31" s="222"/>
      <c r="E31" s="203"/>
      <c r="F31" s="242"/>
      <c r="G31" s="226" t="s">
        <v>1522</v>
      </c>
    </row>
    <row r="32" spans="1:10" s="200" customFormat="1" ht="15.75">
      <c r="A32" s="244" t="s">
        <v>1589</v>
      </c>
      <c r="B32" s="245"/>
      <c r="C32" s="245"/>
      <c r="D32" s="245"/>
      <c r="E32" s="245"/>
      <c r="F32" s="245"/>
      <c r="G32" s="246"/>
    </row>
    <row r="33" spans="1:11" s="206" customFormat="1" ht="13.5" customHeight="1">
      <c r="A33" s="247" t="s">
        <v>337</v>
      </c>
      <c r="B33" s="202" t="s">
        <v>1590</v>
      </c>
      <c r="C33" s="248">
        <f ca="1">SUM(C34:C38)</f>
        <v>11874002</v>
      </c>
      <c r="D33" s="224"/>
      <c r="E33" s="204"/>
      <c r="F33" s="233"/>
      <c r="G33" s="226"/>
    </row>
    <row r="34" spans="1:11" s="250" customFormat="1" ht="13.5" customHeight="1">
      <c r="A34" s="734" t="s">
        <v>346</v>
      </c>
      <c r="B34" s="207" t="s">
        <v>1525</v>
      </c>
      <c r="C34" s="212">
        <f ca="1">ROUND(IF(B1="",SUMPRODUCT('数据-取费表'!K6:K14,'数据-取费表'!L6:L14),INDIRECT("'数据-取费表'!l"&amp;$G$1)*INDIRECT("'数据-取费表'!k"&amp;$G$1)+'数据-取费表'!L14*INDIRECT("'数据-取费表'!S"&amp;$G$1)),0)</f>
        <v>10148720</v>
      </c>
      <c r="D34" s="209"/>
      <c r="E34" s="212"/>
      <c r="F34" s="249"/>
      <c r="G34" s="211"/>
    </row>
    <row r="35" spans="1:11" ht="13.5" customHeight="1">
      <c r="A35" s="734" t="s">
        <v>351</v>
      </c>
      <c r="B35" s="207" t="s">
        <v>1527</v>
      </c>
      <c r="C35" s="212">
        <f ca="1">ROUND(C34*F35,0)</f>
        <v>507436</v>
      </c>
      <c r="D35" s="212"/>
      <c r="E35" s="212"/>
      <c r="F35" s="251">
        <f>'数据-取费表'!B33</f>
        <v>0.05</v>
      </c>
      <c r="G35" s="211" t="s">
        <v>1528</v>
      </c>
      <c r="J35" s="3602" t="s">
        <v>3657</v>
      </c>
      <c r="K35" s="3602" t="s">
        <v>3656</v>
      </c>
    </row>
    <row r="36" spans="1:11" ht="24">
      <c r="A36" s="734" t="s">
        <v>352</v>
      </c>
      <c r="B36" s="207" t="s">
        <v>1529</v>
      </c>
      <c r="C36" s="212">
        <f ca="1">ROUND(IF(B1="",SUM('数据-取费表'!AP6:AP13)*F36,IF(INDIRECT("'数据-取费表'!c"&amp;$G$1)="住宅",INDIRECT("'数据-取费表'!k"&amp;$G$1)*INDIRECT("'数据-取费表'!l"&amp;$G$1)*F36,0)),0)</f>
        <v>0</v>
      </c>
      <c r="D36" s="212"/>
      <c r="E36" s="212"/>
      <c r="F36" s="251">
        <f>'数据-取费表'!B34</f>
        <v>0.02</v>
      </c>
      <c r="G36" s="252" t="s">
        <v>1530</v>
      </c>
      <c r="J36" s="3597">
        <f>Sheet1!$J$41</f>
        <v>17.085387205387207</v>
      </c>
      <c r="K36" s="243">
        <v>60</v>
      </c>
    </row>
    <row r="37" spans="1:11" s="250" customFormat="1" ht="13.5" customHeight="1">
      <c r="A37" s="734" t="s">
        <v>353</v>
      </c>
      <c r="B37" s="207" t="s">
        <v>1531</v>
      </c>
      <c r="C37" s="241">
        <f ca="1">ROUND(E37*D37,0)</f>
        <v>1014872</v>
      </c>
      <c r="D37" s="209">
        <f ca="1">D19</f>
        <v>5074.3600000000006</v>
      </c>
      <c r="E37" s="241">
        <f>'数据-取费表'!B35</f>
        <v>200</v>
      </c>
      <c r="F37" s="251"/>
      <c r="G37" s="253"/>
      <c r="J37" s="3598">
        <v>1.4999999999999999E-2</v>
      </c>
      <c r="K37" s="3600">
        <v>365</v>
      </c>
    </row>
    <row r="38" spans="1:11" ht="13.5" customHeight="1">
      <c r="A38" s="734" t="s">
        <v>354</v>
      </c>
      <c r="B38" s="207" t="s">
        <v>1533</v>
      </c>
      <c r="C38" s="212">
        <f ca="1">ROUND(C34*F38,0)</f>
        <v>202974</v>
      </c>
      <c r="D38" s="212"/>
      <c r="E38" s="212"/>
      <c r="F38" s="251">
        <f>'数据-取费表'!B36</f>
        <v>0.02</v>
      </c>
      <c r="G38" s="211" t="s">
        <v>1528</v>
      </c>
      <c r="I38" s="3602" t="s">
        <v>3658</v>
      </c>
      <c r="J38" s="3599">
        <f ca="1">ROUND(B3*J37/365,2)</f>
        <v>0.17</v>
      </c>
      <c r="K38" s="3601">
        <f ca="1">ROUND(B3/K36/K37,2)</f>
        <v>0.19</v>
      </c>
    </row>
    <row r="39" spans="1:11" s="206" customFormat="1" ht="13.5" customHeight="1">
      <c r="A39" s="247" t="s">
        <v>1491</v>
      </c>
      <c r="B39" s="202" t="s">
        <v>1494</v>
      </c>
      <c r="C39" s="224">
        <f ca="1">ROUND(C33*F20,0)</f>
        <v>118740</v>
      </c>
      <c r="D39" s="224"/>
      <c r="E39" s="224"/>
      <c r="F39" s="225">
        <f>F20</f>
        <v>0.01</v>
      </c>
      <c r="G39" s="226" t="s">
        <v>1536</v>
      </c>
      <c r="I39" s="3603" t="s">
        <v>3659</v>
      </c>
      <c r="J39" s="206">
        <f ca="1">ROUND(J38*30*J36,0)</f>
        <v>87</v>
      </c>
      <c r="K39" s="206">
        <f ca="1">ROUND(K38*J36*30,0)</f>
        <v>97</v>
      </c>
    </row>
    <row r="40" spans="1:11" s="206" customFormat="1" ht="13.5" customHeight="1">
      <c r="A40" s="247" t="s">
        <v>1493</v>
      </c>
      <c r="B40" s="202" t="s">
        <v>1497</v>
      </c>
      <c r="C40" s="227">
        <f>F21</f>
        <v>0.03</v>
      </c>
      <c r="D40" s="228" t="s">
        <v>1539</v>
      </c>
      <c r="E40" s="224"/>
      <c r="F40" s="225">
        <f>F21</f>
        <v>0.03</v>
      </c>
      <c r="G40" s="226" t="s">
        <v>1540</v>
      </c>
    </row>
    <row r="41" spans="1:11" s="206" customFormat="1" ht="13.5" customHeight="1">
      <c r="A41" s="247" t="s">
        <v>1496</v>
      </c>
      <c r="B41" s="202" t="s">
        <v>1501</v>
      </c>
      <c r="C41" s="224">
        <f ca="1">ROUND(SUM(C42:C43),0)</f>
        <v>375373</v>
      </c>
      <c r="D41" s="227">
        <f ca="1">C44</f>
        <v>8.9999999999999998E-4</v>
      </c>
      <c r="E41" s="228" t="s">
        <v>1539</v>
      </c>
      <c r="F41" s="229">
        <f ca="1">F22</f>
        <v>3.1300000000000001E-2</v>
      </c>
      <c r="G41" s="226" t="str">
        <f>IF('数据-取费表'!B22&lt;=1,"单利计息","复利计息")</f>
        <v>复利计息</v>
      </c>
    </row>
    <row r="42" spans="1:11" ht="13.5" customHeight="1">
      <c r="A42" s="734" t="s">
        <v>346</v>
      </c>
      <c r="B42" s="207" t="s">
        <v>1503</v>
      </c>
      <c r="C42" s="230">
        <f ca="1">ROUND(IF('数据-取费表'!B22&lt;=1,C33*F22*'数据-取费表'!B20/2,C33*(POWER((1+F22),'数据-取费表'!B20/2)-1)),0)</f>
        <v>371656</v>
      </c>
      <c r="D42" s="230"/>
      <c r="E42" s="230"/>
      <c r="F42" s="231"/>
      <c r="G42" s="3808" t="s">
        <v>1591</v>
      </c>
    </row>
    <row r="43" spans="1:11" ht="13.5" customHeight="1">
      <c r="A43" s="734" t="s">
        <v>347</v>
      </c>
      <c r="B43" s="207" t="s">
        <v>1506</v>
      </c>
      <c r="C43" s="230">
        <f ca="1">ROUND(IF('数据-取费表'!B22&lt;=1,C39*F22*'数据-取费表'!B20/2,C39*(POWER((1+F22),'数据-取费表'!B20/2)-1)),0)</f>
        <v>3717</v>
      </c>
      <c r="D43" s="230"/>
      <c r="E43" s="230"/>
      <c r="F43" s="231"/>
      <c r="G43" s="3809"/>
    </row>
    <row r="44" spans="1:11" ht="13.5" customHeight="1">
      <c r="A44" s="734" t="s">
        <v>348</v>
      </c>
      <c r="B44" s="207" t="s">
        <v>1509</v>
      </c>
      <c r="C44" s="230">
        <f ca="1">ROUND(IF('数据-取费表'!B22&lt;=1,C40*F22*'数据-取费表'!B20/2,C40*(POWER((1+F22),'数据-取费表'!B20/2)-1)),4)</f>
        <v>8.9999999999999998E-4</v>
      </c>
      <c r="D44" s="230"/>
      <c r="E44" s="230"/>
      <c r="F44" s="231"/>
      <c r="G44" s="3810"/>
    </row>
    <row r="45" spans="1:11" s="206" customFormat="1" ht="13.5" customHeight="1">
      <c r="A45" s="247" t="s">
        <v>1500</v>
      </c>
      <c r="B45" s="236" t="s">
        <v>1513</v>
      </c>
      <c r="C45" s="237">
        <f ca="1">C46</f>
        <v>359782</v>
      </c>
      <c r="D45" s="227">
        <f ca="1">C47</f>
        <v>8.9999999999999998E-4</v>
      </c>
      <c r="E45" s="228" t="s">
        <v>1539</v>
      </c>
      <c r="F45" s="238">
        <f ca="1">F27</f>
        <v>0.03</v>
      </c>
      <c r="G45" s="239" t="s">
        <v>1548</v>
      </c>
    </row>
    <row r="46" spans="1:11" s="206" customFormat="1" ht="13.5" customHeight="1">
      <c r="A46" s="734" t="s">
        <v>346</v>
      </c>
      <c r="B46" s="240" t="s">
        <v>1549</v>
      </c>
      <c r="C46" s="241">
        <f ca="1">ROUND((C33+C39)*F27,0)</f>
        <v>359782</v>
      </c>
      <c r="D46" s="255"/>
      <c r="E46" s="228"/>
      <c r="F46" s="238"/>
      <c r="G46" s="239"/>
    </row>
    <row r="47" spans="1:11" s="206" customFormat="1" ht="13.5" customHeight="1">
      <c r="A47" s="734" t="s">
        <v>347</v>
      </c>
      <c r="B47" s="240" t="s">
        <v>1550</v>
      </c>
      <c r="C47" s="230">
        <f ca="1">ROUND(C40*F27,4)</f>
        <v>8.9999999999999998E-4</v>
      </c>
      <c r="D47" s="255"/>
      <c r="E47" s="228"/>
      <c r="F47" s="238"/>
      <c r="G47" s="239"/>
    </row>
    <row r="48" spans="1:11"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13898119</v>
      </c>
      <c r="D49" s="224"/>
      <c r="E49" s="224"/>
      <c r="F49" s="256"/>
      <c r="G49" s="226" t="s">
        <v>1554</v>
      </c>
    </row>
    <row r="50" spans="1:7" s="250" customFormat="1">
      <c r="A50" s="247" t="s">
        <v>1555</v>
      </c>
      <c r="B50" s="202" t="s">
        <v>1556</v>
      </c>
      <c r="C50" s="224"/>
      <c r="D50" s="224"/>
      <c r="E50" s="224"/>
      <c r="F50" s="256">
        <f>IF('数据-取费表'!B24=0,'数据-取费表'!N16,1)</f>
        <v>0.84</v>
      </c>
      <c r="G50" s="239"/>
    </row>
    <row r="51" spans="1:7" ht="16.5" customHeight="1">
      <c r="A51" s="247" t="s">
        <v>1558</v>
      </c>
      <c r="B51" s="202" t="s">
        <v>1593</v>
      </c>
      <c r="C51" s="224">
        <f ca="1">ROUND(C49*F50,0)</f>
        <v>11674420</v>
      </c>
      <c r="D51" s="224"/>
      <c r="E51" s="224"/>
      <c r="F51" s="256"/>
      <c r="G51" s="226" t="s">
        <v>1560</v>
      </c>
    </row>
    <row r="52" spans="1:7" s="200" customFormat="1" ht="16.5" thickBot="1">
      <c r="A52" s="257" t="s">
        <v>1561</v>
      </c>
      <c r="B52" s="258"/>
      <c r="C52" s="259">
        <f ca="1">C31+C51</f>
        <v>20579217</v>
      </c>
      <c r="D52" s="258"/>
      <c r="E52" s="258"/>
      <c r="F52" s="258"/>
      <c r="G52" s="260"/>
    </row>
    <row r="55" spans="1:7" ht="15">
      <c r="B55" s="262" t="s">
        <v>1562</v>
      </c>
      <c r="C55" s="263"/>
    </row>
    <row r="56" spans="1:7">
      <c r="B56" s="265" t="s">
        <v>802</v>
      </c>
      <c r="C56" s="267">
        <f ca="1">1-C57</f>
        <v>0.43300000000000005</v>
      </c>
    </row>
    <row r="57" spans="1:7">
      <c r="B57" s="265" t="s">
        <v>803</v>
      </c>
      <c r="C57" s="266">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6BCC4ED7-E260-435C-9C30-CDA6216C31F9}">
      <formula1>"需扣减承租人权益,——"</formula1>
    </dataValidation>
    <dataValidation type="list" allowBlank="1" showInputMessage="1" showErrorMessage="1" sqref="G2" xr:uid="{B34057A8-E093-4F15-8CBA-E9380C832063}">
      <formula1>估价方法</formula1>
    </dataValidation>
    <dataValidation type="list" allowBlank="1" showInputMessage="1" showErrorMessage="1" sqref="B1" xr:uid="{6EB62B86-BC28-469C-8A7F-0BC0EC8B5E51}">
      <formula1>项目类型</formula1>
    </dataValidation>
    <dataValidation type="list" allowBlank="1" showInputMessage="1" showErrorMessage="1" sqref="G19" xr:uid="{98B3E286-90B0-42D0-9958-5D448E5FE147}">
      <formula1>"已包含在土地取得成本中,未包含在土地取得成本中"</formula1>
    </dataValidation>
    <dataValidation type="list" allowBlank="1" showInputMessage="1" showErrorMessage="1" sqref="G8" xr:uid="{E9587FBE-E79D-433A-BBCE-BAFC27AEA38C}">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6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1"/>
      <c r="C2" s="3631"/>
      <c r="D2" s="3631"/>
      <c r="E2" s="3631"/>
    </row>
    <row r="3" spans="1:5" ht="18">
      <c r="A3" s="3632" t="str">
        <f>IF(项目基本情况!B9="房地产市场价值","估价结果一览表（市场价值不需“结果表-1”）","估价结果一览表")</f>
        <v>估价结果一览表</v>
      </c>
      <c r="B3" s="3632"/>
      <c r="C3" s="3632"/>
      <c r="D3" s="3632"/>
      <c r="E3" s="3632"/>
    </row>
    <row r="4" spans="1:5" ht="19.5" thickBot="1">
      <c r="A4" s="1391"/>
      <c r="B4" s="3630" t="s">
        <v>917</v>
      </c>
      <c r="C4" s="3630"/>
      <c r="D4" s="3630"/>
      <c r="E4" s="1391"/>
    </row>
    <row r="5" spans="1:5" ht="16.5" thickTop="1">
      <c r="B5" s="3628" t="s">
        <v>909</v>
      </c>
      <c r="C5" s="1392" t="s">
        <v>910</v>
      </c>
      <c r="D5" s="797" t="e">
        <f ca="1">结果表!H101</f>
        <v>#REF!</v>
      </c>
    </row>
    <row r="6" spans="1:5" ht="15.75">
      <c r="B6" s="3628"/>
      <c r="C6" s="1392" t="s">
        <v>911</v>
      </c>
      <c r="D6" s="797" t="e">
        <f ca="1">NUMBERSTRING(INT(D5*10000),2)&amp;"元整"</f>
        <v>#REF!</v>
      </c>
    </row>
    <row r="7" spans="1:5" ht="15.75">
      <c r="B7" s="3633"/>
      <c r="C7" s="1393" t="s">
        <v>912</v>
      </c>
      <c r="D7" s="798" t="e">
        <f ca="1">结果表!H102</f>
        <v>#REF!</v>
      </c>
    </row>
    <row r="8" spans="1:5" ht="15.75">
      <c r="B8" s="3634" t="str">
        <f>结果表!E103</f>
        <v>2.估价师知悉的法定优先受偿款</v>
      </c>
      <c r="C8" s="1394" t="s">
        <v>913</v>
      </c>
      <c r="D8" s="798">
        <f>结果表!H103</f>
        <v>0</v>
      </c>
    </row>
    <row r="9" spans="1:5" ht="15.75">
      <c r="B9" s="363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627" t="str">
        <f>结果表!E107</f>
        <v>3.房地产抵押价值</v>
      </c>
      <c r="C13" s="1397" t="s">
        <v>910</v>
      </c>
      <c r="D13" s="800" t="e">
        <f ca="1">结果表!H107</f>
        <v>#REF!</v>
      </c>
    </row>
    <row r="14" spans="1:5" ht="15.75">
      <c r="B14" s="3628"/>
      <c r="C14" s="1392" t="s">
        <v>911</v>
      </c>
      <c r="D14" s="797" t="e">
        <f ca="1">NUMBERSTRING(INT(D13*10000),2)&amp;"元整"</f>
        <v>#REF!</v>
      </c>
    </row>
    <row r="15" spans="1:5" ht="15">
      <c r="B15" s="3633"/>
      <c r="C15" s="1393" t="s">
        <v>921</v>
      </c>
      <c r="D15" s="806" t="e">
        <f ca="1">结果表!H108</f>
        <v>#REF!</v>
      </c>
    </row>
    <row r="16" spans="1:5" ht="15">
      <c r="B16" s="3634" t="str">
        <f>结果表!E109</f>
        <v>——</v>
      </c>
      <c r="C16" s="1397" t="s">
        <v>922</v>
      </c>
      <c r="D16" s="1398" t="str">
        <f>结果表!H109</f>
        <v>——</v>
      </c>
    </row>
    <row r="17" spans="1:5" ht="15.75">
      <c r="B17" s="3635"/>
      <c r="C17" s="1392" t="s">
        <v>923</v>
      </c>
      <c r="D17" s="797" t="e">
        <f>NUMBERSTRING(INT(D16*10000),2)&amp;"元整"</f>
        <v>#VALUE!</v>
      </c>
    </row>
    <row r="18" spans="1:5" ht="15">
      <c r="B18" s="3636"/>
      <c r="C18" s="1393" t="s">
        <v>912</v>
      </c>
      <c r="D18" s="806" t="str">
        <f>结果表!H110</f>
        <v>——</v>
      </c>
    </row>
    <row r="19" spans="1:5" ht="15.75">
      <c r="B19" s="3627" t="str">
        <f>结果表!E111</f>
        <v>——</v>
      </c>
      <c r="C19" s="1397" t="s">
        <v>910</v>
      </c>
      <c r="D19" s="798" t="str">
        <f>结果表!H111</f>
        <v>——</v>
      </c>
    </row>
    <row r="20" spans="1:5" ht="15.75">
      <c r="B20" s="3628"/>
      <c r="C20" s="1392" t="s">
        <v>923</v>
      </c>
      <c r="D20" s="797" t="e">
        <f>NUMBERSTRING(INT(D19*10000),2)&amp;"元整"</f>
        <v>#VALUE!</v>
      </c>
    </row>
    <row r="21" spans="1:5" ht="15.75" thickBot="1">
      <c r="B21" s="362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CE740-C84B-4EA6-BDDF-0EE3EB0C7B79}">
  <sheetPr>
    <tabColor rgb="FFFF0000"/>
  </sheetPr>
  <dimension ref="A1:P43"/>
  <sheetViews>
    <sheetView view="pageBreakPreview" zoomScaleSheetLayoutView="100" workbookViewId="0">
      <selection activeCell="C4" sqref="C4:F6"/>
    </sheetView>
  </sheetViews>
  <sheetFormatPr defaultColWidth="9" defaultRowHeight="13.5"/>
  <cols>
    <col min="1" max="1" width="6.375" style="3513" customWidth="1"/>
    <col min="2" max="2" width="19.375" style="3559" customWidth="1"/>
    <col min="3" max="3" width="7.125" style="3513" customWidth="1"/>
    <col min="4" max="4" width="6.375" style="3513" customWidth="1"/>
    <col min="5" max="5" width="7.375" style="3513" customWidth="1"/>
    <col min="6" max="6" width="6.5" style="3513" customWidth="1"/>
    <col min="7" max="7" width="19.375" style="3560" customWidth="1"/>
    <col min="8" max="8" width="19.5" style="3513" customWidth="1"/>
    <col min="9" max="9" width="8.625" style="3513" customWidth="1"/>
    <col min="10" max="10" width="10.5" style="3509" customWidth="1"/>
    <col min="11" max="11" width="4.875" style="3509" customWidth="1"/>
    <col min="12" max="12" width="16.375" style="3509" customWidth="1"/>
    <col min="13" max="16" width="8.125" style="3513" customWidth="1"/>
    <col min="17" max="16384" width="9" style="3513"/>
  </cols>
  <sheetData>
    <row r="1" spans="1:16">
      <c r="A1" s="3976" t="s">
        <v>3465</v>
      </c>
      <c r="B1" s="3976"/>
      <c r="C1" s="3976"/>
      <c r="D1" s="3976"/>
      <c r="E1" s="3976"/>
      <c r="F1" s="3976"/>
      <c r="G1" s="3976"/>
      <c r="H1" s="3976"/>
      <c r="I1" s="3976"/>
      <c r="K1" s="3977" t="s">
        <v>3466</v>
      </c>
      <c r="L1" s="3510" t="s">
        <v>3467</v>
      </c>
      <c r="M1" s="3511">
        <v>0</v>
      </c>
      <c r="N1" s="3512"/>
      <c r="O1" s="3512"/>
    </row>
    <row r="2" spans="1:16" ht="15.75" customHeight="1">
      <c r="A2" s="3514" t="s">
        <v>2644</v>
      </c>
      <c r="B2" s="3515" t="s">
        <v>3468</v>
      </c>
      <c r="C2" s="3978" t="s">
        <v>3469</v>
      </c>
      <c r="D2" s="3979"/>
      <c r="E2" s="3979"/>
      <c r="F2" s="3980"/>
      <c r="G2" s="3518" t="s">
        <v>3470</v>
      </c>
      <c r="H2" s="3981" t="s">
        <v>3471</v>
      </c>
      <c r="I2" s="3981"/>
      <c r="K2" s="3977"/>
      <c r="L2" s="3510" t="s">
        <v>3472</v>
      </c>
      <c r="M2" s="3519" t="s">
        <v>3473</v>
      </c>
      <c r="N2" s="3520"/>
      <c r="O2" s="3520"/>
    </row>
    <row r="3" spans="1:16">
      <c r="A3" s="3518" t="s">
        <v>3474</v>
      </c>
      <c r="B3" s="3521" t="s">
        <v>3475</v>
      </c>
      <c r="C3" s="3978">
        <f ca="1">'成本法 (元)-车位'!C52</f>
        <v>27777055</v>
      </c>
      <c r="D3" s="3979"/>
      <c r="E3" s="3979"/>
      <c r="F3" s="3980"/>
      <c r="G3" s="3518" t="s">
        <v>3476</v>
      </c>
      <c r="H3" s="3521" t="s">
        <v>3477</v>
      </c>
      <c r="I3" s="3522">
        <v>1</v>
      </c>
      <c r="K3" s="3977"/>
      <c r="L3" s="3510" t="s">
        <v>3478</v>
      </c>
      <c r="M3" s="3519" t="s">
        <v>3479</v>
      </c>
      <c r="N3" s="3520"/>
      <c r="O3" s="3520"/>
    </row>
    <row r="4" spans="1:16">
      <c r="A4" s="3981" t="s">
        <v>3480</v>
      </c>
      <c r="B4" s="3982" t="s">
        <v>3481</v>
      </c>
      <c r="C4" s="3983">
        <f ca="1">ROUND(C3*(I4-I6)/(1-((1+I6)/(1+I4))^I5),0)</f>
        <v>1111144</v>
      </c>
      <c r="D4" s="3984"/>
      <c r="E4" s="3984"/>
      <c r="F4" s="3985"/>
      <c r="G4" s="3981" t="s">
        <v>3482</v>
      </c>
      <c r="H4" s="3523" t="s">
        <v>3483</v>
      </c>
      <c r="I4" s="3524">
        <v>0.02</v>
      </c>
      <c r="K4" s="3977"/>
      <c r="L4" s="3510" t="s">
        <v>3484</v>
      </c>
      <c r="M4" s="3525">
        <f>ROUND(1-(1-M1)*M2/M3,2)</f>
        <v>0.57999999999999996</v>
      </c>
      <c r="N4" s="3520"/>
      <c r="O4" s="3520"/>
    </row>
    <row r="5" spans="1:16" s="3529" customFormat="1" ht="18" customHeight="1">
      <c r="A5" s="3981"/>
      <c r="B5" s="3982"/>
      <c r="C5" s="3986"/>
      <c r="D5" s="3987"/>
      <c r="E5" s="3987"/>
      <c r="F5" s="3988"/>
      <c r="G5" s="3981"/>
      <c r="H5" s="3521" t="s">
        <v>3485</v>
      </c>
      <c r="I5" s="3526">
        <f>基准地价修正!G44</f>
        <v>35</v>
      </c>
      <c r="J5" s="3527"/>
      <c r="K5" s="3977"/>
      <c r="L5" s="3510" t="s">
        <v>3486</v>
      </c>
      <c r="M5" s="3528">
        <v>0.5</v>
      </c>
      <c r="N5" s="3520"/>
      <c r="O5" s="3520"/>
    </row>
    <row r="6" spans="1:16" s="3529" customFormat="1" ht="18" customHeight="1">
      <c r="A6" s="3981"/>
      <c r="B6" s="3982"/>
      <c r="C6" s="3989"/>
      <c r="D6" s="3990"/>
      <c r="E6" s="3990"/>
      <c r="F6" s="3991"/>
      <c r="G6" s="3981"/>
      <c r="H6" s="3521" t="s">
        <v>3487</v>
      </c>
      <c r="I6" s="3524">
        <v>0</v>
      </c>
      <c r="J6" s="3530"/>
      <c r="K6" s="3992" t="s">
        <v>3488</v>
      </c>
      <c r="L6" s="3531" t="s">
        <v>3489</v>
      </c>
      <c r="M6" s="3532" t="s">
        <v>3490</v>
      </c>
      <c r="N6" s="3532" t="s">
        <v>3491</v>
      </c>
      <c r="O6" s="3532" t="s">
        <v>3492</v>
      </c>
      <c r="P6" s="3532" t="s">
        <v>3493</v>
      </c>
    </row>
    <row r="7" spans="1:16" s="3529" customFormat="1" ht="17.25" customHeight="1">
      <c r="A7" s="3518" t="s">
        <v>3494</v>
      </c>
      <c r="B7" s="3521" t="s">
        <v>3495</v>
      </c>
      <c r="C7" s="3978">
        <f ca="1">'成本法 (元)-车位'!C51</f>
        <v>19408670</v>
      </c>
      <c r="D7" s="3979"/>
      <c r="E7" s="3979"/>
      <c r="F7" s="3980"/>
      <c r="G7" s="3518" t="s">
        <v>3496</v>
      </c>
      <c r="H7" s="3521" t="s">
        <v>3497</v>
      </c>
      <c r="I7" s="3533">
        <f>'成本法 (元)-车位'!F50</f>
        <v>0.84</v>
      </c>
      <c r="K7" s="3992"/>
      <c r="L7" s="3531" t="s">
        <v>3498</v>
      </c>
      <c r="M7" s="3532">
        <v>100</v>
      </c>
      <c r="N7" s="3532" t="s">
        <v>3499</v>
      </c>
      <c r="O7" s="3532">
        <v>60</v>
      </c>
      <c r="P7" s="3534">
        <v>0.3</v>
      </c>
    </row>
    <row r="8" spans="1:16" s="3529" customFormat="1" ht="23.25" hidden="1" customHeight="1">
      <c r="A8" s="3514" t="s">
        <v>3500</v>
      </c>
      <c r="B8" s="3521" t="s">
        <v>3501</v>
      </c>
      <c r="C8" s="3978">
        <f>ROUND(I8*I3,0)</f>
        <v>4000</v>
      </c>
      <c r="D8" s="3979"/>
      <c r="E8" s="3979"/>
      <c r="F8" s="3980"/>
      <c r="G8" s="3518" t="s">
        <v>3502</v>
      </c>
      <c r="H8" s="3521" t="s">
        <v>3503</v>
      </c>
      <c r="I8" s="3535">
        <v>4000</v>
      </c>
      <c r="J8" s="3536">
        <f>D36</f>
        <v>11.9</v>
      </c>
      <c r="K8" s="3992"/>
      <c r="L8" s="3531" t="s">
        <v>3504</v>
      </c>
      <c r="M8" s="3532">
        <v>100</v>
      </c>
      <c r="N8" s="3532" t="s">
        <v>3499</v>
      </c>
      <c r="O8" s="3532">
        <v>60</v>
      </c>
      <c r="P8" s="3534">
        <v>0.5</v>
      </c>
    </row>
    <row r="9" spans="1:16" s="3529" customFormat="1" ht="18" hidden="1" customHeight="1">
      <c r="A9" s="3514" t="s">
        <v>3505</v>
      </c>
      <c r="B9" s="3521" t="s">
        <v>3506</v>
      </c>
      <c r="C9" s="3978">
        <f>ROUND(C8*H9,0)</f>
        <v>200</v>
      </c>
      <c r="D9" s="3979"/>
      <c r="E9" s="3979"/>
      <c r="F9" s="3980"/>
      <c r="G9" s="3518" t="s">
        <v>3507</v>
      </c>
      <c r="H9" s="3993">
        <v>0.05</v>
      </c>
      <c r="I9" s="3993"/>
      <c r="J9" s="3536">
        <f ca="1">D37</f>
        <v>133436</v>
      </c>
      <c r="K9" s="3992"/>
      <c r="L9" s="3531" t="s">
        <v>3508</v>
      </c>
      <c r="M9" s="3532">
        <v>100</v>
      </c>
      <c r="N9" s="3532" t="s">
        <v>3499</v>
      </c>
      <c r="O9" s="3532">
        <v>60</v>
      </c>
      <c r="P9" s="3534">
        <f>1-P7-P8</f>
        <v>0.19999999999999996</v>
      </c>
    </row>
    <row r="10" spans="1:16" s="3529" customFormat="1" ht="18" hidden="1" customHeight="1">
      <c r="A10" s="3514" t="s">
        <v>3509</v>
      </c>
      <c r="B10" s="3521" t="s">
        <v>3510</v>
      </c>
      <c r="C10" s="3978">
        <f>ROUND(C8*H10,0)</f>
        <v>0</v>
      </c>
      <c r="D10" s="3979"/>
      <c r="E10" s="3979"/>
      <c r="F10" s="3980"/>
      <c r="G10" s="3518" t="s">
        <v>3507</v>
      </c>
      <c r="H10" s="3993">
        <v>0</v>
      </c>
      <c r="I10" s="3993"/>
      <c r="J10" s="3536">
        <f ca="1">D38</f>
        <v>40039.129999999997</v>
      </c>
      <c r="K10" s="3992"/>
      <c r="L10" s="3537" t="s">
        <v>3486</v>
      </c>
      <c r="M10" s="3538">
        <f>1-M5</f>
        <v>0.5</v>
      </c>
      <c r="N10" s="3532" t="s">
        <v>3484</v>
      </c>
      <c r="O10" s="3539">
        <f>ROUND((O7*P7+O8*P8+O9*P9)/100,2)</f>
        <v>0.6</v>
      </c>
      <c r="P10" s="3540"/>
    </row>
    <row r="11" spans="1:16" s="3529" customFormat="1" ht="29.25" hidden="1" customHeight="1">
      <c r="A11" s="3514" t="s">
        <v>3511</v>
      </c>
      <c r="B11" s="3521" t="s">
        <v>3512</v>
      </c>
      <c r="C11" s="3978">
        <f>ROUND(I11*I3,0)</f>
        <v>200</v>
      </c>
      <c r="D11" s="3979"/>
      <c r="E11" s="3979"/>
      <c r="F11" s="3980"/>
      <c r="G11" s="3518" t="s">
        <v>3513</v>
      </c>
      <c r="H11" s="3521" t="s">
        <v>3514</v>
      </c>
      <c r="I11" s="3518">
        <v>200</v>
      </c>
      <c r="J11" s="3527"/>
      <c r="K11" s="3509"/>
      <c r="L11" s="3509"/>
      <c r="N11" s="3529">
        <f>(M4+O10)/2</f>
        <v>0.59</v>
      </c>
    </row>
    <row r="12" spans="1:16" s="3529" customFormat="1" ht="18" hidden="1" customHeight="1">
      <c r="A12" s="3514" t="s">
        <v>3515</v>
      </c>
      <c r="B12" s="3521" t="s">
        <v>3516</v>
      </c>
      <c r="C12" s="3978">
        <f>ROUND(C8*H12,0)</f>
        <v>60</v>
      </c>
      <c r="D12" s="3979"/>
      <c r="E12" s="3979"/>
      <c r="F12" s="3980"/>
      <c r="G12" s="3518" t="s">
        <v>3507</v>
      </c>
      <c r="H12" s="3993">
        <f>'[10]数据-取费表'!B36</f>
        <v>1.4999999999999999E-2</v>
      </c>
      <c r="I12" s="3993"/>
      <c r="J12" s="3541" t="s">
        <v>3517</v>
      </c>
      <c r="L12" s="3542"/>
    </row>
    <row r="13" spans="1:16" s="3529" customFormat="1" ht="18" hidden="1" customHeight="1">
      <c r="A13" s="3514" t="s">
        <v>438</v>
      </c>
      <c r="B13" s="3521" t="s">
        <v>3518</v>
      </c>
      <c r="C13" s="3978">
        <f>SUM(C8:F12)</f>
        <v>4460</v>
      </c>
      <c r="D13" s="3979"/>
      <c r="E13" s="3979"/>
      <c r="F13" s="3980"/>
      <c r="G13" s="3981" t="s">
        <v>3519</v>
      </c>
      <c r="H13" s="3981"/>
      <c r="I13" s="3981"/>
      <c r="J13" s="3541" t="s">
        <v>3520</v>
      </c>
      <c r="L13" s="3542"/>
    </row>
    <row r="14" spans="1:16" s="3529" customFormat="1" ht="18" hidden="1" customHeight="1">
      <c r="A14" s="3514" t="s">
        <v>3521</v>
      </c>
      <c r="B14" s="3521" t="s">
        <v>3522</v>
      </c>
      <c r="C14" s="3978">
        <f>ROUND(C13*H14,0)</f>
        <v>89</v>
      </c>
      <c r="D14" s="3979"/>
      <c r="E14" s="3979"/>
      <c r="F14" s="3980"/>
      <c r="G14" s="3518" t="s">
        <v>3523</v>
      </c>
      <c r="H14" s="3993">
        <v>0.02</v>
      </c>
      <c r="I14" s="3993"/>
      <c r="J14" s="3527"/>
      <c r="L14" s="3542"/>
    </row>
    <row r="15" spans="1:16" s="3529" customFormat="1" ht="18" hidden="1" customHeight="1">
      <c r="A15" s="3514" t="s">
        <v>393</v>
      </c>
      <c r="B15" s="3521" t="s">
        <v>3524</v>
      </c>
      <c r="C15" s="3998">
        <f>H15</f>
        <v>0.02</v>
      </c>
      <c r="D15" s="3999"/>
      <c r="E15" s="3996" t="str">
        <f>E18</f>
        <v>V</v>
      </c>
      <c r="F15" s="3997"/>
      <c r="G15" s="3518" t="s">
        <v>3525</v>
      </c>
      <c r="H15" s="3993">
        <v>0.02</v>
      </c>
      <c r="I15" s="3993"/>
      <c r="J15" s="3545"/>
      <c r="K15" s="3546"/>
    </row>
    <row r="16" spans="1:16" s="3529" customFormat="1" ht="18" hidden="1" customHeight="1">
      <c r="A16" s="3547" t="s">
        <v>394</v>
      </c>
      <c r="B16" s="3548" t="s">
        <v>3526</v>
      </c>
      <c r="C16" s="3516">
        <f>C17</f>
        <v>216</v>
      </c>
      <c r="D16" s="3517" t="s">
        <v>3527</v>
      </c>
      <c r="E16" s="3549">
        <f>C18</f>
        <v>9.5E-4</v>
      </c>
      <c r="F16" s="3544" t="str">
        <f>E18</f>
        <v>V</v>
      </c>
      <c r="G16" s="3978" t="s">
        <v>3528</v>
      </c>
      <c r="H16" s="3979"/>
      <c r="I16" s="3980"/>
      <c r="J16" s="3527"/>
      <c r="K16" s="3509"/>
    </row>
    <row r="17" spans="1:12" s="3529" customFormat="1" ht="18" hidden="1" customHeight="1">
      <c r="A17" s="3514" t="s">
        <v>3529</v>
      </c>
      <c r="B17" s="3521" t="s">
        <v>3530</v>
      </c>
      <c r="C17" s="3978">
        <f>ROUND((C13+C14)*I18*(I17/2),0)</f>
        <v>216</v>
      </c>
      <c r="D17" s="3979"/>
      <c r="E17" s="3979"/>
      <c r="F17" s="3980"/>
      <c r="G17" s="3516" t="s">
        <v>3531</v>
      </c>
      <c r="H17" s="3521" t="s">
        <v>3532</v>
      </c>
      <c r="I17" s="3518">
        <v>2</v>
      </c>
      <c r="J17" s="3541" t="s">
        <v>3533</v>
      </c>
      <c r="K17" s="3509"/>
      <c r="L17" s="3509"/>
    </row>
    <row r="18" spans="1:12" s="3529" customFormat="1" ht="18" hidden="1" customHeight="1">
      <c r="A18" s="3514" t="s">
        <v>3534</v>
      </c>
      <c r="B18" s="3521" t="s">
        <v>3535</v>
      </c>
      <c r="C18" s="3994">
        <f>H15*I18*I17/2</f>
        <v>9.5E-4</v>
      </c>
      <c r="D18" s="3995"/>
      <c r="E18" s="3996" t="s">
        <v>3536</v>
      </c>
      <c r="F18" s="3997"/>
      <c r="G18" s="3516" t="s">
        <v>3537</v>
      </c>
      <c r="H18" s="3521" t="s">
        <v>3538</v>
      </c>
      <c r="I18" s="3550">
        <f>'[10]数据-取费表'!B40</f>
        <v>4.7500000000000001E-2</v>
      </c>
      <c r="J18" s="3541" t="s">
        <v>3539</v>
      </c>
      <c r="K18" s="3509"/>
      <c r="L18" s="3509"/>
    </row>
    <row r="19" spans="1:12" s="3529" customFormat="1" ht="27" hidden="1" customHeight="1">
      <c r="A19" s="3514" t="s">
        <v>395</v>
      </c>
      <c r="B19" s="3521" t="s">
        <v>3540</v>
      </c>
      <c r="C19" s="3516">
        <f>C20</f>
        <v>1137</v>
      </c>
      <c r="D19" s="3517" t="s">
        <v>3527</v>
      </c>
      <c r="E19" s="3517">
        <f>C21</f>
        <v>5.0000000000000001E-3</v>
      </c>
      <c r="F19" s="3544" t="str">
        <f>E21</f>
        <v>V</v>
      </c>
      <c r="G19" s="3978" t="s">
        <v>3541</v>
      </c>
      <c r="H19" s="3979"/>
      <c r="I19" s="3980"/>
      <c r="J19" s="3527"/>
      <c r="K19" s="3509"/>
      <c r="L19" s="3509"/>
    </row>
    <row r="20" spans="1:12" s="3529" customFormat="1" ht="26.25" hidden="1" customHeight="1">
      <c r="A20" s="3514" t="s">
        <v>3542</v>
      </c>
      <c r="B20" s="3521" t="s">
        <v>3543</v>
      </c>
      <c r="C20" s="3978">
        <f>ROUND((C13+C14)*I20,0)</f>
        <v>1137</v>
      </c>
      <c r="D20" s="3979"/>
      <c r="E20" s="3979"/>
      <c r="F20" s="3980"/>
      <c r="G20" s="3518" t="s">
        <v>3544</v>
      </c>
      <c r="H20" s="4002" t="s">
        <v>3545</v>
      </c>
      <c r="I20" s="4004">
        <v>0.25</v>
      </c>
      <c r="J20" s="3541" t="s">
        <v>3546</v>
      </c>
      <c r="K20" s="3509"/>
      <c r="L20" s="3509"/>
    </row>
    <row r="21" spans="1:12" s="3529" customFormat="1" ht="27" hidden="1" customHeight="1">
      <c r="A21" s="3514" t="s">
        <v>3542</v>
      </c>
      <c r="B21" s="3521" t="s">
        <v>3547</v>
      </c>
      <c r="C21" s="3998">
        <f>H15*I20</f>
        <v>5.0000000000000001E-3</v>
      </c>
      <c r="D21" s="3999"/>
      <c r="E21" s="3996" t="s">
        <v>3536</v>
      </c>
      <c r="F21" s="3997"/>
      <c r="G21" s="3518" t="s">
        <v>3548</v>
      </c>
      <c r="H21" s="4003"/>
      <c r="I21" s="4004"/>
      <c r="J21" s="3527"/>
      <c r="K21" s="3509"/>
      <c r="L21" s="3509"/>
    </row>
    <row r="22" spans="1:12" s="3529" customFormat="1" ht="18" hidden="1" customHeight="1">
      <c r="A22" s="3514" t="s">
        <v>396</v>
      </c>
      <c r="B22" s="3521" t="s">
        <v>3549</v>
      </c>
      <c r="C22" s="3998">
        <f>ROUND(H22/1.05,4)</f>
        <v>5.33E-2</v>
      </c>
      <c r="D22" s="3999"/>
      <c r="E22" s="3996" t="s">
        <v>3536</v>
      </c>
      <c r="F22" s="3997"/>
      <c r="G22" s="3518" t="s">
        <v>3550</v>
      </c>
      <c r="H22" s="3993">
        <v>5.6000000000000001E-2</v>
      </c>
      <c r="I22" s="3993"/>
      <c r="J22" s="3552"/>
      <c r="K22" s="3509"/>
      <c r="L22" s="3509"/>
    </row>
    <row r="23" spans="1:12" s="3529" customFormat="1" ht="18" customHeight="1">
      <c r="A23" s="3514" t="s">
        <v>3551</v>
      </c>
      <c r="B23" s="3521" t="s">
        <v>3552</v>
      </c>
      <c r="C23" s="3978">
        <f ca="1">'成本法 (元)-车位'!C49</f>
        <v>23105559</v>
      </c>
      <c r="D23" s="3979"/>
      <c r="E23" s="3979"/>
      <c r="F23" s="3980"/>
      <c r="G23" s="3978" t="s">
        <v>3553</v>
      </c>
      <c r="H23" s="3979"/>
      <c r="I23" s="3980"/>
      <c r="J23" s="3552"/>
      <c r="K23" s="3509"/>
      <c r="L23" s="3509"/>
    </row>
    <row r="24" spans="1:12" s="3529" customFormat="1" ht="18" customHeight="1">
      <c r="A24" s="3514" t="s">
        <v>3554</v>
      </c>
      <c r="B24" s="3521" t="s">
        <v>3555</v>
      </c>
      <c r="C24" s="3543">
        <f ca="1">C27+C28</f>
        <v>61923</v>
      </c>
      <c r="D24" s="3553" t="s">
        <v>3556</v>
      </c>
      <c r="E24" s="4000">
        <f>H29+E26+H25</f>
        <v>0.186</v>
      </c>
      <c r="F24" s="4001"/>
      <c r="G24" s="3981" t="s">
        <v>3557</v>
      </c>
      <c r="H24" s="3981"/>
      <c r="I24" s="3981"/>
      <c r="J24" s="3552"/>
      <c r="K24" s="3509"/>
      <c r="L24" s="3509"/>
    </row>
    <row r="25" spans="1:12" s="3529" customFormat="1" ht="18" customHeight="1">
      <c r="A25" s="3514" t="s">
        <v>438</v>
      </c>
      <c r="B25" s="3521" t="s">
        <v>3558</v>
      </c>
      <c r="C25" s="3998" t="s">
        <v>3559</v>
      </c>
      <c r="D25" s="3999"/>
      <c r="E25" s="4005">
        <f>ROUND(H25/1.05,4)</f>
        <v>5.33E-2</v>
      </c>
      <c r="F25" s="4006"/>
      <c r="G25" s="3518" t="s">
        <v>3560</v>
      </c>
      <c r="H25" s="4007">
        <v>5.6000000000000001E-2</v>
      </c>
      <c r="I25" s="4007"/>
      <c r="J25" s="3545"/>
      <c r="K25" s="3509"/>
      <c r="L25" s="3509"/>
    </row>
    <row r="26" spans="1:12" s="3529" customFormat="1" ht="18" customHeight="1">
      <c r="A26" s="3514" t="s">
        <v>3521</v>
      </c>
      <c r="B26" s="3521" t="s">
        <v>3561</v>
      </c>
      <c r="C26" s="3998" t="s">
        <v>3559</v>
      </c>
      <c r="D26" s="3999"/>
      <c r="E26" s="4008">
        <v>0.12</v>
      </c>
      <c r="F26" s="4001"/>
      <c r="G26" s="3518"/>
      <c r="H26" s="4009">
        <f>'[10]数据-取费表'!B51</f>
        <v>0.12</v>
      </c>
      <c r="I26" s="4010"/>
      <c r="J26" s="3545"/>
      <c r="K26" s="3509"/>
      <c r="L26" s="3509"/>
    </row>
    <row r="27" spans="1:12" s="3529" customFormat="1" ht="18" customHeight="1">
      <c r="A27" s="3514" t="s">
        <v>393</v>
      </c>
      <c r="B27" s="3521" t="s">
        <v>3562</v>
      </c>
      <c r="C27" s="3978">
        <f ca="1">ROUND(C23*H27,0)</f>
        <v>23106</v>
      </c>
      <c r="D27" s="3979"/>
      <c r="E27" s="3979"/>
      <c r="F27" s="3980"/>
      <c r="G27" s="3518" t="s">
        <v>3563</v>
      </c>
      <c r="H27" s="4011">
        <v>1E-3</v>
      </c>
      <c r="I27" s="4011"/>
      <c r="J27" s="3545"/>
      <c r="K27" s="3509"/>
      <c r="L27" s="3509"/>
    </row>
    <row r="28" spans="1:12" s="3529" customFormat="1" ht="18" customHeight="1">
      <c r="A28" s="3514" t="s">
        <v>394</v>
      </c>
      <c r="B28" s="3521" t="s">
        <v>3564</v>
      </c>
      <c r="C28" s="3978">
        <f ca="1">ROUND(C7*H28,0)</f>
        <v>38817</v>
      </c>
      <c r="D28" s="3979"/>
      <c r="E28" s="3979"/>
      <c r="F28" s="3980"/>
      <c r="G28" s="3518" t="s">
        <v>3565</v>
      </c>
      <c r="H28" s="4012">
        <v>2E-3</v>
      </c>
      <c r="I28" s="4012"/>
      <c r="J28" s="3527"/>
      <c r="K28" s="3509"/>
      <c r="L28" s="3509"/>
    </row>
    <row r="29" spans="1:12" s="3529" customFormat="1" ht="18" customHeight="1">
      <c r="A29" s="3514" t="s">
        <v>395</v>
      </c>
      <c r="B29" s="3521" t="s">
        <v>3566</v>
      </c>
      <c r="C29" s="3998" t="s">
        <v>3559</v>
      </c>
      <c r="D29" s="3999"/>
      <c r="E29" s="4008">
        <f>H29</f>
        <v>0.01</v>
      </c>
      <c r="F29" s="4001"/>
      <c r="G29" s="3518" t="s">
        <v>3567</v>
      </c>
      <c r="H29" s="4011">
        <v>0.01</v>
      </c>
      <c r="I29" s="4011"/>
      <c r="J29" s="3554"/>
      <c r="K29" s="3509"/>
      <c r="L29" s="3509"/>
    </row>
    <row r="30" spans="1:12" s="3529" customFormat="1" ht="18" customHeight="1">
      <c r="A30" s="3518" t="s">
        <v>3568</v>
      </c>
      <c r="B30" s="3521" t="s">
        <v>3569</v>
      </c>
      <c r="C30" s="3978">
        <f ca="1">ROUND((C4+C24)/(1-E24),0)</f>
        <v>1441114</v>
      </c>
      <c r="D30" s="3979"/>
      <c r="E30" s="3979"/>
      <c r="F30" s="3980"/>
      <c r="G30" s="3981" t="s">
        <v>3570</v>
      </c>
      <c r="H30" s="3981"/>
      <c r="I30" s="3981"/>
      <c r="J30" s="3555" t="s">
        <v>3571</v>
      </c>
      <c r="K30" s="3509"/>
      <c r="L30" s="3509"/>
    </row>
    <row r="31" spans="1:12" s="3529" customFormat="1" ht="18" customHeight="1">
      <c r="A31" s="3981" t="s">
        <v>3572</v>
      </c>
      <c r="B31" s="3982" t="s">
        <v>3573</v>
      </c>
      <c r="C31" s="4013">
        <f ca="1">ROUND(C30/I31/I32,0)</f>
        <v>133436</v>
      </c>
      <c r="D31" s="4014"/>
      <c r="E31" s="4014"/>
      <c r="F31" s="4015"/>
      <c r="G31" s="3981" t="s">
        <v>3574</v>
      </c>
      <c r="H31" s="3521" t="s">
        <v>3575</v>
      </c>
      <c r="I31" s="3518">
        <v>12</v>
      </c>
      <c r="J31" s="3556"/>
      <c r="K31" s="3509"/>
      <c r="L31" s="3577"/>
    </row>
    <row r="32" spans="1:12" s="3529" customFormat="1" ht="18" customHeight="1">
      <c r="A32" s="3981"/>
      <c r="B32" s="3982"/>
      <c r="C32" s="4016"/>
      <c r="D32" s="4017"/>
      <c r="E32" s="4017"/>
      <c r="F32" s="4018"/>
      <c r="G32" s="3981"/>
      <c r="H32" s="3521" t="s">
        <v>3576</v>
      </c>
      <c r="I32" s="3551">
        <v>0.9</v>
      </c>
      <c r="J32" s="3557"/>
      <c r="K32" s="3509"/>
      <c r="L32" s="3558"/>
    </row>
    <row r="33" spans="1:13" s="3529" customFormat="1" ht="18" hidden="1" customHeight="1">
      <c r="A33" s="3513"/>
      <c r="B33" s="3559"/>
      <c r="C33" s="3513"/>
      <c r="D33" s="3513"/>
      <c r="E33" s="3513"/>
      <c r="F33" s="3513"/>
      <c r="G33" s="3560"/>
      <c r="H33" s="3513"/>
      <c r="I33" s="3513"/>
      <c r="J33" s="3527"/>
      <c r="K33" s="3509"/>
      <c r="L33" s="3558"/>
    </row>
    <row r="34" spans="1:13" s="3529" customFormat="1" ht="18" hidden="1" customHeight="1">
      <c r="A34" s="3513"/>
      <c r="B34" s="4020" t="s">
        <v>3577</v>
      </c>
      <c r="C34" s="4020"/>
      <c r="D34" s="4020"/>
      <c r="E34" s="4020"/>
      <c r="F34" s="4020"/>
      <c r="G34" s="3561">
        <f ca="1">(D37-D36)/D37</f>
        <v>0.99991081866962439</v>
      </c>
      <c r="H34" s="3562" t="s">
        <v>2328</v>
      </c>
      <c r="I34" s="3563">
        <v>430</v>
      </c>
      <c r="J34" s="3530"/>
      <c r="K34" s="3509"/>
      <c r="L34" s="3509"/>
      <c r="M34" s="3513"/>
    </row>
    <row r="35" spans="1:13" s="3529" customFormat="1" ht="18" hidden="1" customHeight="1">
      <c r="A35" s="3513"/>
      <c r="B35" s="3564" t="s">
        <v>3578</v>
      </c>
      <c r="C35" s="3564" t="s">
        <v>3493</v>
      </c>
      <c r="D35" s="4021" t="s">
        <v>3579</v>
      </c>
      <c r="E35" s="4021"/>
      <c r="F35" s="4021"/>
      <c r="G35" s="3565"/>
      <c r="H35" s="3562" t="s">
        <v>3580</v>
      </c>
      <c r="I35" s="3566">
        <v>316.02999999999997</v>
      </c>
      <c r="J35" s="3567"/>
      <c r="K35" s="3513"/>
      <c r="L35" s="3513"/>
      <c r="M35" s="3513"/>
    </row>
    <row r="36" spans="1:13" hidden="1">
      <c r="B36" s="3564" t="s">
        <v>3581</v>
      </c>
      <c r="C36" s="3568">
        <v>0.7</v>
      </c>
      <c r="D36" s="4022">
        <f>'[10]租金比较法-商业'!C50</f>
        <v>11.9</v>
      </c>
      <c r="E36" s="4022"/>
      <c r="F36" s="4022"/>
      <c r="G36" s="3565"/>
      <c r="H36" s="3562" t="s">
        <v>3582</v>
      </c>
      <c r="I36" s="3563">
        <f>I35/I34</f>
        <v>0.73495348837209296</v>
      </c>
      <c r="K36" s="3513"/>
      <c r="L36" s="3513"/>
    </row>
    <row r="37" spans="1:13" ht="20.100000000000001" hidden="1" customHeight="1">
      <c r="B37" s="3564" t="s">
        <v>3583</v>
      </c>
      <c r="C37" s="3568">
        <f>1-C36</f>
        <v>0.30000000000000004</v>
      </c>
      <c r="D37" s="4022">
        <f ca="1">C31</f>
        <v>133436</v>
      </c>
      <c r="E37" s="4022"/>
      <c r="F37" s="4022"/>
      <c r="H37" s="3569"/>
      <c r="J37" s="3513"/>
      <c r="K37" s="3513"/>
      <c r="L37" s="3513"/>
    </row>
    <row r="38" spans="1:13" ht="22.5" hidden="1" customHeight="1">
      <c r="B38" s="4021" t="s">
        <v>3584</v>
      </c>
      <c r="C38" s="4021"/>
      <c r="D38" s="4023">
        <f ca="1">ROUND(D36*C36+D37*C37,2)</f>
        <v>40039.129999999997</v>
      </c>
      <c r="E38" s="4024"/>
      <c r="F38" s="4025"/>
      <c r="G38" s="3565"/>
      <c r="H38" s="3570"/>
      <c r="I38" s="3570"/>
      <c r="J38" s="3513"/>
      <c r="K38" s="3513"/>
      <c r="L38" s="3513"/>
    </row>
    <row r="39" spans="1:13" ht="22.5" hidden="1" customHeight="1">
      <c r="B39" s="3564" t="s">
        <v>3585</v>
      </c>
      <c r="C39" s="3571">
        <f ca="1">ROUND(D38*0.9,1)</f>
        <v>36035.199999999997</v>
      </c>
      <c r="D39" s="3571" t="s">
        <v>3586</v>
      </c>
      <c r="E39" s="4019">
        <f ca="1">ROUND(D38*1.1,1)</f>
        <v>44043</v>
      </c>
      <c r="F39" s="4019"/>
      <c r="G39" s="3565"/>
      <c r="H39" s="3572"/>
      <c r="J39" s="3513"/>
      <c r="K39" s="3513"/>
      <c r="L39" s="3513"/>
    </row>
    <row r="40" spans="1:13" ht="18" hidden="1" customHeight="1">
      <c r="B40" s="3564" t="s">
        <v>3587</v>
      </c>
      <c r="C40" s="3571">
        <f ca="1">ROUND(C39+H40,1)</f>
        <v>36035.199999999997</v>
      </c>
      <c r="D40" s="3571" t="s">
        <v>3586</v>
      </c>
      <c r="E40" s="4019">
        <f ca="1">ROUND(E39+H40,1)</f>
        <v>44043</v>
      </c>
      <c r="F40" s="4019"/>
      <c r="G40" s="3573" t="s">
        <v>3588</v>
      </c>
      <c r="H40" s="3573"/>
      <c r="J40" s="3513"/>
      <c r="K40" s="3513"/>
      <c r="L40" s="3513"/>
    </row>
    <row r="41" spans="1:13" ht="18" customHeight="1">
      <c r="B41" s="3574"/>
      <c r="C41" s="3575"/>
      <c r="D41" s="3576"/>
      <c r="E41" s="3576"/>
      <c r="F41" s="3576"/>
      <c r="G41" s="3565"/>
      <c r="H41" s="3576"/>
      <c r="J41" s="3513"/>
    </row>
    <row r="42" spans="1:13" ht="18" customHeight="1">
      <c r="B42" s="3565" t="s">
        <v>3589</v>
      </c>
      <c r="C42" s="3576"/>
      <c r="D42" s="3576"/>
      <c r="E42" s="3565" t="s">
        <v>3590</v>
      </c>
      <c r="F42" s="3576"/>
      <c r="G42" s="3565"/>
      <c r="H42" s="3565" t="s">
        <v>3591</v>
      </c>
      <c r="J42" s="3513"/>
    </row>
    <row r="43" spans="1:13" ht="29.25" customHeight="1"/>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7" zoomScaleNormal="70" zoomScaleSheetLayoutView="100" workbookViewId="0">
      <selection activeCell="C29" sqref="C2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t="s">
        <v>3421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900" t="s">
        <v>1770</v>
      </c>
      <c r="D4" s="3901"/>
      <c r="E4" s="3902" t="s">
        <v>1771</v>
      </c>
      <c r="F4" s="3903"/>
      <c r="G4" s="3900" t="s">
        <v>1772</v>
      </c>
      <c r="H4" s="3901"/>
      <c r="I4" s="3900" t="s">
        <v>1773</v>
      </c>
      <c r="J4" s="3901"/>
      <c r="K4" s="537" t="s">
        <v>1774</v>
      </c>
      <c r="L4" s="2487"/>
      <c r="M4" s="2488"/>
      <c r="N4" s="2488"/>
      <c r="O4" s="2488"/>
      <c r="P4" s="3904" t="s">
        <v>1775</v>
      </c>
      <c r="Q4" s="3905"/>
      <c r="R4" s="3910" t="s">
        <v>1771</v>
      </c>
      <c r="S4" s="3911"/>
      <c r="T4" s="3910" t="s">
        <v>1772</v>
      </c>
      <c r="U4" s="3911"/>
      <c r="V4" s="3886" t="s">
        <v>1773</v>
      </c>
      <c r="W4" s="3886"/>
      <c r="X4" s="1265"/>
      <c r="Y4" s="3910" t="s">
        <v>1775</v>
      </c>
      <c r="Z4" s="3911"/>
      <c r="AA4" s="3897" t="s">
        <v>1771</v>
      </c>
      <c r="AB4" s="3898" t="s">
        <v>1772</v>
      </c>
      <c r="AC4" s="3897" t="s">
        <v>1773</v>
      </c>
    </row>
    <row r="5" spans="1:29" ht="15">
      <c r="A5" s="348"/>
      <c r="B5" s="349"/>
      <c r="C5" s="4026" t="s">
        <v>3424</v>
      </c>
      <c r="D5" s="3919"/>
      <c r="E5" s="4027" t="s">
        <v>3645</v>
      </c>
      <c r="F5" s="3926"/>
      <c r="G5" s="4026" t="s">
        <v>3646</v>
      </c>
      <c r="H5" s="3919"/>
      <c r="I5" s="4026" t="s">
        <v>3655</v>
      </c>
      <c r="J5" s="3919"/>
      <c r="K5" s="537"/>
      <c r="L5" s="2487"/>
      <c r="M5" s="2488"/>
      <c r="N5" s="2488"/>
      <c r="O5" s="2488"/>
      <c r="P5" s="3906"/>
      <c r="Q5" s="3907"/>
      <c r="R5" s="3912"/>
      <c r="S5" s="3913"/>
      <c r="T5" s="3912"/>
      <c r="U5" s="3913"/>
      <c r="V5" s="3886"/>
      <c r="W5" s="3886"/>
      <c r="X5" s="1265"/>
      <c r="Y5" s="3912"/>
      <c r="Z5" s="3913"/>
      <c r="AA5" s="3898"/>
      <c r="AB5" s="3898"/>
      <c r="AC5" s="3898"/>
    </row>
    <row r="6" spans="1:29" ht="15.75" thickBot="1">
      <c r="A6" s="350"/>
      <c r="B6" s="351"/>
      <c r="C6" s="3916" t="s">
        <v>1677</v>
      </c>
      <c r="D6" s="3917"/>
      <c r="E6" s="3923" t="s">
        <v>1677</v>
      </c>
      <c r="F6" s="3924"/>
      <c r="G6" s="3916" t="s">
        <v>1677</v>
      </c>
      <c r="H6" s="3917"/>
      <c r="I6" s="3916" t="s">
        <v>1677</v>
      </c>
      <c r="J6" s="3917"/>
      <c r="K6" s="537" t="s">
        <v>1678</v>
      </c>
      <c r="L6" s="2487"/>
      <c r="M6" s="2488"/>
      <c r="N6" s="2488"/>
      <c r="O6" s="2488"/>
      <c r="P6" s="3908"/>
      <c r="Q6" s="3909"/>
      <c r="R6" s="3912"/>
      <c r="S6" s="3913"/>
      <c r="T6" s="3914"/>
      <c r="U6" s="3915"/>
      <c r="V6" s="3886"/>
      <c r="W6" s="3886"/>
      <c r="X6" s="1265"/>
      <c r="Y6" s="3914"/>
      <c r="Z6" s="3915"/>
      <c r="AA6" s="3899"/>
      <c r="AB6" s="3899"/>
      <c r="AC6" s="3899"/>
    </row>
    <row r="7" spans="1:29" s="102" customFormat="1" ht="15.75" thickBot="1">
      <c r="A7" s="352" t="s">
        <v>1679</v>
      </c>
      <c r="B7" s="353"/>
      <c r="C7" s="354">
        <f>'数据-取费表'!B2</f>
        <v>45995</v>
      </c>
      <c r="D7" s="355">
        <v>100</v>
      </c>
      <c r="E7" s="356">
        <v>45992</v>
      </c>
      <c r="F7" s="357">
        <f>SUMIF(46:46,YEAR(E7)&amp;"-"&amp;MONTH(E7),47:47)</f>
        <v>100</v>
      </c>
      <c r="G7" s="1822">
        <v>45992</v>
      </c>
      <c r="H7" s="355">
        <f>SUMIF(46:46,YEAR(G7)&amp;"-"&amp;MONTH(G7),47:47)</f>
        <v>100</v>
      </c>
      <c r="I7" s="356">
        <v>45992</v>
      </c>
      <c r="J7" s="355">
        <f>SUMIF(46:46,YEAR(I7)&amp;"-"&amp;MONTH(I7),47:47)</f>
        <v>100</v>
      </c>
      <c r="K7" s="38"/>
      <c r="L7" s="2489"/>
      <c r="M7" s="2440"/>
      <c r="N7" s="2440"/>
      <c r="O7" s="2440"/>
      <c r="P7" s="3920" t="s">
        <v>1680</v>
      </c>
      <c r="Q7" s="3922"/>
      <c r="R7" s="664" t="s">
        <v>14</v>
      </c>
      <c r="S7" s="665">
        <f t="shared" ref="S7:S14" si="0">F7</f>
        <v>100</v>
      </c>
      <c r="T7" s="664" t="s">
        <v>14</v>
      </c>
      <c r="U7" s="665">
        <f t="shared" ref="U7:U14" si="1">H7</f>
        <v>100</v>
      </c>
      <c r="V7" s="664" t="s">
        <v>14</v>
      </c>
      <c r="W7" s="665">
        <f t="shared" ref="W7:W14" si="2">J7</f>
        <v>100</v>
      </c>
      <c r="X7" s="666"/>
      <c r="Y7" s="3920" t="s">
        <v>1680</v>
      </c>
      <c r="Z7" s="3921"/>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920" t="s">
        <v>1683</v>
      </c>
      <c r="Q8" s="3921"/>
      <c r="R8" s="664" t="s">
        <v>14</v>
      </c>
      <c r="S8" s="665">
        <f t="shared" si="0"/>
        <v>100</v>
      </c>
      <c r="T8" s="664" t="s">
        <v>14</v>
      </c>
      <c r="U8" s="665">
        <f t="shared" si="1"/>
        <v>100</v>
      </c>
      <c r="V8" s="664" t="s">
        <v>14</v>
      </c>
      <c r="W8" s="665">
        <f t="shared" si="2"/>
        <v>100</v>
      </c>
      <c r="X8" s="666"/>
      <c r="Y8" s="3920" t="s">
        <v>1683</v>
      </c>
      <c r="Z8" s="392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885" t="s">
        <v>1686</v>
      </c>
      <c r="Q9" s="530" t="str">
        <f t="shared" ref="Q9:Q14" si="6">B9</f>
        <v>用途</v>
      </c>
      <c r="R9" s="664" t="s">
        <v>14</v>
      </c>
      <c r="S9" s="665">
        <f t="shared" si="0"/>
        <v>100</v>
      </c>
      <c r="T9" s="664" t="s">
        <v>14</v>
      </c>
      <c r="U9" s="665">
        <f t="shared" si="1"/>
        <v>100</v>
      </c>
      <c r="V9" s="664" t="s">
        <v>14</v>
      </c>
      <c r="W9" s="665">
        <f t="shared" si="2"/>
        <v>100</v>
      </c>
      <c r="X9" s="666"/>
      <c r="Y9" s="371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885"/>
      <c r="Q10" s="530" t="str">
        <f t="shared" si="6"/>
        <v>土地使用年限（年）</v>
      </c>
      <c r="R10" s="664" t="s">
        <v>14</v>
      </c>
      <c r="S10" s="665">
        <f t="shared" si="0"/>
        <v>100</v>
      </c>
      <c r="T10" s="664" t="s">
        <v>14</v>
      </c>
      <c r="U10" s="665">
        <f t="shared" si="1"/>
        <v>100</v>
      </c>
      <c r="V10" s="664" t="s">
        <v>14</v>
      </c>
      <c r="W10" s="665">
        <f t="shared" si="2"/>
        <v>100</v>
      </c>
      <c r="X10" s="666"/>
      <c r="Y10" s="371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885"/>
      <c r="Q11" s="530">
        <f t="shared" si="6"/>
        <v>111</v>
      </c>
      <c r="R11" s="664" t="s">
        <v>14</v>
      </c>
      <c r="S11" s="665">
        <f t="shared" si="0"/>
        <v>100</v>
      </c>
      <c r="T11" s="664" t="s">
        <v>14</v>
      </c>
      <c r="U11" s="665">
        <f t="shared" si="1"/>
        <v>100</v>
      </c>
      <c r="V11" s="664" t="s">
        <v>14</v>
      </c>
      <c r="W11" s="665">
        <f t="shared" si="2"/>
        <v>100</v>
      </c>
      <c r="X11" s="666"/>
      <c r="Y11" s="371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885"/>
      <c r="Q12" s="530">
        <f t="shared" si="6"/>
        <v>111</v>
      </c>
      <c r="R12" s="664" t="s">
        <v>14</v>
      </c>
      <c r="S12" s="665">
        <f t="shared" si="0"/>
        <v>100</v>
      </c>
      <c r="T12" s="664" t="s">
        <v>14</v>
      </c>
      <c r="U12" s="665">
        <f t="shared" si="1"/>
        <v>100</v>
      </c>
      <c r="V12" s="664" t="s">
        <v>14</v>
      </c>
      <c r="W12" s="665">
        <f t="shared" si="2"/>
        <v>100</v>
      </c>
      <c r="X12" s="666"/>
      <c r="Y12" s="371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885"/>
      <c r="Q13" s="530">
        <f t="shared" si="6"/>
        <v>111</v>
      </c>
      <c r="R13" s="664" t="s">
        <v>14</v>
      </c>
      <c r="S13" s="665">
        <f t="shared" si="0"/>
        <v>100</v>
      </c>
      <c r="T13" s="664" t="s">
        <v>14</v>
      </c>
      <c r="U13" s="665">
        <f t="shared" si="1"/>
        <v>100</v>
      </c>
      <c r="V13" s="664" t="s">
        <v>14</v>
      </c>
      <c r="W13" s="665">
        <f t="shared" si="2"/>
        <v>100</v>
      </c>
      <c r="X13" s="666"/>
      <c r="Y13" s="371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887" t="s">
        <v>1691</v>
      </c>
      <c r="Q14" s="1263" t="str">
        <f t="shared" si="6"/>
        <v>交通便捷度</v>
      </c>
      <c r="R14" s="667" t="s">
        <v>14</v>
      </c>
      <c r="S14" s="668">
        <f t="shared" si="0"/>
        <v>100</v>
      </c>
      <c r="T14" s="667" t="s">
        <v>14</v>
      </c>
      <c r="U14" s="668">
        <f t="shared" si="1"/>
        <v>100</v>
      </c>
      <c r="V14" s="667" t="s">
        <v>14</v>
      </c>
      <c r="W14" s="668">
        <f t="shared" si="2"/>
        <v>100</v>
      </c>
      <c r="X14" s="1265"/>
      <c r="Y14" s="3887" t="s">
        <v>1691</v>
      </c>
      <c r="Z14" s="1264" t="str">
        <f t="shared" si="7"/>
        <v>交通便捷度</v>
      </c>
      <c r="AA14" s="1264">
        <f t="shared" si="3"/>
        <v>1</v>
      </c>
      <c r="AB14" s="1264">
        <f t="shared" si="4"/>
        <v>1</v>
      </c>
      <c r="AC14" s="1264">
        <f t="shared" si="5"/>
        <v>1</v>
      </c>
    </row>
    <row r="15" spans="1:29" ht="15">
      <c r="A15" s="367"/>
      <c r="B15" s="385"/>
      <c r="C15" s="386" t="s">
        <v>3637</v>
      </c>
      <c r="D15" s="387"/>
      <c r="E15" s="386" t="s">
        <v>3637</v>
      </c>
      <c r="F15" s="388"/>
      <c r="G15" s="386" t="s">
        <v>3637</v>
      </c>
      <c r="H15" s="389"/>
      <c r="I15" s="386" t="s">
        <v>3637</v>
      </c>
      <c r="J15" s="387"/>
      <c r="K15" s="541"/>
      <c r="L15" s="2493"/>
      <c r="M15" s="2488"/>
      <c r="N15" s="2488"/>
      <c r="O15" s="2543"/>
      <c r="P15" s="3888"/>
      <c r="Q15" s="1263"/>
      <c r="R15" s="667"/>
      <c r="S15" s="668"/>
      <c r="T15" s="667"/>
      <c r="U15" s="668"/>
      <c r="V15" s="667"/>
      <c r="W15" s="668"/>
      <c r="X15" s="1265"/>
      <c r="Y15" s="3888"/>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888"/>
      <c r="Q16" s="1263" t="str">
        <f>B16</f>
        <v>公共配套设施</v>
      </c>
      <c r="R16" s="667" t="s">
        <v>14</v>
      </c>
      <c r="S16" s="668">
        <f>F16</f>
        <v>100</v>
      </c>
      <c r="T16" s="667" t="s">
        <v>14</v>
      </c>
      <c r="U16" s="668">
        <f>H16</f>
        <v>100</v>
      </c>
      <c r="V16" s="667" t="s">
        <v>14</v>
      </c>
      <c r="W16" s="668">
        <f>J16</f>
        <v>100</v>
      </c>
      <c r="X16" s="1265"/>
      <c r="Y16" s="3888"/>
      <c r="Z16" s="1264" t="str">
        <f>Q16</f>
        <v>公共配套设施</v>
      </c>
      <c r="AA16" s="1264">
        <f t="shared" si="3"/>
        <v>1</v>
      </c>
      <c r="AB16" s="1264">
        <f t="shared" si="4"/>
        <v>1</v>
      </c>
      <c r="AC16" s="1264">
        <f t="shared" si="5"/>
        <v>1</v>
      </c>
    </row>
    <row r="17" spans="1:29" ht="15">
      <c r="A17" s="367"/>
      <c r="B17" s="395"/>
      <c r="C17" s="1755" t="s">
        <v>3637</v>
      </c>
      <c r="D17" s="387"/>
      <c r="E17" s="386" t="s">
        <v>3637</v>
      </c>
      <c r="F17" s="388"/>
      <c r="G17" s="386" t="s">
        <v>3637</v>
      </c>
      <c r="H17" s="387"/>
      <c r="I17" s="386" t="s">
        <v>3637</v>
      </c>
      <c r="J17" s="387"/>
      <c r="K17" s="541"/>
      <c r="L17" s="2493"/>
      <c r="M17" s="2488"/>
      <c r="N17" s="2488"/>
      <c r="O17" s="2543"/>
      <c r="P17" s="3888"/>
      <c r="Q17" s="1263"/>
      <c r="R17" s="667"/>
      <c r="S17" s="668"/>
      <c r="T17" s="667"/>
      <c r="U17" s="668"/>
      <c r="V17" s="667"/>
      <c r="W17" s="668"/>
      <c r="X17" s="1265"/>
      <c r="Y17" s="388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888"/>
      <c r="Q18" s="1263" t="str">
        <f>B18</f>
        <v>基础设施水平</v>
      </c>
      <c r="R18" s="667" t="s">
        <v>14</v>
      </c>
      <c r="S18" s="668">
        <f>F18</f>
        <v>100</v>
      </c>
      <c r="T18" s="667" t="s">
        <v>14</v>
      </c>
      <c r="U18" s="668">
        <f>H18</f>
        <v>100</v>
      </c>
      <c r="V18" s="667" t="s">
        <v>14</v>
      </c>
      <c r="W18" s="668">
        <f>J18</f>
        <v>100</v>
      </c>
      <c r="X18" s="1265"/>
      <c r="Y18" s="3888"/>
      <c r="Z18" s="1264" t="str">
        <f>Q18</f>
        <v>基础设施水平</v>
      </c>
      <c r="AA18" s="1264">
        <f t="shared" ref="AA18" si="8">D18/F18</f>
        <v>1</v>
      </c>
      <c r="AB18" s="1264">
        <f t="shared" ref="AB18" si="9">D18/H18</f>
        <v>1</v>
      </c>
      <c r="AC18" s="1264">
        <f t="shared" ref="AC18" si="10">D18/J18</f>
        <v>1</v>
      </c>
    </row>
    <row r="19" spans="1:29" ht="15">
      <c r="A19" s="367"/>
      <c r="B19" s="586"/>
      <c r="C19" s="386" t="s">
        <v>3637</v>
      </c>
      <c r="D19" s="389"/>
      <c r="E19" s="386" t="s">
        <v>3637</v>
      </c>
      <c r="F19" s="392"/>
      <c r="G19" s="386" t="s">
        <v>3637</v>
      </c>
      <c r="H19" s="387"/>
      <c r="I19" s="386" t="s">
        <v>3637</v>
      </c>
      <c r="J19" s="387"/>
      <c r="K19" s="1064"/>
      <c r="L19" s="2493"/>
      <c r="M19" s="2488"/>
      <c r="N19" s="2488"/>
      <c r="O19" s="2543"/>
      <c r="P19" s="3888"/>
      <c r="Q19" s="1263"/>
      <c r="R19" s="667"/>
      <c r="S19" s="668"/>
      <c r="T19" s="667"/>
      <c r="U19" s="668"/>
      <c r="V19" s="667"/>
      <c r="W19" s="668"/>
      <c r="X19" s="1265"/>
      <c r="Y19" s="3888"/>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888"/>
      <c r="Q20" s="1263" t="str">
        <f>B20</f>
        <v>自然及人文环境</v>
      </c>
      <c r="R20" s="667" t="s">
        <v>14</v>
      </c>
      <c r="S20" s="668">
        <f>F20</f>
        <v>100</v>
      </c>
      <c r="T20" s="667" t="s">
        <v>14</v>
      </c>
      <c r="U20" s="668">
        <f>H20</f>
        <v>100</v>
      </c>
      <c r="V20" s="667" t="s">
        <v>14</v>
      </c>
      <c r="W20" s="668">
        <f>J20</f>
        <v>100</v>
      </c>
      <c r="X20" s="1265"/>
      <c r="Y20" s="3888"/>
      <c r="Z20" s="1264" t="str">
        <f>Q20</f>
        <v>自然及人文环境</v>
      </c>
      <c r="AA20" s="1264">
        <f t="shared" si="3"/>
        <v>1</v>
      </c>
      <c r="AB20" s="1264">
        <f t="shared" si="4"/>
        <v>1</v>
      </c>
      <c r="AC20" s="1264">
        <f t="shared" si="5"/>
        <v>1</v>
      </c>
    </row>
    <row r="21" spans="1:29" ht="15">
      <c r="A21" s="367"/>
      <c r="B21" s="395"/>
      <c r="C21" s="386" t="s">
        <v>3637</v>
      </c>
      <c r="D21" s="387"/>
      <c r="E21" s="386" t="s">
        <v>3637</v>
      </c>
      <c r="F21" s="388"/>
      <c r="G21" s="386" t="s">
        <v>3637</v>
      </c>
      <c r="H21" s="387"/>
      <c r="I21" s="386" t="s">
        <v>3637</v>
      </c>
      <c r="J21" s="387"/>
      <c r="K21" s="541"/>
      <c r="L21" s="2493"/>
      <c r="M21" s="2488"/>
      <c r="N21" s="2488"/>
      <c r="O21" s="2543"/>
      <c r="P21" s="3888"/>
      <c r="Q21" s="1263"/>
      <c r="R21" s="667"/>
      <c r="S21" s="668"/>
      <c r="T21" s="667"/>
      <c r="U21" s="668"/>
      <c r="V21" s="667"/>
      <c r="W21" s="668"/>
      <c r="X21" s="1265"/>
      <c r="Y21" s="388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888"/>
      <c r="Q22" s="1263" t="str">
        <f>B22</f>
        <v>楼层</v>
      </c>
      <c r="R22" s="667" t="s">
        <v>14</v>
      </c>
      <c r="S22" s="668">
        <f>F22</f>
        <v>100</v>
      </c>
      <c r="T22" s="667" t="s">
        <v>14</v>
      </c>
      <c r="U22" s="668">
        <f>H22</f>
        <v>100</v>
      </c>
      <c r="V22" s="667" t="s">
        <v>14</v>
      </c>
      <c r="W22" s="668">
        <f>J22</f>
        <v>100</v>
      </c>
      <c r="X22" s="1265"/>
      <c r="Y22" s="388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888"/>
      <c r="Q23" s="1263">
        <f>B23</f>
        <v>111</v>
      </c>
      <c r="R23" s="667" t="s">
        <v>14</v>
      </c>
      <c r="S23" s="668">
        <f>F23</f>
        <v>100</v>
      </c>
      <c r="T23" s="667" t="s">
        <v>14</v>
      </c>
      <c r="U23" s="668">
        <f>H23</f>
        <v>100</v>
      </c>
      <c r="V23" s="667" t="s">
        <v>14</v>
      </c>
      <c r="W23" s="668">
        <f>J23</f>
        <v>100</v>
      </c>
      <c r="X23" s="1265"/>
      <c r="Y23" s="388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888"/>
      <c r="Q24" s="1263">
        <f t="shared" ref="Q24:Q34" si="11">B24</f>
        <v>111</v>
      </c>
      <c r="R24" s="667" t="s">
        <v>14</v>
      </c>
      <c r="S24" s="668">
        <f>F24</f>
        <v>100</v>
      </c>
      <c r="T24" s="667" t="s">
        <v>14</v>
      </c>
      <c r="U24" s="668">
        <f>H24</f>
        <v>100</v>
      </c>
      <c r="V24" s="667" t="s">
        <v>14</v>
      </c>
      <c r="W24" s="668">
        <f>J24</f>
        <v>100</v>
      </c>
      <c r="X24" s="1265"/>
      <c r="Y24" s="388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888"/>
      <c r="Q25" s="530">
        <f t="shared" si="11"/>
        <v>111</v>
      </c>
      <c r="R25" s="664" t="s">
        <v>14</v>
      </c>
      <c r="S25" s="665">
        <f>F25</f>
        <v>100</v>
      </c>
      <c r="T25" s="664" t="s">
        <v>14</v>
      </c>
      <c r="U25" s="665">
        <f>H25</f>
        <v>100</v>
      </c>
      <c r="V25" s="664" t="s">
        <v>14</v>
      </c>
      <c r="W25" s="665">
        <f>J25</f>
        <v>100</v>
      </c>
      <c r="X25" s="666"/>
      <c r="Y25" s="388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94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892" t="s">
        <v>1696</v>
      </c>
      <c r="Z26" s="1264" t="str">
        <f t="shared" ref="Z26:Z34" si="15">Q26</f>
        <v>公共部分装修</v>
      </c>
      <c r="AA26" s="1264">
        <f t="shared" si="3"/>
        <v>1</v>
      </c>
      <c r="AB26" s="1264">
        <f t="shared" si="4"/>
        <v>1</v>
      </c>
      <c r="AC26" s="1264">
        <f t="shared" si="5"/>
        <v>1</v>
      </c>
    </row>
    <row r="27" spans="1:29" s="408" customFormat="1" ht="15">
      <c r="A27" s="406"/>
      <c r="B27" s="364" t="s">
        <v>1839</v>
      </c>
      <c r="C27" s="411">
        <v>0.84</v>
      </c>
      <c r="D27" s="119">
        <v>100</v>
      </c>
      <c r="E27" s="412">
        <v>0.6</v>
      </c>
      <c r="F27" s="400">
        <f>LOOKUP(E27,80:80,81:81)-LOOKUP(C27,80:80,81:81)+100</f>
        <v>98</v>
      </c>
      <c r="G27" s="413">
        <v>0.6</v>
      </c>
      <c r="H27" s="374">
        <f>LOOKUP(G27,80:80,81:81)-LOOKUP(C27,80:80,81:81)+100</f>
        <v>98</v>
      </c>
      <c r="I27" s="413">
        <v>0.6</v>
      </c>
      <c r="J27" s="374">
        <f>LOOKUP(I27,80:80,81:81)-LOOKUP(C27,80:80,81:81)+100</f>
        <v>98</v>
      </c>
      <c r="K27" s="538">
        <v>1</v>
      </c>
      <c r="L27" s="2492"/>
      <c r="M27" s="2494"/>
      <c r="N27" s="2494"/>
      <c r="O27" s="2544"/>
      <c r="P27" s="3892"/>
      <c r="Q27" s="531" t="str">
        <f t="shared" si="11"/>
        <v>成新率</v>
      </c>
      <c r="R27" s="669" t="s">
        <v>14</v>
      </c>
      <c r="S27" s="670">
        <f t="shared" si="12"/>
        <v>98</v>
      </c>
      <c r="T27" s="669" t="s">
        <v>14</v>
      </c>
      <c r="U27" s="670">
        <f t="shared" si="13"/>
        <v>98</v>
      </c>
      <c r="V27" s="669" t="s">
        <v>14</v>
      </c>
      <c r="W27" s="670">
        <f t="shared" si="14"/>
        <v>98</v>
      </c>
      <c r="X27" s="671"/>
      <c r="Y27" s="3892"/>
      <c r="Z27" s="672" t="str">
        <f t="shared" si="15"/>
        <v>成新率</v>
      </c>
      <c r="AA27" s="1264">
        <f t="shared" si="3"/>
        <v>1.0204081632653061</v>
      </c>
      <c r="AB27" s="1264">
        <f t="shared" si="4"/>
        <v>1.0204081632653061</v>
      </c>
      <c r="AC27" s="1264">
        <f t="shared" si="5"/>
        <v>1.0204081632653061</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892"/>
      <c r="Q28" s="1263" t="str">
        <f t="shared" si="11"/>
        <v>物业等级</v>
      </c>
      <c r="R28" s="667" t="s">
        <v>14</v>
      </c>
      <c r="S28" s="668">
        <f t="shared" si="12"/>
        <v>100</v>
      </c>
      <c r="T28" s="667" t="s">
        <v>14</v>
      </c>
      <c r="U28" s="668">
        <f t="shared" si="13"/>
        <v>100</v>
      </c>
      <c r="V28" s="667" t="s">
        <v>14</v>
      </c>
      <c r="W28" s="668">
        <f t="shared" si="14"/>
        <v>100</v>
      </c>
      <c r="X28" s="1265"/>
      <c r="Y28" s="389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892"/>
      <c r="Q29" s="1263" t="str">
        <f t="shared" si="11"/>
        <v>有无电梯</v>
      </c>
      <c r="R29" s="667" t="s">
        <v>14</v>
      </c>
      <c r="S29" s="668">
        <f t="shared" si="12"/>
        <v>100</v>
      </c>
      <c r="T29" s="667" t="s">
        <v>14</v>
      </c>
      <c r="U29" s="668">
        <f t="shared" si="13"/>
        <v>100</v>
      </c>
      <c r="V29" s="667" t="s">
        <v>14</v>
      </c>
      <c r="W29" s="668">
        <f t="shared" si="14"/>
        <v>100</v>
      </c>
      <c r="X29" s="1265"/>
      <c r="Y29" s="3892"/>
      <c r="Z29" s="1264" t="str">
        <f t="shared" si="15"/>
        <v>有无电梯</v>
      </c>
      <c r="AA29" s="1264">
        <f t="shared" si="3"/>
        <v>1</v>
      </c>
      <c r="AB29" s="1264">
        <f t="shared" si="4"/>
        <v>1</v>
      </c>
      <c r="AC29" s="1264">
        <f t="shared" si="5"/>
        <v>1</v>
      </c>
    </row>
    <row r="30" spans="1:29" ht="15">
      <c r="A30" s="409"/>
      <c r="B30" s="364" t="s">
        <v>1861</v>
      </c>
      <c r="C30" s="407">
        <v>17</v>
      </c>
      <c r="D30" s="374">
        <v>100</v>
      </c>
      <c r="E30" s="407">
        <v>20</v>
      </c>
      <c r="F30" s="400">
        <f>LOOKUP(E30,87:87,88:88)-LOOKUP(C30,87:87,88:88)+100</f>
        <v>100</v>
      </c>
      <c r="G30" s="407">
        <v>20</v>
      </c>
      <c r="H30" s="374">
        <f>LOOKUP(G30,87:87,88:88)-LOOKUP(C30,87:87,88:88)+100</f>
        <v>100</v>
      </c>
      <c r="I30" s="407">
        <v>20</v>
      </c>
      <c r="J30" s="374">
        <f>LOOKUP(I30,87:87,88:88)-LOOKUP(C30,87:87,88:88)+100</f>
        <v>100</v>
      </c>
      <c r="K30" s="539"/>
      <c r="L30" s="2493"/>
      <c r="M30" s="2488"/>
      <c r="N30" s="2488"/>
      <c r="O30" s="2543"/>
      <c r="P30" s="3892"/>
      <c r="Q30" s="1263" t="str">
        <f t="shared" si="11"/>
        <v>建筑面积</v>
      </c>
      <c r="R30" s="667" t="s">
        <v>14</v>
      </c>
      <c r="S30" s="668">
        <f t="shared" si="12"/>
        <v>100</v>
      </c>
      <c r="T30" s="667" t="s">
        <v>14</v>
      </c>
      <c r="U30" s="668">
        <f t="shared" si="13"/>
        <v>100</v>
      </c>
      <c r="V30" s="667" t="s">
        <v>14</v>
      </c>
      <c r="W30" s="668">
        <f t="shared" si="14"/>
        <v>100</v>
      </c>
      <c r="X30" s="1265"/>
      <c r="Y30" s="3892"/>
      <c r="Z30" s="1264" t="str">
        <f t="shared" si="15"/>
        <v>建筑面积</v>
      </c>
      <c r="AA30" s="1264">
        <f t="shared" si="3"/>
        <v>1</v>
      </c>
      <c r="AB30" s="1264">
        <f t="shared" si="4"/>
        <v>1</v>
      </c>
      <c r="AC30" s="1264">
        <f t="shared" si="5"/>
        <v>1</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892"/>
      <c r="Q31" s="530" t="str">
        <f t="shared" si="11"/>
        <v>是否封闭</v>
      </c>
      <c r="R31" s="664" t="s">
        <v>14</v>
      </c>
      <c r="S31" s="665">
        <f t="shared" si="12"/>
        <v>100</v>
      </c>
      <c r="T31" s="664" t="s">
        <v>14</v>
      </c>
      <c r="U31" s="665">
        <f t="shared" si="13"/>
        <v>100</v>
      </c>
      <c r="V31" s="664" t="s">
        <v>14</v>
      </c>
      <c r="W31" s="665">
        <f t="shared" si="14"/>
        <v>100</v>
      </c>
      <c r="X31" s="666"/>
      <c r="Y31" s="389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892" t="s">
        <v>1696</v>
      </c>
      <c r="Q32" s="1263">
        <f t="shared" si="11"/>
        <v>111</v>
      </c>
      <c r="R32" s="667" t="s">
        <v>14</v>
      </c>
      <c r="S32" s="668">
        <f t="shared" si="12"/>
        <v>100</v>
      </c>
      <c r="T32" s="667" t="s">
        <v>14</v>
      </c>
      <c r="U32" s="668">
        <f t="shared" si="13"/>
        <v>100</v>
      </c>
      <c r="V32" s="667" t="s">
        <v>14</v>
      </c>
      <c r="W32" s="668">
        <f t="shared" si="14"/>
        <v>100</v>
      </c>
      <c r="X32" s="1265"/>
      <c r="Y32" s="389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892"/>
      <c r="Q33" s="1263">
        <f t="shared" si="11"/>
        <v>111</v>
      </c>
      <c r="R33" s="667" t="s">
        <v>14</v>
      </c>
      <c r="S33" s="668">
        <f t="shared" si="12"/>
        <v>100</v>
      </c>
      <c r="T33" s="667" t="s">
        <v>14</v>
      </c>
      <c r="U33" s="668">
        <f t="shared" si="13"/>
        <v>100</v>
      </c>
      <c r="V33" s="667" t="s">
        <v>14</v>
      </c>
      <c r="W33" s="668">
        <f t="shared" si="14"/>
        <v>100</v>
      </c>
      <c r="X33" s="1265"/>
      <c r="Y33" s="389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892"/>
      <c r="Q34" s="1263">
        <f t="shared" si="11"/>
        <v>111</v>
      </c>
      <c r="R34" s="667" t="s">
        <v>14</v>
      </c>
      <c r="S34" s="668">
        <f t="shared" si="12"/>
        <v>100</v>
      </c>
      <c r="T34" s="667" t="s">
        <v>14</v>
      </c>
      <c r="U34" s="668">
        <f t="shared" si="13"/>
        <v>100</v>
      </c>
      <c r="V34" s="667" t="s">
        <v>14</v>
      </c>
      <c r="W34" s="668">
        <f t="shared" si="14"/>
        <v>100</v>
      </c>
      <c r="X34" s="1265"/>
      <c r="Y34" s="3892"/>
      <c r="Z34" s="1264">
        <f t="shared" si="15"/>
        <v>111</v>
      </c>
      <c r="AA34" s="1264">
        <f t="shared" si="3"/>
        <v>1</v>
      </c>
      <c r="AB34" s="1264">
        <f t="shared" si="4"/>
        <v>1</v>
      </c>
      <c r="AC34" s="1264">
        <f t="shared" si="5"/>
        <v>1</v>
      </c>
    </row>
    <row r="35" spans="1:30" ht="15">
      <c r="A35" s="416" t="s">
        <v>1708</v>
      </c>
      <c r="B35" s="417"/>
      <c r="C35" s="1081" t="s">
        <v>0</v>
      </c>
      <c r="D35" s="418"/>
      <c r="E35" s="419">
        <v>0.11</v>
      </c>
      <c r="F35" s="420"/>
      <c r="G35" s="421">
        <v>0.13</v>
      </c>
      <c r="H35" s="422"/>
      <c r="I35" s="419">
        <v>0.12</v>
      </c>
      <c r="J35" s="422"/>
      <c r="K35" s="674"/>
      <c r="L35" s="2495"/>
      <c r="M35" s="2488"/>
      <c r="N35" s="2488"/>
      <c r="O35" s="2488"/>
      <c r="P35" s="3885" t="str">
        <f>A35</f>
        <v>成交单价（元/平方米）</v>
      </c>
      <c r="Q35" s="3885"/>
      <c r="R35" s="3886">
        <f>E35</f>
        <v>0.11</v>
      </c>
      <c r="S35" s="3886"/>
      <c r="T35" s="3886">
        <f>G35</f>
        <v>0.13</v>
      </c>
      <c r="U35" s="3886"/>
      <c r="V35" s="3886">
        <f>I35</f>
        <v>0.12</v>
      </c>
      <c r="W35" s="3886"/>
      <c r="X35" s="385"/>
      <c r="Y35" s="673"/>
      <c r="Z35" s="385"/>
      <c r="AA35" s="385"/>
      <c r="AB35" s="385"/>
      <c r="AC35" s="385"/>
    </row>
    <row r="36" spans="1:30" ht="15.75" thickBot="1">
      <c r="A36" s="423" t="s">
        <v>1793</v>
      </c>
      <c r="B36" s="424"/>
      <c r="C36" s="1082">
        <f>R37</f>
        <v>0.12</v>
      </c>
      <c r="D36" s="2141" t="s">
        <v>2138</v>
      </c>
      <c r="E36" s="1083">
        <f>R36</f>
        <v>0.11</v>
      </c>
      <c r="F36" s="2142"/>
      <c r="G36" s="1082">
        <f>T36</f>
        <v>0.13</v>
      </c>
      <c r="H36" s="2142"/>
      <c r="I36" s="1083">
        <f>V36</f>
        <v>0.12</v>
      </c>
      <c r="J36" s="2142"/>
      <c r="K36" s="2144">
        <f>F36+H36+J36</f>
        <v>0</v>
      </c>
      <c r="L36" s="2495"/>
      <c r="M36" s="2488"/>
      <c r="N36" s="2488"/>
      <c r="O36" s="2488"/>
      <c r="P36" s="3885" t="str">
        <f>A36</f>
        <v>比较价值（元/平方米）</v>
      </c>
      <c r="Q36" s="3885"/>
      <c r="R36" s="3886">
        <f>IF(F1="售价",ROUND(PRODUCT(R35,AA7:AA34),0),ROUND(PRODUCT(R35,AA7:AA34),2))</f>
        <v>0.11</v>
      </c>
      <c r="S36" s="3886"/>
      <c r="T36" s="3886">
        <f>IF(F1="售价",ROUND(PRODUCT(T35,AB7:AB34),0),ROUND(PRODUCT(T35,AB7:AB34),2))</f>
        <v>0.13</v>
      </c>
      <c r="U36" s="3886"/>
      <c r="V36" s="3886">
        <f>IF(F1="售价",ROUND(PRODUCT(V35,AC7:AC34),0),ROUND(PRODUCT(V35,AC7:AC34),2))</f>
        <v>0.12</v>
      </c>
      <c r="W36" s="3886"/>
      <c r="X36" s="385"/>
      <c r="Y36" s="385"/>
      <c r="Z36" s="385"/>
      <c r="AA36" s="385"/>
      <c r="AB36" s="385"/>
      <c r="AC36" s="385"/>
    </row>
    <row r="37" spans="1:30" ht="15.75" thickBot="1">
      <c r="A37" s="427" t="s">
        <v>1794</v>
      </c>
      <c r="B37" s="428"/>
      <c r="C37" s="351">
        <f>R37</f>
        <v>0.12</v>
      </c>
      <c r="D37" s="351"/>
      <c r="E37" s="351"/>
      <c r="F37" s="351"/>
      <c r="G37" s="351"/>
      <c r="H37" s="351"/>
      <c r="I37" s="351"/>
      <c r="J37" s="351"/>
      <c r="K37" s="675"/>
      <c r="L37" s="2495"/>
      <c r="M37" s="2488"/>
      <c r="N37" s="2488"/>
      <c r="O37" s="2488"/>
      <c r="P37" s="3882" t="str">
        <f>A37</f>
        <v>估价对象XX用房的比较价值（楼面单价，元/平方米）</v>
      </c>
      <c r="Q37" s="3883"/>
      <c r="R37" s="3943">
        <f>IF(F1="售价",ROUND(IF(D36="简单平均",AVERAGE(R36:W36),R36*F36+T36*H36+V36*J36),0),ROUND(IF(D36="简单平均",AVERAGE(R36:V36),R36*F36+T36*H36+V36*J36),2))</f>
        <v>0.12</v>
      </c>
      <c r="S37" s="3943"/>
      <c r="T37" s="3943"/>
      <c r="U37" s="3943"/>
      <c r="V37" s="3943"/>
      <c r="W37" s="394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f>IF(E35&lt;E36,E36/E35-1,E35/E36-1)</f>
        <v>0</v>
      </c>
      <c r="F40" s="435" t="str">
        <f>IF(OR(E40&gt;=0.3,E40&lt;=-0.3),"超过30%","")</f>
        <v/>
      </c>
      <c r="G40" s="434">
        <f>IF(G35&lt;G36,G36/G35-1,G35/G36-1)</f>
        <v>0</v>
      </c>
      <c r="H40" s="435" t="str">
        <f>IF(OR(G40&gt;=0.3,G40&lt;=-0.3),"超过30%","")</f>
        <v/>
      </c>
      <c r="I40" s="434">
        <f>IF(I35&lt;I36,I36/I35-1,I35/I36-1)</f>
        <v>0</v>
      </c>
      <c r="J40" s="435" t="str">
        <f>IF(OR(I40&gt;=0.3,I40&lt;=-0.3),"超过30%","")</f>
        <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f>IF(E36&lt;G36,G36/E36-1,E36/G36-1)</f>
        <v>0.18181818181818188</v>
      </c>
      <c r="F41" s="435" t="str">
        <f>IF(OR(E41&gt;=0.2,E41&lt;=-0.2),"超过20%","")</f>
        <v/>
      </c>
      <c r="G41" s="434">
        <f>IF(G36&lt;I36,I36/G36-1,G36/I36-1)</f>
        <v>8.3333333333333481E-2</v>
      </c>
      <c r="H41" s="435" t="str">
        <f>IF(OR(G41&gt;=0.2,G41&lt;=-0.2),"超过20%","")</f>
        <v/>
      </c>
      <c r="I41" s="434">
        <f>IF(I36&lt;E36,E36/I36-1,I36/E36-1)</f>
        <v>9.0909090909090828E-2</v>
      </c>
      <c r="J41" s="435" t="str">
        <f>IF(OR(I41&gt;=0.2,I41&lt;=-0.2),"超过20%","")</f>
        <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f>IF(E35&lt;G35,G35/E35-1,E35/G35-1)</f>
        <v>0.18181818181818188</v>
      </c>
      <c r="F42" s="435" t="str">
        <f>IF(OR(E42&gt;=0.3,E42&lt;=-0.3),"超过30%","")</f>
        <v/>
      </c>
      <c r="G42" s="434">
        <f>IF(G35&lt;I35,I35/G35-1,G35/I35-1)</f>
        <v>8.3333333333333481E-2</v>
      </c>
      <c r="H42" s="435" t="str">
        <f>IF(OR(G42&gt;=0.3,G42&lt;=-0.3),"超过30%","")</f>
        <v/>
      </c>
      <c r="I42" s="434">
        <f>IF(I35&lt;E35,E35/I35-1,I35/E35-1)</f>
        <v>9.0909090909090828E-2</v>
      </c>
      <c r="J42" s="435" t="str">
        <f>IF(OR(I42&gt;=0.3,I42&lt;=-0.3),"超过30%","")</f>
        <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101</v>
      </c>
      <c r="E81" s="475">
        <f t="shared" si="18"/>
        <v>102</v>
      </c>
      <c r="F81" s="475">
        <f t="shared" si="18"/>
        <v>103</v>
      </c>
      <c r="G81" s="475">
        <f t="shared" si="18"/>
        <v>104</v>
      </c>
      <c r="H81" s="475">
        <f t="shared" si="18"/>
        <v>105</v>
      </c>
      <c r="I81" s="475">
        <f t="shared" si="18"/>
        <v>106</v>
      </c>
      <c r="J81" s="475">
        <f t="shared" si="18"/>
        <v>107</v>
      </c>
      <c r="K81" s="475">
        <f t="shared" si="18"/>
        <v>108</v>
      </c>
      <c r="L81" s="475">
        <f t="shared" si="18"/>
        <v>109</v>
      </c>
      <c r="M81" s="475">
        <f t="shared" si="18"/>
        <v>110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0(含)-10</v>
      </c>
      <c r="D86" s="509" t="str">
        <f t="shared" si="21"/>
        <v>10(含)-21</v>
      </c>
      <c r="E86" s="509" t="str">
        <f t="shared" si="21"/>
        <v>21(含)-30</v>
      </c>
      <c r="F86" s="509" t="str">
        <f t="shared" si="21"/>
        <v>30(含)-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v>0</v>
      </c>
      <c r="D87" s="6">
        <v>10</v>
      </c>
      <c r="E87" s="6">
        <v>21</v>
      </c>
      <c r="F87" s="6">
        <v>30</v>
      </c>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v>100</v>
      </c>
      <c r="D88" s="467">
        <v>101</v>
      </c>
      <c r="E88" s="467">
        <v>102</v>
      </c>
      <c r="F88" s="467">
        <v>103</v>
      </c>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13" priority="13" stopIfTrue="1">
      <formula>$F$40="超过30%"</formula>
    </cfRule>
  </conditionalFormatting>
  <conditionalFormatting sqref="E41">
    <cfRule type="expression" dxfId="12" priority="11" stopIfTrue="1">
      <formula>$F$41="超过20%"</formula>
    </cfRule>
  </conditionalFormatting>
  <conditionalFormatting sqref="E42">
    <cfRule type="expression" dxfId="11" priority="10" stopIfTrue="1">
      <formula>$F$42="超过30%"</formula>
    </cfRule>
  </conditionalFormatting>
  <conditionalFormatting sqref="F7:F34 H7:H34 J7:J34">
    <cfRule type="cellIs" dxfId="10" priority="1" operator="notEqual">
      <formula>100</formula>
    </cfRule>
  </conditionalFormatting>
  <conditionalFormatting sqref="F36">
    <cfRule type="expression" dxfId="9" priority="4">
      <formula>$D$36="简单平均"</formula>
    </cfRule>
  </conditionalFormatting>
  <conditionalFormatting sqref="F40:F42 H40:H42 J40:J42">
    <cfRule type="containsText" dxfId="8" priority="14" stopIfTrue="1" operator="containsText" text="超过">
      <formula>NOT(ISERROR(SEARCH("超过",F40)))</formula>
    </cfRule>
  </conditionalFormatting>
  <conditionalFormatting sqref="G40">
    <cfRule type="expression" dxfId="7" priority="9" stopIfTrue="1">
      <formula>$H$52+$H$40="超过30%"</formula>
    </cfRule>
  </conditionalFormatting>
  <conditionalFormatting sqref="G41">
    <cfRule type="expression" dxfId="6" priority="8" stopIfTrue="1">
      <formula>$H$53+$H$41="超过20%"</formula>
    </cfRule>
  </conditionalFormatting>
  <conditionalFormatting sqref="G42">
    <cfRule type="expression" dxfId="5" priority="12" stopIfTrue="1">
      <formula>$H$54+$H$42="超过30%"</formula>
    </cfRule>
  </conditionalFormatting>
  <conditionalFormatting sqref="H36">
    <cfRule type="expression" dxfId="4" priority="3">
      <formula>$D$36="简单平均"</formula>
    </cfRule>
  </conditionalFormatting>
  <conditionalFormatting sqref="I40">
    <cfRule type="expression" dxfId="3" priority="7" stopIfTrue="1">
      <formula>$J$40="超过30%"</formula>
    </cfRule>
  </conditionalFormatting>
  <conditionalFormatting sqref="I41">
    <cfRule type="expression" dxfId="2" priority="6" stopIfTrue="1">
      <formula>$J$41="超过20%"</formula>
    </cfRule>
  </conditionalFormatting>
  <conditionalFormatting sqref="I42">
    <cfRule type="expression" dxfId="1" priority="5" stopIfTrue="1">
      <formula>$J$42="超过30%"</formula>
    </cfRule>
  </conditionalFormatting>
  <conditionalFormatting sqref="J36">
    <cfRule type="expression" dxfId="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C4C29-5FFB-43FB-9335-7706B78D55AC}">
  <dimension ref="A38:L66"/>
  <sheetViews>
    <sheetView topLeftCell="A7" workbookViewId="0">
      <selection activeCell="L46" sqref="L46"/>
    </sheetView>
  </sheetViews>
  <sheetFormatPr defaultRowHeight="13.5"/>
  <cols>
    <col min="10" max="10" width="8.5" bestFit="1" customWidth="1"/>
    <col min="11" max="11" width="9.5" bestFit="1" customWidth="1"/>
  </cols>
  <sheetData>
    <row r="38" spans="5:12">
      <c r="F38" s="1405" t="s">
        <v>3642</v>
      </c>
      <c r="G38" s="1405" t="s">
        <v>2552</v>
      </c>
      <c r="J38" s="3592" t="s">
        <v>3642</v>
      </c>
      <c r="K38" s="3592" t="s">
        <v>2552</v>
      </c>
      <c r="L38" s="3592" t="s">
        <v>3650</v>
      </c>
    </row>
    <row r="39" spans="5:12">
      <c r="E39" s="1405" t="s">
        <v>3641</v>
      </c>
      <c r="F39">
        <v>1254.54</v>
      </c>
      <c r="G39">
        <v>8642.9</v>
      </c>
      <c r="J39" s="3593">
        <f>F39+F42+F46</f>
        <v>5074.3600000000006</v>
      </c>
      <c r="K39" s="3593">
        <f>G39+G42+G46</f>
        <v>34587.24</v>
      </c>
      <c r="L39" s="3593">
        <v>8436.1</v>
      </c>
    </row>
    <row r="40" spans="5:12">
      <c r="F40">
        <v>73</v>
      </c>
      <c r="G40">
        <v>72</v>
      </c>
      <c r="J40" s="3593">
        <f>F40+F43+F47</f>
        <v>297</v>
      </c>
      <c r="K40" s="3593">
        <f>G40+G43+G47</f>
        <v>288</v>
      </c>
      <c r="L40" s="3593">
        <v>288</v>
      </c>
    </row>
    <row r="41" spans="5:12">
      <c r="J41" s="3594">
        <f t="shared" ref="J41:K41" si="0">J39/J40</f>
        <v>17.085387205387207</v>
      </c>
      <c r="K41" s="3594">
        <f t="shared" si="0"/>
        <v>120.09458333333333</v>
      </c>
      <c r="L41" s="3594">
        <f>L39/L40</f>
        <v>29.292013888888889</v>
      </c>
    </row>
    <row r="42" spans="5:12">
      <c r="E42" s="1405" t="s">
        <v>3643</v>
      </c>
      <c r="F42">
        <v>1673.72</v>
      </c>
      <c r="G42">
        <v>11503.12</v>
      </c>
    </row>
    <row r="43" spans="5:12">
      <c r="F43">
        <v>98</v>
      </c>
      <c r="G43">
        <v>96</v>
      </c>
      <c r="I43" s="1405" t="s">
        <v>3660</v>
      </c>
      <c r="J43" s="3604">
        <f>成本分析!C12</f>
        <v>0.15</v>
      </c>
      <c r="K43" s="3604">
        <f>'比较法-住宅租金'!C48</f>
        <v>23.2</v>
      </c>
      <c r="L43" s="3604">
        <f>成本分析!C13</f>
        <v>132</v>
      </c>
    </row>
    <row r="44" spans="5:12">
      <c r="J44">
        <f>ROUND(J43*0.9,2)</f>
        <v>0.14000000000000001</v>
      </c>
      <c r="K44">
        <f>K43*0.9</f>
        <v>20.88</v>
      </c>
      <c r="L44">
        <f>ROUND(L43*0.9,0)</f>
        <v>119</v>
      </c>
    </row>
    <row r="45" spans="5:12">
      <c r="J45">
        <f>ROUND(J43*1.1,2)</f>
        <v>0.17</v>
      </c>
      <c r="K45">
        <f>K43*1.1</f>
        <v>25.52</v>
      </c>
      <c r="L45">
        <f>ROUND(L43*1.1,0)</f>
        <v>145</v>
      </c>
    </row>
    <row r="46" spans="5:12">
      <c r="E46" s="1405" t="s">
        <v>3644</v>
      </c>
      <c r="F46">
        <v>2146.1</v>
      </c>
      <c r="G46">
        <v>14441.22</v>
      </c>
    </row>
    <row r="47" spans="5:12">
      <c r="F47">
        <v>126</v>
      </c>
      <c r="G47">
        <v>120</v>
      </c>
    </row>
    <row r="66" spans="1:1">
      <c r="A66" s="3595" t="s">
        <v>3654</v>
      </c>
    </row>
  </sheetData>
  <phoneticPr fontId="134" type="noConversion"/>
  <hyperlinks>
    <hyperlink ref="A66" r:id="rId1" display="https://baijiahao.baidu.com/s?id=1828298675470996277&amp;wfr=spider&amp;for=pc" xr:uid="{EC258E76-E17D-43D8-9DB3-09238375B03E}"/>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4039" t="s">
        <v>2607</v>
      </c>
      <c r="B20" s="4032" t="s">
        <v>2628</v>
      </c>
      <c r="C20" s="3169" t="s">
        <v>2439</v>
      </c>
      <c r="D20" s="3169"/>
      <c r="E20" s="2845">
        <v>1</v>
      </c>
      <c r="F20" s="2846" t="s">
        <v>2440</v>
      </c>
      <c r="G20" s="2846"/>
    </row>
    <row r="21" spans="1:13" ht="19.5" customHeight="1">
      <c r="A21" s="4040"/>
      <c r="B21" s="4028"/>
      <c r="C21" s="2858" t="s">
        <v>2441</v>
      </c>
      <c r="D21" s="2858"/>
      <c r="E21" s="2849">
        <v>1</v>
      </c>
      <c r="F21" s="2846" t="s">
        <v>2442</v>
      </c>
      <c r="G21" s="2846"/>
    </row>
    <row r="22" spans="1:13" ht="19.5" customHeight="1">
      <c r="A22" s="4040"/>
      <c r="B22" s="4028"/>
      <c r="C22" s="2858" t="s">
        <v>2443</v>
      </c>
      <c r="D22" s="2858"/>
      <c r="E22" s="2849">
        <v>0.9</v>
      </c>
      <c r="F22" s="2846" t="s">
        <v>2444</v>
      </c>
      <c r="G22" s="2846"/>
    </row>
    <row r="23" spans="1:13" ht="19.5" customHeight="1">
      <c r="A23" s="4040"/>
      <c r="B23" s="4028"/>
      <c r="C23" s="2858" t="s">
        <v>2445</v>
      </c>
      <c r="D23" s="2858"/>
      <c r="E23" s="2849">
        <v>0.9</v>
      </c>
      <c r="F23" s="2846" t="s">
        <v>2446</v>
      </c>
      <c r="G23" s="2846"/>
    </row>
    <row r="24" spans="1:13" ht="19.5" customHeight="1">
      <c r="A24" s="4040"/>
      <c r="B24" s="4028"/>
      <c r="C24" s="2858" t="s">
        <v>2447</v>
      </c>
      <c r="D24" s="2858"/>
      <c r="E24" s="2849">
        <v>0.8</v>
      </c>
      <c r="F24" s="2846" t="s">
        <v>2448</v>
      </c>
      <c r="G24" s="2846"/>
    </row>
    <row r="25" spans="1:13" ht="19.5" customHeight="1">
      <c r="A25" s="4040"/>
      <c r="B25" s="4028"/>
      <c r="C25" s="2858" t="s">
        <v>2449</v>
      </c>
      <c r="D25" s="2858"/>
      <c r="E25" s="2849">
        <v>0.8</v>
      </c>
      <c r="F25" s="2846"/>
      <c r="G25" s="2846"/>
    </row>
    <row r="26" spans="1:13" ht="19.5" customHeight="1">
      <c r="A26" s="4040"/>
      <c r="B26" s="4028"/>
      <c r="C26" s="2858" t="s">
        <v>3406</v>
      </c>
      <c r="D26" s="2858"/>
      <c r="E26" s="2849">
        <v>0.43</v>
      </c>
      <c r="F26" s="2846"/>
      <c r="G26" s="2846"/>
    </row>
    <row r="27" spans="1:13" ht="19.5" customHeight="1" thickBot="1">
      <c r="A27" s="4041"/>
      <c r="B27" s="4033"/>
      <c r="C27" s="3165" t="s">
        <v>3407</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4034" t="s">
        <v>2631</v>
      </c>
      <c r="B29" s="4037" t="s">
        <v>2612</v>
      </c>
      <c r="C29" s="2843" t="s">
        <v>2452</v>
      </c>
      <c r="D29" s="2844"/>
      <c r="E29" s="2845">
        <v>1</v>
      </c>
      <c r="F29" s="2846" t="s">
        <v>2453</v>
      </c>
      <c r="G29" s="2846"/>
    </row>
    <row r="30" spans="1:13" ht="19.5" customHeight="1">
      <c r="A30" s="4035"/>
      <c r="B30" s="4031"/>
      <c r="C30" s="2847" t="s">
        <v>2454</v>
      </c>
      <c r="D30" s="2848"/>
      <c r="E30" s="2849">
        <v>1</v>
      </c>
      <c r="F30" s="2846" t="s">
        <v>2455</v>
      </c>
      <c r="G30" s="2846"/>
    </row>
    <row r="31" spans="1:13" ht="19.5" customHeight="1">
      <c r="A31" s="4035"/>
      <c r="B31" s="4031"/>
      <c r="C31" s="2847" t="s">
        <v>2456</v>
      </c>
      <c r="D31" s="2848"/>
      <c r="E31" s="2849">
        <v>0.8</v>
      </c>
      <c r="F31" s="2846" t="s">
        <v>2457</v>
      </c>
      <c r="G31" s="2846"/>
    </row>
    <row r="32" spans="1:13" ht="19.5" customHeight="1">
      <c r="A32" s="4035"/>
      <c r="B32" s="4031"/>
      <c r="C32" s="2847" t="s">
        <v>2458</v>
      </c>
      <c r="D32" s="2848"/>
      <c r="E32" s="2849">
        <v>0.8</v>
      </c>
      <c r="F32" s="2846" t="s">
        <v>2459</v>
      </c>
      <c r="G32" s="2846"/>
    </row>
    <row r="33" spans="1:7" ht="19.5" customHeight="1">
      <c r="A33" s="4035"/>
      <c r="B33" s="4031"/>
      <c r="C33" s="2847" t="s">
        <v>2460</v>
      </c>
      <c r="D33" s="2848"/>
      <c r="E33" s="2849">
        <v>0.8</v>
      </c>
      <c r="F33" s="2846" t="s">
        <v>2461</v>
      </c>
      <c r="G33" s="2846"/>
    </row>
    <row r="34" spans="1:7" ht="19.5" customHeight="1">
      <c r="A34" s="4035"/>
      <c r="B34" s="4031"/>
      <c r="C34" s="2847" t="s">
        <v>2462</v>
      </c>
      <c r="D34" s="2848"/>
      <c r="E34" s="2849">
        <v>0.7</v>
      </c>
      <c r="F34" s="2846" t="s">
        <v>2463</v>
      </c>
      <c r="G34" s="2846"/>
    </row>
    <row r="35" spans="1:7" ht="19.5" customHeight="1">
      <c r="A35" s="4035"/>
      <c r="B35" s="4031"/>
      <c r="C35" s="2847" t="s">
        <v>2464</v>
      </c>
      <c r="D35" s="2848"/>
      <c r="E35" s="2849">
        <v>0.8</v>
      </c>
      <c r="F35" s="2846" t="s">
        <v>2465</v>
      </c>
      <c r="G35" s="2846"/>
    </row>
    <row r="36" spans="1:7" ht="19.5" customHeight="1">
      <c r="A36" s="4035"/>
      <c r="B36" s="4031"/>
      <c r="C36" s="2847" t="s">
        <v>2466</v>
      </c>
      <c r="D36" s="2848"/>
      <c r="E36" s="2849">
        <v>0.6</v>
      </c>
      <c r="F36" s="2846" t="s">
        <v>2467</v>
      </c>
      <c r="G36" s="2846"/>
    </row>
    <row r="37" spans="1:7" ht="19.5" customHeight="1">
      <c r="A37" s="4035"/>
      <c r="B37" s="4031"/>
      <c r="C37" s="2847" t="s">
        <v>2468</v>
      </c>
      <c r="D37" s="2848"/>
      <c r="E37" s="2849">
        <v>0.2</v>
      </c>
      <c r="F37" s="2846" t="s">
        <v>2469</v>
      </c>
      <c r="G37" s="2846"/>
    </row>
    <row r="38" spans="1:7" ht="19.5" customHeight="1">
      <c r="A38" s="4035"/>
      <c r="B38" s="4031"/>
      <c r="C38" s="2847" t="s">
        <v>2470</v>
      </c>
      <c r="D38" s="2848"/>
      <c r="E38" s="2849">
        <v>0.2</v>
      </c>
      <c r="F38" s="2846" t="s">
        <v>2471</v>
      </c>
      <c r="G38" s="2846"/>
    </row>
    <row r="39" spans="1:7" ht="19.5" customHeight="1">
      <c r="A39" s="4035"/>
      <c r="B39" s="4029" t="s">
        <v>2632</v>
      </c>
      <c r="C39" s="2847" t="s">
        <v>2472</v>
      </c>
      <c r="D39" s="2848"/>
      <c r="E39" s="2849">
        <v>0.6</v>
      </c>
      <c r="F39" s="2846" t="s">
        <v>2473</v>
      </c>
      <c r="G39" s="2846"/>
    </row>
    <row r="40" spans="1:7" ht="19.5" customHeight="1">
      <c r="A40" s="4035"/>
      <c r="B40" s="4031"/>
      <c r="C40" s="2847" t="s">
        <v>2474</v>
      </c>
      <c r="D40" s="2848"/>
      <c r="E40" s="2849">
        <v>0.6</v>
      </c>
      <c r="F40" s="2846" t="s">
        <v>2475</v>
      </c>
      <c r="G40" s="2846"/>
    </row>
    <row r="41" spans="1:7" ht="19.5" customHeight="1" thickBot="1">
      <c r="A41" s="4036"/>
      <c r="B41" s="4038"/>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4039" t="s">
        <v>2610</v>
      </c>
      <c r="B43" s="4037" t="s">
        <v>2634</v>
      </c>
      <c r="C43" s="2843" t="s">
        <v>2479</v>
      </c>
      <c r="D43" s="2844"/>
      <c r="E43" s="2845">
        <v>1</v>
      </c>
      <c r="F43" s="2846" t="s">
        <v>2480</v>
      </c>
      <c r="G43" s="2846"/>
    </row>
    <row r="44" spans="1:7" ht="19.5" customHeight="1">
      <c r="A44" s="4040"/>
      <c r="B44" s="4031"/>
      <c r="C44" s="2847" t="s">
        <v>2481</v>
      </c>
      <c r="D44" s="2848"/>
      <c r="E44" s="2849">
        <v>1</v>
      </c>
      <c r="F44" s="2846" t="s">
        <v>2482</v>
      </c>
      <c r="G44" s="2846"/>
    </row>
    <row r="45" spans="1:7" ht="19.5" customHeight="1">
      <c r="A45" s="4040"/>
      <c r="B45" s="4030"/>
      <c r="C45" s="2847" t="s">
        <v>2483</v>
      </c>
      <c r="D45" s="2848"/>
      <c r="E45" s="2849">
        <v>1.5</v>
      </c>
      <c r="F45" s="2846" t="s">
        <v>2484</v>
      </c>
      <c r="G45" s="2846"/>
    </row>
    <row r="46" spans="1:7" ht="19.5" customHeight="1">
      <c r="A46" s="4040"/>
      <c r="B46" s="2858" t="s">
        <v>2635</v>
      </c>
      <c r="C46" s="2847" t="s">
        <v>2636</v>
      </c>
      <c r="D46" s="2848"/>
      <c r="E46" s="2849">
        <v>2</v>
      </c>
      <c r="F46" s="2846" t="s">
        <v>2485</v>
      </c>
      <c r="G46" s="2846"/>
    </row>
    <row r="47" spans="1:7" ht="19.5" customHeight="1">
      <c r="A47" s="4040"/>
      <c r="B47" s="4029" t="s">
        <v>2637</v>
      </c>
      <c r="C47" s="2847" t="s">
        <v>2486</v>
      </c>
      <c r="D47" s="2848"/>
      <c r="E47" s="2849">
        <v>1</v>
      </c>
      <c r="F47" s="2846" t="s">
        <v>2487</v>
      </c>
      <c r="G47" s="2846"/>
    </row>
    <row r="48" spans="1:7" ht="19.5" customHeight="1">
      <c r="A48" s="4040"/>
      <c r="B48" s="4031"/>
      <c r="C48" s="2847" t="s">
        <v>2488</v>
      </c>
      <c r="D48" s="2848"/>
      <c r="E48" s="2849">
        <v>1</v>
      </c>
      <c r="F48" s="2846" t="s">
        <v>2489</v>
      </c>
      <c r="G48" s="2846"/>
    </row>
    <row r="49" spans="1:7" ht="19.5" customHeight="1">
      <c r="A49" s="4040"/>
      <c r="B49" s="4031"/>
      <c r="C49" s="2847" t="s">
        <v>2490</v>
      </c>
      <c r="D49" s="2848"/>
      <c r="E49" s="2849">
        <v>1</v>
      </c>
      <c r="F49" s="2846" t="s">
        <v>2491</v>
      </c>
      <c r="G49" s="2846"/>
    </row>
    <row r="50" spans="1:7" ht="19.5" customHeight="1">
      <c r="A50" s="4040"/>
      <c r="B50" s="4031"/>
      <c r="C50" s="2847" t="s">
        <v>2492</v>
      </c>
      <c r="D50" s="2848"/>
      <c r="E50" s="2849">
        <v>1</v>
      </c>
      <c r="F50" s="2846" t="s">
        <v>2493</v>
      </c>
      <c r="G50" s="2846"/>
    </row>
    <row r="51" spans="1:7" ht="19.5" customHeight="1">
      <c r="A51" s="4040"/>
      <c r="B51" s="4031"/>
      <c r="C51" s="2847" t="s">
        <v>2494</v>
      </c>
      <c r="D51" s="2848"/>
      <c r="E51" s="2849">
        <v>1</v>
      </c>
      <c r="F51" s="2846" t="s">
        <v>2495</v>
      </c>
      <c r="G51" s="2846"/>
    </row>
    <row r="52" spans="1:7" ht="19.5" customHeight="1">
      <c r="A52" s="4040"/>
      <c r="B52" s="4031"/>
      <c r="C52" s="2847" t="s">
        <v>2496</v>
      </c>
      <c r="D52" s="2848"/>
      <c r="E52" s="2849">
        <v>1</v>
      </c>
      <c r="F52" s="2846" t="s">
        <v>2497</v>
      </c>
      <c r="G52" s="2846"/>
    </row>
    <row r="53" spans="1:7" ht="19.5" customHeight="1" thickBot="1">
      <c r="A53" s="4041"/>
      <c r="B53" s="4038"/>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4029" t="s">
        <v>2651</v>
      </c>
      <c r="C75" s="2832" t="s">
        <v>2652</v>
      </c>
      <c r="D75" s="2832" t="s">
        <v>2653</v>
      </c>
      <c r="E75" s="2858">
        <v>0.2</v>
      </c>
      <c r="F75" s="2858">
        <v>25</v>
      </c>
    </row>
    <row r="76" spans="1:7" ht="24">
      <c r="A76" s="2858">
        <v>2</v>
      </c>
      <c r="B76" s="4031"/>
      <c r="C76" s="2832" t="s">
        <v>2654</v>
      </c>
      <c r="D76" s="2832" t="s">
        <v>2655</v>
      </c>
      <c r="E76" s="2858">
        <v>0.2</v>
      </c>
      <c r="F76" s="2858">
        <v>25</v>
      </c>
    </row>
    <row r="77" spans="1:7" ht="24">
      <c r="A77" s="2858">
        <v>3</v>
      </c>
      <c r="B77" s="4031"/>
      <c r="C77" s="2832" t="s">
        <v>2656</v>
      </c>
      <c r="D77" s="2832" t="s">
        <v>2657</v>
      </c>
      <c r="E77" s="2858">
        <v>0.2</v>
      </c>
      <c r="F77" s="2858">
        <v>25</v>
      </c>
    </row>
    <row r="78" spans="1:7" ht="13.5">
      <c r="A78" s="2858">
        <v>4</v>
      </c>
      <c r="B78" s="4031"/>
      <c r="C78" s="2832" t="s">
        <v>2658</v>
      </c>
      <c r="D78" s="2832" t="s">
        <v>2659</v>
      </c>
      <c r="E78" s="2858">
        <v>0.15</v>
      </c>
      <c r="F78" s="2858">
        <v>20</v>
      </c>
    </row>
    <row r="79" spans="1:7" ht="24">
      <c r="A79" s="2858">
        <v>5</v>
      </c>
      <c r="B79" s="4031"/>
      <c r="C79" s="2832" t="s">
        <v>2660</v>
      </c>
      <c r="D79" s="2832" t="s">
        <v>2661</v>
      </c>
      <c r="E79" s="2858">
        <v>0.15</v>
      </c>
      <c r="F79" s="2858">
        <v>20</v>
      </c>
    </row>
    <row r="80" spans="1:7" ht="24">
      <c r="A80" s="2858">
        <v>6</v>
      </c>
      <c r="B80" s="4031"/>
      <c r="C80" s="2832" t="s">
        <v>2662</v>
      </c>
      <c r="D80" s="2832" t="s">
        <v>2663</v>
      </c>
      <c r="E80" s="2858">
        <v>0.15</v>
      </c>
      <c r="F80" s="2858">
        <v>20</v>
      </c>
    </row>
    <row r="81" spans="1:6" ht="24">
      <c r="A81" s="2858">
        <v>7</v>
      </c>
      <c r="B81" s="4031"/>
      <c r="C81" s="2832" t="s">
        <v>2664</v>
      </c>
      <c r="D81" s="2832" t="s">
        <v>2665</v>
      </c>
      <c r="E81" s="2858">
        <v>0.15</v>
      </c>
      <c r="F81" s="2858">
        <v>20</v>
      </c>
    </row>
    <row r="82" spans="1:6" ht="24">
      <c r="A82" s="2858">
        <v>8</v>
      </c>
      <c r="B82" s="4031"/>
      <c r="C82" s="2832" t="s">
        <v>2666</v>
      </c>
      <c r="D82" s="2832" t="s">
        <v>2667</v>
      </c>
      <c r="E82" s="2858">
        <v>0.1</v>
      </c>
      <c r="F82" s="2858">
        <v>15</v>
      </c>
    </row>
    <row r="83" spans="1:6" ht="24">
      <c r="A83" s="2858">
        <v>9</v>
      </c>
      <c r="B83" s="4031"/>
      <c r="C83" s="2832" t="s">
        <v>2668</v>
      </c>
      <c r="D83" s="2832" t="s">
        <v>2669</v>
      </c>
      <c r="E83" s="2858">
        <v>0.1</v>
      </c>
      <c r="F83" s="2858">
        <v>15</v>
      </c>
    </row>
    <row r="84" spans="1:6" ht="24">
      <c r="A84" s="2858">
        <v>10</v>
      </c>
      <c r="B84" s="4031"/>
      <c r="C84" s="2832" t="s">
        <v>2670</v>
      </c>
      <c r="D84" s="2832" t="s">
        <v>2671</v>
      </c>
      <c r="E84" s="2858">
        <v>0.1</v>
      </c>
      <c r="F84" s="2858">
        <v>15</v>
      </c>
    </row>
    <row r="85" spans="1:6" ht="24">
      <c r="A85" s="2858">
        <v>11</v>
      </c>
      <c r="B85" s="4031"/>
      <c r="C85" s="2832" t="s">
        <v>2672</v>
      </c>
      <c r="D85" s="2832" t="s">
        <v>2673</v>
      </c>
      <c r="E85" s="2858">
        <v>0.1</v>
      </c>
      <c r="F85" s="2858">
        <v>15</v>
      </c>
    </row>
    <row r="86" spans="1:6" ht="24">
      <c r="A86" s="2858">
        <v>12</v>
      </c>
      <c r="B86" s="4031"/>
      <c r="C86" s="2832" t="s">
        <v>2674</v>
      </c>
      <c r="D86" s="2832" t="s">
        <v>2675</v>
      </c>
      <c r="E86" s="2858">
        <v>0.1</v>
      </c>
      <c r="F86" s="2858">
        <v>15</v>
      </c>
    </row>
    <row r="87" spans="1:6" ht="13.5">
      <c r="A87" s="2858">
        <v>13</v>
      </c>
      <c r="B87" s="4031"/>
      <c r="C87" s="2832" t="s">
        <v>2676</v>
      </c>
      <c r="D87" s="2832" t="s">
        <v>2677</v>
      </c>
      <c r="E87" s="2858">
        <v>0.1</v>
      </c>
      <c r="F87" s="2858">
        <v>15</v>
      </c>
    </row>
    <row r="88" spans="1:6" ht="13.5">
      <c r="A88" s="2858">
        <v>14</v>
      </c>
      <c r="B88" s="4031"/>
      <c r="C88" s="2832" t="s">
        <v>2678</v>
      </c>
      <c r="D88" s="2832" t="s">
        <v>2679</v>
      </c>
      <c r="E88" s="2858">
        <v>0.1</v>
      </c>
      <c r="F88" s="2858">
        <v>15</v>
      </c>
    </row>
    <row r="89" spans="1:6" ht="13.5">
      <c r="A89" s="2858">
        <v>15</v>
      </c>
      <c r="B89" s="4031"/>
      <c r="C89" s="2832" t="s">
        <v>2680</v>
      </c>
      <c r="D89" s="2832" t="s">
        <v>2681</v>
      </c>
      <c r="E89" s="2858">
        <v>0.1</v>
      </c>
      <c r="F89" s="2858">
        <v>15</v>
      </c>
    </row>
    <row r="90" spans="1:6" ht="24">
      <c r="A90" s="2858">
        <v>16</v>
      </c>
      <c r="B90" s="4031"/>
      <c r="C90" s="2832" t="s">
        <v>2682</v>
      </c>
      <c r="D90" s="2832" t="s">
        <v>2683</v>
      </c>
      <c r="E90" s="2858">
        <v>0.1</v>
      </c>
      <c r="F90" s="2858">
        <v>15</v>
      </c>
    </row>
    <row r="91" spans="1:6" ht="24">
      <c r="A91" s="2858">
        <v>17</v>
      </c>
      <c r="B91" s="4030"/>
      <c r="C91" s="2832" t="s">
        <v>2684</v>
      </c>
      <c r="D91" s="2832" t="s">
        <v>2685</v>
      </c>
      <c r="E91" s="2858">
        <v>0.1</v>
      </c>
      <c r="F91" s="2858">
        <v>15</v>
      </c>
    </row>
    <row r="92" spans="1:6" ht="13.5">
      <c r="A92" s="2858">
        <v>18</v>
      </c>
      <c r="B92" s="4029" t="s">
        <v>2686</v>
      </c>
      <c r="C92" s="2832" t="s">
        <v>2687</v>
      </c>
      <c r="D92" s="2832" t="s">
        <v>2688</v>
      </c>
      <c r="E92" s="2858">
        <v>0.2</v>
      </c>
      <c r="F92" s="2858">
        <v>25</v>
      </c>
    </row>
    <row r="93" spans="1:6" ht="24">
      <c r="A93" s="2858">
        <v>19</v>
      </c>
      <c r="B93" s="4031"/>
      <c r="C93" s="2832" t="s">
        <v>2689</v>
      </c>
      <c r="D93" s="2832" t="s">
        <v>2690</v>
      </c>
      <c r="E93" s="2858">
        <v>0.2</v>
      </c>
      <c r="F93" s="2858">
        <v>25</v>
      </c>
    </row>
    <row r="94" spans="1:6" ht="13.5">
      <c r="A94" s="2858">
        <v>20</v>
      </c>
      <c r="B94" s="4031"/>
      <c r="C94" s="2832" t="s">
        <v>2691</v>
      </c>
      <c r="D94" s="2832" t="s">
        <v>2692</v>
      </c>
      <c r="E94" s="2858">
        <v>0.15</v>
      </c>
      <c r="F94" s="2858">
        <v>20</v>
      </c>
    </row>
    <row r="95" spans="1:6" ht="13.5">
      <c r="A95" s="2858">
        <v>21</v>
      </c>
      <c r="B95" s="4031"/>
      <c r="C95" s="2832" t="s">
        <v>2693</v>
      </c>
      <c r="D95" s="2832" t="s">
        <v>2694</v>
      </c>
      <c r="E95" s="2858">
        <v>0.15</v>
      </c>
      <c r="F95" s="2858">
        <v>20</v>
      </c>
    </row>
    <row r="96" spans="1:6" ht="13.5">
      <c r="A96" s="2858">
        <v>22</v>
      </c>
      <c r="B96" s="4031"/>
      <c r="C96" s="2832" t="s">
        <v>2695</v>
      </c>
      <c r="D96" s="2832" t="s">
        <v>2696</v>
      </c>
      <c r="E96" s="2858">
        <v>0.15</v>
      </c>
      <c r="F96" s="2858">
        <v>20</v>
      </c>
    </row>
    <row r="97" spans="1:6" ht="36">
      <c r="A97" s="2858">
        <v>23</v>
      </c>
      <c r="B97" s="4031"/>
      <c r="C97" s="2832" t="s">
        <v>2697</v>
      </c>
      <c r="D97" s="2832" t="s">
        <v>2698</v>
      </c>
      <c r="E97" s="2858">
        <v>0.15</v>
      </c>
      <c r="F97" s="2858">
        <v>20</v>
      </c>
    </row>
    <row r="98" spans="1:6" ht="13.5">
      <c r="A98" s="2858">
        <v>24</v>
      </c>
      <c r="B98" s="4031"/>
      <c r="C98" s="2832" t="s">
        <v>2699</v>
      </c>
      <c r="D98" s="2832" t="s">
        <v>2700</v>
      </c>
      <c r="E98" s="2858">
        <v>0.1</v>
      </c>
      <c r="F98" s="2858">
        <v>15</v>
      </c>
    </row>
    <row r="99" spans="1:6" ht="13.5">
      <c r="A99" s="2858">
        <v>25</v>
      </c>
      <c r="B99" s="4031"/>
      <c r="C99" s="2832" t="s">
        <v>2701</v>
      </c>
      <c r="D99" s="2832" t="s">
        <v>2702</v>
      </c>
      <c r="E99" s="2858">
        <v>0.1</v>
      </c>
      <c r="F99" s="2858">
        <v>15</v>
      </c>
    </row>
    <row r="100" spans="1:6" ht="24">
      <c r="A100" s="2858">
        <v>26</v>
      </c>
      <c r="B100" s="4031"/>
      <c r="C100" s="2832" t="s">
        <v>2703</v>
      </c>
      <c r="D100" s="2832" t="s">
        <v>2704</v>
      </c>
      <c r="E100" s="2858">
        <v>0.1</v>
      </c>
      <c r="F100" s="2858">
        <v>15</v>
      </c>
    </row>
    <row r="101" spans="1:6" ht="24">
      <c r="A101" s="2858">
        <v>27</v>
      </c>
      <c r="B101" s="4031"/>
      <c r="C101" s="2832" t="s">
        <v>2705</v>
      </c>
      <c r="D101" s="2832" t="s">
        <v>2706</v>
      </c>
      <c r="E101" s="2858">
        <v>0.1</v>
      </c>
      <c r="F101" s="2858">
        <v>15</v>
      </c>
    </row>
    <row r="102" spans="1:6" ht="13.5">
      <c r="A102" s="2858">
        <v>28</v>
      </c>
      <c r="B102" s="4031"/>
      <c r="C102" s="2832" t="s">
        <v>2707</v>
      </c>
      <c r="D102" s="2832" t="s">
        <v>2708</v>
      </c>
      <c r="E102" s="2858">
        <v>0.1</v>
      </c>
      <c r="F102" s="2858">
        <v>15</v>
      </c>
    </row>
    <row r="103" spans="1:6" ht="13.5">
      <c r="A103" s="2858">
        <v>29</v>
      </c>
      <c r="B103" s="4031"/>
      <c r="C103" s="2832" t="s">
        <v>2709</v>
      </c>
      <c r="D103" s="2832" t="s">
        <v>2710</v>
      </c>
      <c r="E103" s="2858">
        <v>0.1</v>
      </c>
      <c r="F103" s="2858">
        <v>15</v>
      </c>
    </row>
    <row r="104" spans="1:6" ht="13.5">
      <c r="A104" s="2858">
        <v>30</v>
      </c>
      <c r="B104" s="4031"/>
      <c r="C104" s="2832" t="s">
        <v>2711</v>
      </c>
      <c r="D104" s="2832" t="s">
        <v>2712</v>
      </c>
      <c r="E104" s="2858">
        <v>0.1</v>
      </c>
      <c r="F104" s="2858">
        <v>15</v>
      </c>
    </row>
    <row r="105" spans="1:6" ht="24">
      <c r="A105" s="2858">
        <v>31</v>
      </c>
      <c r="B105" s="4031"/>
      <c r="C105" s="2832" t="s">
        <v>2713</v>
      </c>
      <c r="D105" s="2832" t="s">
        <v>2714</v>
      </c>
      <c r="E105" s="2858">
        <v>0.1</v>
      </c>
      <c r="F105" s="2858">
        <v>15</v>
      </c>
    </row>
    <row r="106" spans="1:6" ht="24">
      <c r="A106" s="2858">
        <v>32</v>
      </c>
      <c r="B106" s="4031"/>
      <c r="C106" s="2832" t="s">
        <v>2715</v>
      </c>
      <c r="D106" s="2832" t="s">
        <v>2716</v>
      </c>
      <c r="E106" s="2858">
        <v>0.1</v>
      </c>
      <c r="F106" s="2858">
        <v>15</v>
      </c>
    </row>
    <row r="107" spans="1:6" ht="24">
      <c r="A107" s="2858">
        <v>33</v>
      </c>
      <c r="B107" s="4031"/>
      <c r="C107" s="2832" t="s">
        <v>2717</v>
      </c>
      <c r="D107" s="2832" t="s">
        <v>2718</v>
      </c>
      <c r="E107" s="2858">
        <v>0.1</v>
      </c>
      <c r="F107" s="2858">
        <v>15</v>
      </c>
    </row>
    <row r="108" spans="1:6" ht="24">
      <c r="A108" s="2858">
        <v>34</v>
      </c>
      <c r="B108" s="4030"/>
      <c r="C108" s="2832" t="s">
        <v>2719</v>
      </c>
      <c r="D108" s="2832" t="s">
        <v>2720</v>
      </c>
      <c r="E108" s="2858">
        <v>0.1</v>
      </c>
      <c r="F108" s="2858">
        <v>15</v>
      </c>
    </row>
    <row r="109" spans="1:6" ht="24">
      <c r="A109" s="2858">
        <v>35</v>
      </c>
      <c r="B109" s="4029" t="s">
        <v>2721</v>
      </c>
      <c r="C109" s="2858" t="s">
        <v>2722</v>
      </c>
      <c r="D109" s="2832" t="s">
        <v>2723</v>
      </c>
      <c r="E109" s="2858">
        <v>0.15</v>
      </c>
      <c r="F109" s="2858">
        <v>20</v>
      </c>
    </row>
    <row r="110" spans="1:6" ht="13.5">
      <c r="A110" s="2858">
        <v>36</v>
      </c>
      <c r="B110" s="4031"/>
      <c r="C110" s="2858" t="s">
        <v>2724</v>
      </c>
      <c r="D110" s="2832" t="s">
        <v>2725</v>
      </c>
      <c r="E110" s="2858">
        <v>0.15</v>
      </c>
      <c r="F110" s="2858">
        <v>20</v>
      </c>
    </row>
    <row r="111" spans="1:6" ht="13.5">
      <c r="A111" s="2858">
        <v>37</v>
      </c>
      <c r="B111" s="4031"/>
      <c r="C111" s="2858" t="s">
        <v>2726</v>
      </c>
      <c r="D111" s="2832" t="s">
        <v>2727</v>
      </c>
      <c r="E111" s="2858">
        <v>0.15</v>
      </c>
      <c r="F111" s="2858">
        <v>20</v>
      </c>
    </row>
    <row r="112" spans="1:6" ht="13.5">
      <c r="A112" s="2858">
        <v>38</v>
      </c>
      <c r="B112" s="4031"/>
      <c r="C112" s="2858" t="s">
        <v>2728</v>
      </c>
      <c r="D112" s="2832" t="s">
        <v>2729</v>
      </c>
      <c r="E112" s="2858">
        <v>0.1</v>
      </c>
      <c r="F112" s="2858">
        <v>15</v>
      </c>
    </row>
    <row r="113" spans="1:6" ht="24">
      <c r="A113" s="2858">
        <v>39</v>
      </c>
      <c r="B113" s="4031"/>
      <c r="C113" s="2858" t="s">
        <v>2730</v>
      </c>
      <c r="D113" s="2832" t="s">
        <v>2731</v>
      </c>
      <c r="E113" s="2858">
        <v>0.1</v>
      </c>
      <c r="F113" s="2858">
        <v>15</v>
      </c>
    </row>
    <row r="114" spans="1:6" ht="24">
      <c r="A114" s="2858">
        <v>40</v>
      </c>
      <c r="B114" s="4030"/>
      <c r="C114" s="2858" t="s">
        <v>2732</v>
      </c>
      <c r="D114" s="2832" t="s">
        <v>2733</v>
      </c>
      <c r="E114" s="2858">
        <v>0.1</v>
      </c>
      <c r="F114" s="2858">
        <v>15</v>
      </c>
    </row>
    <row r="115" spans="1:6" ht="13.5">
      <c r="A115" s="2858">
        <v>41</v>
      </c>
      <c r="B115" s="4028" t="s">
        <v>2734</v>
      </c>
      <c r="C115" s="2858" t="s">
        <v>2735</v>
      </c>
      <c r="D115" s="2832" t="s">
        <v>2736</v>
      </c>
      <c r="E115" s="2858">
        <v>0.1</v>
      </c>
      <c r="F115" s="2858">
        <v>15</v>
      </c>
    </row>
    <row r="116" spans="1:6" ht="13.5">
      <c r="A116" s="2858">
        <v>42</v>
      </c>
      <c r="B116" s="4028"/>
      <c r="C116" s="2858" t="s">
        <v>2737</v>
      </c>
      <c r="D116" s="2832" t="s">
        <v>2738</v>
      </c>
      <c r="E116" s="2858">
        <v>0.1</v>
      </c>
      <c r="F116" s="2858">
        <v>15</v>
      </c>
    </row>
    <row r="117" spans="1:6" ht="24">
      <c r="A117" s="2858">
        <v>43</v>
      </c>
      <c r="B117" s="4028"/>
      <c r="C117" s="2858" t="s">
        <v>2739</v>
      </c>
      <c r="D117" s="2832" t="s">
        <v>2740</v>
      </c>
      <c r="E117" s="2858">
        <v>0.1</v>
      </c>
      <c r="F117" s="2858">
        <v>15</v>
      </c>
    </row>
    <row r="118" spans="1:6" ht="13.5">
      <c r="A118" s="2858">
        <v>44</v>
      </c>
      <c r="B118" s="4029" t="s">
        <v>2741</v>
      </c>
      <c r="C118" s="2858" t="s">
        <v>2742</v>
      </c>
      <c r="D118" s="2832" t="s">
        <v>2743</v>
      </c>
      <c r="E118" s="2858">
        <v>0.1</v>
      </c>
      <c r="F118" s="2858">
        <v>15</v>
      </c>
    </row>
    <row r="119" spans="1:6" ht="24">
      <c r="A119" s="2858">
        <v>45</v>
      </c>
      <c r="B119" s="4030"/>
      <c r="C119" s="2832" t="s">
        <v>2744</v>
      </c>
      <c r="D119" s="2832" t="s">
        <v>2745</v>
      </c>
      <c r="E119" s="2858">
        <v>0.1</v>
      </c>
      <c r="F119" s="2858">
        <v>15</v>
      </c>
    </row>
    <row r="120" spans="1:6" ht="24">
      <c r="A120" s="2858">
        <v>46</v>
      </c>
      <c r="B120" s="4029" t="s">
        <v>2746</v>
      </c>
      <c r="C120" s="2858" t="s">
        <v>2747</v>
      </c>
      <c r="D120" s="2832" t="s">
        <v>2748</v>
      </c>
      <c r="E120" s="2858">
        <v>0.1</v>
      </c>
      <c r="F120" s="2858">
        <v>15</v>
      </c>
    </row>
    <row r="121" spans="1:6" ht="24">
      <c r="A121" s="2858">
        <v>47</v>
      </c>
      <c r="B121" s="4030"/>
      <c r="C121" s="2858" t="s">
        <v>2749</v>
      </c>
      <c r="D121" s="2832" t="s">
        <v>2750</v>
      </c>
      <c r="E121" s="2858">
        <v>0.1</v>
      </c>
      <c r="F121" s="2858">
        <v>15</v>
      </c>
    </row>
    <row r="122" spans="1:6" ht="13.5">
      <c r="A122" s="2858">
        <v>48</v>
      </c>
      <c r="B122" s="4029" t="s">
        <v>2751</v>
      </c>
      <c r="C122" s="2858" t="s">
        <v>2752</v>
      </c>
      <c r="D122" s="2832" t="s">
        <v>2753</v>
      </c>
      <c r="E122" s="2858">
        <v>0.1</v>
      </c>
      <c r="F122" s="2858">
        <v>15</v>
      </c>
    </row>
    <row r="123" spans="1:6" ht="13.5">
      <c r="A123" s="2858">
        <v>49</v>
      </c>
      <c r="B123" s="4030"/>
      <c r="C123" s="2858" t="s">
        <v>2754</v>
      </c>
      <c r="D123" s="2832" t="s">
        <v>2755</v>
      </c>
      <c r="E123" s="2858">
        <v>0.1</v>
      </c>
      <c r="F123" s="2858">
        <v>15</v>
      </c>
    </row>
    <row r="124" spans="1:6" ht="24">
      <c r="A124" s="2858">
        <v>50</v>
      </c>
      <c r="B124" s="4028" t="s">
        <v>2756</v>
      </c>
      <c r="C124" s="2858" t="s">
        <v>2757</v>
      </c>
      <c r="D124" s="2832" t="s">
        <v>2758</v>
      </c>
      <c r="E124" s="2858">
        <v>0.1</v>
      </c>
      <c r="F124" s="2858">
        <v>15</v>
      </c>
    </row>
    <row r="125" spans="1:6" ht="24">
      <c r="A125" s="2858">
        <v>51</v>
      </c>
      <c r="B125" s="4028"/>
      <c r="C125" s="2858" t="s">
        <v>2759</v>
      </c>
      <c r="D125" s="2832" t="s">
        <v>2760</v>
      </c>
      <c r="E125" s="2858">
        <v>0.1</v>
      </c>
      <c r="F125" s="2858">
        <v>15</v>
      </c>
    </row>
    <row r="126" spans="1:6" ht="24">
      <c r="A126" s="2858">
        <v>52</v>
      </c>
      <c r="B126" s="4028" t="s">
        <v>2761</v>
      </c>
      <c r="C126" s="2858" t="s">
        <v>2762</v>
      </c>
      <c r="D126" s="2832" t="s">
        <v>2763</v>
      </c>
      <c r="E126" s="2858">
        <v>0.1</v>
      </c>
      <c r="F126" s="2858">
        <v>15</v>
      </c>
    </row>
    <row r="127" spans="1:6" ht="24">
      <c r="A127" s="2858">
        <v>53</v>
      </c>
      <c r="B127" s="4028"/>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4028" t="s">
        <v>2769</v>
      </c>
      <c r="C129" s="2858" t="s">
        <v>2770</v>
      </c>
      <c r="D129" s="2832" t="s">
        <v>2771</v>
      </c>
      <c r="E129" s="2858">
        <v>0.1</v>
      </c>
      <c r="F129" s="2858">
        <v>15</v>
      </c>
    </row>
    <row r="130" spans="1:6" ht="13.5">
      <c r="A130" s="2858">
        <v>56</v>
      </c>
      <c r="B130" s="4028"/>
      <c r="C130" s="2858" t="s">
        <v>2772</v>
      </c>
      <c r="D130" s="2832" t="s">
        <v>2773</v>
      </c>
      <c r="E130" s="2858">
        <v>0.1</v>
      </c>
      <c r="F130" s="2858">
        <v>15</v>
      </c>
    </row>
    <row r="131" spans="1:6" ht="24">
      <c r="A131" s="2858">
        <v>57</v>
      </c>
      <c r="B131" s="4028"/>
      <c r="C131" s="2858" t="s">
        <v>2774</v>
      </c>
      <c r="D131" s="2832" t="s">
        <v>2775</v>
      </c>
      <c r="E131" s="2858">
        <v>0.1</v>
      </c>
      <c r="F131" s="2858">
        <v>15</v>
      </c>
    </row>
    <row r="132" spans="1:6" ht="24">
      <c r="A132" s="2858">
        <v>58</v>
      </c>
      <c r="B132" s="4028" t="s">
        <v>2776</v>
      </c>
      <c r="C132" s="2858" t="s">
        <v>2777</v>
      </c>
      <c r="D132" s="2832" t="s">
        <v>2778</v>
      </c>
      <c r="E132" s="2858">
        <v>0.1</v>
      </c>
      <c r="F132" s="2858">
        <v>15</v>
      </c>
    </row>
    <row r="133" spans="1:6" ht="13.5">
      <c r="A133" s="2858">
        <v>59</v>
      </c>
      <c r="B133" s="4028"/>
      <c r="C133" s="2858" t="s">
        <v>2779</v>
      </c>
      <c r="D133" s="2832" t="s">
        <v>2780</v>
      </c>
      <c r="E133" s="2858">
        <v>0.1</v>
      </c>
      <c r="F133" s="2858">
        <v>15</v>
      </c>
    </row>
    <row r="134" spans="1:6" ht="13.5">
      <c r="A134" s="2858">
        <v>60</v>
      </c>
      <c r="B134" s="4029" t="s">
        <v>2781</v>
      </c>
      <c r="C134" s="2858" t="s">
        <v>2782</v>
      </c>
      <c r="D134" s="2832" t="s">
        <v>2783</v>
      </c>
      <c r="E134" s="2858">
        <v>0.1</v>
      </c>
      <c r="F134" s="2858">
        <v>15</v>
      </c>
    </row>
    <row r="135" spans="1:6" ht="13.5">
      <c r="A135" s="2858">
        <v>61</v>
      </c>
      <c r="B135" s="4030"/>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4028" t="s">
        <v>2789</v>
      </c>
      <c r="C137" s="2858" t="s">
        <v>2790</v>
      </c>
      <c r="D137" s="2832" t="s">
        <v>2791</v>
      </c>
      <c r="E137" s="2858">
        <v>0.1</v>
      </c>
      <c r="F137" s="2858">
        <v>15</v>
      </c>
    </row>
    <row r="138" spans="1:6" ht="13.5">
      <c r="A138" s="2858">
        <v>64</v>
      </c>
      <c r="B138" s="4028"/>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0.9274</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0.84419999999999995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38990</v>
      </c>
      <c r="C2" s="2" t="s">
        <v>106</v>
      </c>
      <c r="D2" s="191"/>
      <c r="E2" s="191"/>
      <c r="F2" s="191"/>
      <c r="G2" s="191"/>
    </row>
    <row r="3" spans="1:7" s="192" customFormat="1" ht="18" customHeight="1" thickBot="1">
      <c r="A3" s="195" t="s">
        <v>58</v>
      </c>
      <c r="B3" s="196">
        <f ca="1">ROUND(B2*10000/'数据-汇总表'!E3,0)</f>
        <v>8106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519</v>
      </c>
      <c r="D9" s="795">
        <f>'数据-汇总表'!E5</f>
        <v>34587.24</v>
      </c>
      <c r="E9" s="217">
        <f>'数据-取费表'!B27</f>
        <v>150</v>
      </c>
      <c r="F9" s="213"/>
      <c r="G9" s="218"/>
    </row>
    <row r="10" spans="1:7" s="206" customFormat="1" ht="13.5" customHeight="1">
      <c r="A10" s="733" t="s">
        <v>356</v>
      </c>
      <c r="B10" s="216" t="s">
        <v>67</v>
      </c>
      <c r="C10" s="217">
        <f>ROUND(D10*E10/10000,0)</f>
        <v>257</v>
      </c>
      <c r="D10" s="795">
        <f>'数据-汇总表'!E6</f>
        <v>13510.46</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962</v>
      </c>
      <c r="D19" s="204">
        <f>'数据-汇总表'!E3</f>
        <v>48097.7</v>
      </c>
      <c r="E19" s="203">
        <f>'数据-取费表'!B31</f>
        <v>200</v>
      </c>
      <c r="F19" s="223"/>
      <c r="G19" s="1" t="s">
        <v>436</v>
      </c>
    </row>
    <row r="20" spans="1:7" s="206" customFormat="1" ht="13.5" customHeight="1">
      <c r="A20" s="731" t="s">
        <v>419</v>
      </c>
      <c r="B20" s="202" t="s">
        <v>77</v>
      </c>
      <c r="C20" s="224">
        <f>ROUND((C5+C19)*F20,0)</f>
        <v>216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1378</v>
      </c>
      <c r="D22" s="227">
        <f ca="1">C26</f>
        <v>8.9999999999999998E-4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61</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1743</v>
      </c>
      <c r="D27" s="227">
        <f>C29</f>
        <v>2.3999999999999998E-3</v>
      </c>
      <c r="E27" s="228" t="s">
        <v>99</v>
      </c>
      <c r="F27" s="238">
        <f>'数据-取费表'!Q16</f>
        <v>0.08</v>
      </c>
      <c r="G27" s="239" t="s">
        <v>431</v>
      </c>
    </row>
    <row r="28" spans="1:7" s="206" customFormat="1" ht="13.5" customHeight="1">
      <c r="A28" s="734" t="s">
        <v>349</v>
      </c>
      <c r="B28" s="240" t="s">
        <v>424</v>
      </c>
      <c r="C28" s="241">
        <f>ROUND((C5+C19+C20)*F27*'数据-取费表'!B21/'数据-取费表'!B20,0)</f>
        <v>1743</v>
      </c>
      <c r="D28" s="227"/>
      <c r="E28" s="228"/>
      <c r="F28" s="238"/>
      <c r="G28" s="239"/>
    </row>
    <row r="29" spans="1:7" s="206" customFormat="1" ht="13.5" customHeight="1">
      <c r="A29" s="734" t="s">
        <v>347</v>
      </c>
      <c r="B29" s="240" t="s">
        <v>425</v>
      </c>
      <c r="C29" s="230">
        <f>ROUND(C21*F27*'数据-取费表'!B21/'数据-取费表'!B20,4)</f>
        <v>2.3999999999999998E-3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27243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11392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9619</v>
      </c>
      <c r="D34" s="209"/>
      <c r="E34" s="212"/>
      <c r="F34" s="249">
        <f>IF('数据-取费表'!B24=0,1,'数据-取费表'!N16)</f>
        <v>1</v>
      </c>
      <c r="G34" s="211" t="s">
        <v>89</v>
      </c>
    </row>
    <row r="35" spans="1:7" ht="13.5" customHeight="1">
      <c r="A35" s="734" t="s">
        <v>351</v>
      </c>
      <c r="B35" s="207" t="s">
        <v>33</v>
      </c>
      <c r="C35" s="212">
        <f>ROUND(C34*F35,0)</f>
        <v>481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138</v>
      </c>
      <c r="D36" s="212"/>
      <c r="E36" s="212"/>
      <c r="F36" s="251">
        <f>'数据-取费表'!B34</f>
        <v>0.02</v>
      </c>
      <c r="G36" s="252" t="s">
        <v>35</v>
      </c>
    </row>
    <row r="37" spans="1:7" s="250" customFormat="1" ht="13.5" customHeight="1">
      <c r="A37" s="734" t="s">
        <v>353</v>
      </c>
      <c r="B37" s="207" t="s">
        <v>91</v>
      </c>
      <c r="C37" s="241">
        <f>ROUND(E37*D37*F34/10000,0)</f>
        <v>962</v>
      </c>
      <c r="D37" s="209">
        <f>'数据-汇总表'!E3</f>
        <v>48097.7</v>
      </c>
      <c r="E37" s="241">
        <f>'数据-取费表'!B35</f>
        <v>200</v>
      </c>
      <c r="F37" s="251"/>
      <c r="G37" s="253" t="s">
        <v>92</v>
      </c>
    </row>
    <row r="38" spans="1:7" ht="13.5" customHeight="1">
      <c r="A38" s="734" t="s">
        <v>354</v>
      </c>
      <c r="B38" s="207" t="s">
        <v>36</v>
      </c>
      <c r="C38" s="212">
        <f>ROUND(C34*F38,0)</f>
        <v>192</v>
      </c>
      <c r="D38" s="212"/>
      <c r="E38" s="212"/>
      <c r="F38" s="251">
        <f>'数据-取费表'!B36</f>
        <v>0.02</v>
      </c>
      <c r="G38" s="211" t="s">
        <v>90</v>
      </c>
    </row>
    <row r="39" spans="1:7" s="206" customFormat="1" ht="13.5" customHeight="1">
      <c r="A39" s="731" t="s">
        <v>338</v>
      </c>
      <c r="B39" s="202" t="s">
        <v>77</v>
      </c>
      <c r="C39" s="224">
        <f>ROUND(C33*F20,0)</f>
        <v>114</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361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357</v>
      </c>
      <c r="D42" s="230"/>
      <c r="E42" s="230"/>
      <c r="F42" s="231"/>
      <c r="G42" s="3808" t="s">
        <v>94</v>
      </c>
    </row>
    <row r="43" spans="1:7" ht="13.5" customHeight="1">
      <c r="A43" s="734" t="s">
        <v>347</v>
      </c>
      <c r="B43" s="207" t="s">
        <v>426</v>
      </c>
      <c r="C43" s="230">
        <f ca="1">ROUND(IF('数据-取费表'!B22&lt;=1,C39*F22*'数据-取费表'!B21/2,C39*(POWER((1+F22),'数据-取费表'!B21/2)-1)),0)</f>
        <v>4</v>
      </c>
      <c r="D43" s="230"/>
      <c r="E43" s="230"/>
      <c r="F43" s="231"/>
      <c r="G43" s="3809"/>
    </row>
    <row r="44" spans="1:7" ht="13.5" customHeight="1">
      <c r="A44" s="734" t="s">
        <v>348</v>
      </c>
      <c r="B44" s="207" t="s">
        <v>428</v>
      </c>
      <c r="C44" s="230">
        <f ca="1">ROUND(IF('数据-取费表'!B22&lt;=1,C40*F22*'数据-取费表'!B21/2,C40*(POWER((1+F22),'数据-取费表'!B21/2)-1)),4)</f>
        <v>8.9999999999999998E-4</v>
      </c>
      <c r="D44" s="230"/>
      <c r="E44" s="230"/>
      <c r="F44" s="231"/>
      <c r="G44" s="3810"/>
    </row>
    <row r="45" spans="1:7" s="206" customFormat="1" ht="13.5" customHeight="1">
      <c r="A45" s="731" t="s">
        <v>341</v>
      </c>
      <c r="B45" s="236" t="s">
        <v>85</v>
      </c>
      <c r="C45" s="237">
        <f>C46</f>
        <v>920</v>
      </c>
      <c r="D45" s="227">
        <f>C47</f>
        <v>2.3999999999999998E-3</v>
      </c>
      <c r="E45" s="228" t="s">
        <v>102</v>
      </c>
      <c r="F45" s="238"/>
      <c r="G45" s="239" t="s">
        <v>434</v>
      </c>
    </row>
    <row r="46" spans="1:7" s="206" customFormat="1" ht="13.5" customHeight="1">
      <c r="A46" s="734" t="s">
        <v>349</v>
      </c>
      <c r="B46" s="240" t="s">
        <v>427</v>
      </c>
      <c r="C46" s="241">
        <f>ROUND((C33+C39)*F27,0)</f>
        <v>920</v>
      </c>
      <c r="D46" s="255"/>
      <c r="E46" s="228"/>
      <c r="F46" s="238"/>
      <c r="G46" s="239"/>
    </row>
    <row r="47" spans="1:7" s="206" customFormat="1" ht="13.5" customHeight="1">
      <c r="A47" s="734" t="s">
        <v>347</v>
      </c>
      <c r="B47" s="240" t="s">
        <v>429</v>
      </c>
      <c r="C47" s="230">
        <f>ROUND(C40*F27,4)</f>
        <v>2.3999999999999998E-3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13985</v>
      </c>
      <c r="D49" s="224"/>
      <c r="E49" s="224"/>
      <c r="F49" s="256"/>
      <c r="G49" s="226" t="s">
        <v>435</v>
      </c>
    </row>
    <row r="50" spans="1:7" s="250" customFormat="1" ht="24">
      <c r="A50" s="731" t="s">
        <v>344</v>
      </c>
      <c r="B50" s="202" t="s">
        <v>97</v>
      </c>
      <c r="C50" s="224"/>
      <c r="D50" s="224"/>
      <c r="E50" s="224"/>
      <c r="F50" s="256">
        <f>IF('数据-取费表'!B24=0,'数据-取费表'!N16,1)</f>
        <v>0.84</v>
      </c>
      <c r="G50" s="239" t="s">
        <v>98</v>
      </c>
    </row>
    <row r="51" spans="1:7" ht="16.5" customHeight="1">
      <c r="A51" s="731" t="s">
        <v>345</v>
      </c>
      <c r="B51" s="202" t="s">
        <v>105</v>
      </c>
      <c r="C51" s="224">
        <f ca="1">ROUND(C49*F50,0)</f>
        <v>11747</v>
      </c>
      <c r="D51" s="224"/>
      <c r="E51" s="224"/>
      <c r="F51" s="256"/>
      <c r="G51" s="226" t="s">
        <v>37</v>
      </c>
    </row>
    <row r="52" spans="1:7" s="200" customFormat="1" ht="16.5" thickBot="1">
      <c r="A52" s="257" t="s">
        <v>38</v>
      </c>
      <c r="B52" s="258"/>
      <c r="C52" s="259">
        <f ca="1">C31+C51</f>
        <v>38990</v>
      </c>
      <c r="D52" s="258"/>
      <c r="E52" s="258"/>
      <c r="F52" s="258"/>
      <c r="G52" s="260"/>
    </row>
    <row r="55" spans="1:7" ht="15">
      <c r="B55" s="262" t="s">
        <v>39</v>
      </c>
      <c r="C55" s="263"/>
    </row>
    <row r="56" spans="1:7">
      <c r="B56" s="265" t="s">
        <v>40</v>
      </c>
      <c r="C56" s="266">
        <f ca="1">ROUND(C51/C52,3)</f>
        <v>0.30099999999999999</v>
      </c>
    </row>
    <row r="57" spans="1:7">
      <c r="B57" s="265" t="s">
        <v>41</v>
      </c>
      <c r="C57" s="267">
        <f ca="1">1-C56</f>
        <v>0.69900000000000007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4042" t="s">
        <v>3181</v>
      </c>
      <c r="B1" s="4042"/>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4043" t="s">
        <v>3232</v>
      </c>
      <c r="B1" s="4043"/>
      <c r="C1" s="4043"/>
      <c r="D1" s="4043"/>
      <c r="E1" s="4043"/>
      <c r="F1" s="4044"/>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45995</v>
      </c>
      <c r="B1" s="2930" t="s">
        <v>3375</v>
      </c>
      <c r="C1" s="2931"/>
      <c r="D1" s="2931"/>
      <c r="E1" s="2931"/>
      <c r="F1" s="2931"/>
      <c r="G1" s="2931"/>
      <c r="H1" s="2931"/>
      <c r="I1" s="2931"/>
      <c r="J1" s="2897"/>
      <c r="K1" s="2931" t="s">
        <v>454</v>
      </c>
      <c r="L1" s="2931"/>
      <c r="M1" s="2931"/>
      <c r="N1" s="2931"/>
      <c r="O1" s="2931"/>
      <c r="P1" s="2931"/>
      <c r="Q1" s="2897"/>
      <c r="R1" s="4045" t="s">
        <v>456</v>
      </c>
      <c r="S1" s="4046"/>
      <c r="T1" s="4046"/>
      <c r="U1" s="4046"/>
      <c r="V1" s="4046"/>
      <c r="W1" s="4046"/>
      <c r="X1" s="2897"/>
      <c r="Y1" s="4045" t="s">
        <v>457</v>
      </c>
      <c r="Z1" s="4046"/>
      <c r="AA1" s="4046"/>
      <c r="AB1" s="4046"/>
      <c r="AC1" s="4046"/>
      <c r="AD1" s="4046"/>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3400</v>
      </c>
      <c r="AG2" t="s">
        <v>673</v>
      </c>
      <c r="AH2" t="s">
        <v>21</v>
      </c>
      <c r="AI2" t="s">
        <v>3401</v>
      </c>
      <c r="AJ2" t="s">
        <v>3</v>
      </c>
      <c r="AK2" t="s">
        <v>3402</v>
      </c>
      <c r="AM2" t="s">
        <v>3400</v>
      </c>
      <c r="AN2" t="s">
        <v>673</v>
      </c>
      <c r="AO2" t="s">
        <v>21</v>
      </c>
      <c r="AP2" t="s">
        <v>3401</v>
      </c>
      <c r="AQ2" t="s">
        <v>3</v>
      </c>
      <c r="AR2" t="s">
        <v>3402</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3399</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3413</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3414</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3404</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3352</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3378</v>
      </c>
    </row>
    <row r="27" spans="1:44">
      <c r="I27" s="1405" t="s">
        <v>2825</v>
      </c>
    </row>
    <row r="29" spans="1:44" s="2009" customFormat="1" ht="12.75">
      <c r="B29" s="2930" t="s">
        <v>3376</v>
      </c>
      <c r="C29" s="2931"/>
      <c r="D29" s="2931"/>
      <c r="E29" s="2931"/>
      <c r="F29" s="2931"/>
      <c r="G29" s="2931"/>
      <c r="H29" s="2931"/>
      <c r="I29" s="2931"/>
      <c r="J29" s="2897"/>
      <c r="K29" s="2931" t="s">
        <v>2826</v>
      </c>
      <c r="L29" s="2931"/>
      <c r="M29" s="2931"/>
      <c r="N29" s="2931"/>
      <c r="O29" s="2931"/>
      <c r="P29" s="2931"/>
      <c r="Q29" s="2897"/>
      <c r="R29" s="4045" t="s">
        <v>2827</v>
      </c>
      <c r="S29" s="4046"/>
      <c r="T29" s="4046"/>
      <c r="U29" s="4046"/>
      <c r="V29" s="4046"/>
      <c r="W29" s="4046"/>
      <c r="X29" s="2897"/>
      <c r="Y29" s="4045" t="s">
        <v>2828</v>
      </c>
      <c r="Z29" s="4046"/>
      <c r="AA29" s="4046"/>
      <c r="AB29" s="4046"/>
      <c r="AC29" s="4046"/>
      <c r="AD29" s="4046"/>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3401</v>
      </c>
      <c r="AJ30"/>
      <c r="AK30" t="s">
        <v>3402</v>
      </c>
      <c r="AN30" t="s">
        <v>673</v>
      </c>
      <c r="AO30" t="s">
        <v>21</v>
      </c>
      <c r="AP30" t="s">
        <v>3401</v>
      </c>
      <c r="AQ30"/>
      <c r="AR30" t="s">
        <v>3402</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3399</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3415</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3414</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3403</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3404</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3352</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4050" t="s">
        <v>452</v>
      </c>
      <c r="C1" s="4050"/>
      <c r="D1" s="4050"/>
      <c r="E1" s="4050"/>
      <c r="F1" s="4050"/>
      <c r="G1" s="4046" t="s">
        <v>453</v>
      </c>
      <c r="H1" s="4046"/>
      <c r="I1" s="4046"/>
      <c r="J1" s="4046"/>
      <c r="K1" s="4046"/>
      <c r="L1" s="4046"/>
      <c r="N1" s="4046" t="s">
        <v>454</v>
      </c>
      <c r="O1" s="4046"/>
      <c r="P1" s="4046"/>
      <c r="Q1" s="4046"/>
      <c r="S1" s="4046" t="s">
        <v>455</v>
      </c>
      <c r="T1" s="4046"/>
      <c r="U1" s="4046"/>
      <c r="V1" s="4046"/>
      <c r="X1" s="4045" t="s">
        <v>456</v>
      </c>
      <c r="Y1" s="4046"/>
      <c r="Z1" s="4046"/>
      <c r="AA1" s="4046"/>
      <c r="AB1" s="4046"/>
      <c r="AD1" s="4045" t="s">
        <v>457</v>
      </c>
      <c r="AE1" s="4046"/>
      <c r="AF1" s="4046"/>
      <c r="AG1" s="4046"/>
      <c r="AH1" s="404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404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404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404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405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405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404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404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405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405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404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404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404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404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404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404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404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404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404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404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404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405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405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405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405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404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404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404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404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404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404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404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404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404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404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404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404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404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404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404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404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404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404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404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404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404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404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404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404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404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404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404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404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404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404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404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404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404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404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404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404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404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404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404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404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404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404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404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404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644" t="str">
        <f>IF(项目基本情况!B9="房地产市场价值","估价结果一览表","结果表-2")</f>
        <v>结果表-2</v>
      </c>
      <c r="B1" s="3644"/>
      <c r="C1" s="3644"/>
      <c r="D1" s="3644"/>
      <c r="E1" s="3644"/>
      <c r="F1" s="3644"/>
      <c r="G1" s="3644"/>
      <c r="H1" s="3644"/>
      <c r="I1" s="3644"/>
    </row>
    <row r="2" spans="1:9" ht="30" customHeight="1" thickTop="1">
      <c r="A2" s="3645" t="s">
        <v>928</v>
      </c>
      <c r="B2" s="3645" t="s">
        <v>929</v>
      </c>
      <c r="C2" s="3645" t="s">
        <v>930</v>
      </c>
      <c r="D2" s="3645" t="str">
        <f>结果表!D116</f>
        <v>出让国有建设用地使用权价值</v>
      </c>
      <c r="E2" s="3645"/>
      <c r="F2" s="3645" t="str">
        <f>结果表!F116</f>
        <v>在建建筑物价值</v>
      </c>
      <c r="G2" s="3645"/>
      <c r="H2" s="3645" t="str">
        <f>IF(项目基本情况!B9="房地产市场价值","房地产市场价值","房地产价值")</f>
        <v>房地产价值</v>
      </c>
      <c r="I2" s="3645"/>
    </row>
    <row r="3" spans="1:9" ht="15">
      <c r="A3" s="3640"/>
      <c r="B3" s="3640"/>
      <c r="C3" s="3640"/>
      <c r="D3" s="801" t="s">
        <v>925</v>
      </c>
      <c r="E3" s="801" t="s">
        <v>931</v>
      </c>
      <c r="F3" s="801" t="s">
        <v>925</v>
      </c>
      <c r="G3" s="801" t="s">
        <v>926</v>
      </c>
      <c r="H3" s="801" t="s">
        <v>925</v>
      </c>
      <c r="I3" s="801" t="s">
        <v>926</v>
      </c>
    </row>
    <row r="4" spans="1:9" ht="15">
      <c r="A4" s="1403" t="str">
        <f>项目基本情况!S2</f>
        <v>北京市房地产</v>
      </c>
      <c r="B4" s="801">
        <f>项目基本情况!C17</f>
        <v>48097.7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640" t="s">
        <v>927</v>
      </c>
      <c r="B5" s="3640"/>
      <c r="C5" s="3640"/>
      <c r="D5" s="3640" t="e">
        <f ca="1">结果表!D119</f>
        <v>#REF!</v>
      </c>
      <c r="E5" s="3640"/>
      <c r="F5" s="3640" t="e">
        <f ca="1">结果表!F119</f>
        <v>#REF!</v>
      </c>
      <c r="G5" s="3640"/>
      <c r="H5" s="3640" t="e">
        <f ca="1">结果表!H119</f>
        <v>#REF!</v>
      </c>
      <c r="I5" s="3640"/>
    </row>
    <row r="6" spans="1:9" ht="15.75">
      <c r="A6" s="3639" t="str">
        <f>结果表!A120</f>
        <v>估价师知悉的法定优先受偿款</v>
      </c>
      <c r="B6" s="3639"/>
      <c r="C6" s="3639"/>
      <c r="D6" s="3639">
        <f>结果表!D120</f>
        <v>0</v>
      </c>
      <c r="E6" s="3639"/>
      <c r="F6" s="3639"/>
      <c r="G6" s="3639"/>
      <c r="H6" s="3639"/>
      <c r="I6" s="3639"/>
    </row>
    <row r="7" spans="1:9" ht="15">
      <c r="A7" s="3640" t="s">
        <v>927</v>
      </c>
      <c r="B7" s="3640"/>
      <c r="C7" s="3640"/>
      <c r="D7" s="3641" t="str">
        <f>结果表!D121</f>
        <v>零元整</v>
      </c>
      <c r="E7" s="3642"/>
      <c r="F7" s="3642"/>
      <c r="G7" s="3642"/>
      <c r="H7" s="3642"/>
      <c r="I7" s="3643"/>
    </row>
    <row r="8" spans="1:9" ht="15.75">
      <c r="A8" s="3639" t="str">
        <f>结果表!A122</f>
        <v>房地产抵押价值</v>
      </c>
      <c r="B8" s="3639"/>
      <c r="C8" s="3639"/>
      <c r="D8" s="3639" t="e">
        <f ca="1">结果表!D122</f>
        <v>#REF!</v>
      </c>
      <c r="E8" s="3639"/>
      <c r="F8" s="3639"/>
      <c r="G8" s="3639"/>
      <c r="H8" s="3639"/>
      <c r="I8" s="3639"/>
    </row>
    <row r="9" spans="1:9" ht="15">
      <c r="A9" s="3640" t="s">
        <v>927</v>
      </c>
      <c r="B9" s="3640"/>
      <c r="C9" s="3640"/>
      <c r="D9" s="3640" t="e">
        <f ca="1">结果表!D123</f>
        <v>#REF!</v>
      </c>
      <c r="E9" s="3640"/>
      <c r="F9" s="3640"/>
      <c r="G9" s="3640"/>
      <c r="H9" s="3640"/>
      <c r="I9" s="3640"/>
    </row>
    <row r="10" spans="1:9" ht="15.75">
      <c r="A10" s="3639" t="str">
        <f>结果表!A124</f>
        <v/>
      </c>
      <c r="B10" s="3639"/>
      <c r="C10" s="3639"/>
      <c r="D10" s="3639" t="str">
        <f>结果表!D124</f>
        <v>——</v>
      </c>
      <c r="E10" s="3639"/>
      <c r="F10" s="3639"/>
      <c r="G10" s="3639"/>
      <c r="H10" s="3639"/>
      <c r="I10" s="3639"/>
    </row>
    <row r="11" spans="1:9" ht="15">
      <c r="A11" s="3640" t="s">
        <v>927</v>
      </c>
      <c r="B11" s="3640"/>
      <c r="C11" s="3640"/>
      <c r="D11" s="3640" t="e">
        <f>结果表!D125</f>
        <v>#VALUE!</v>
      </c>
      <c r="E11" s="3640"/>
      <c r="F11" s="3640"/>
      <c r="G11" s="3640"/>
      <c r="H11" s="3640"/>
      <c r="I11" s="3640"/>
    </row>
    <row r="12" spans="1:9" ht="15.75">
      <c r="A12" s="3639" t="str">
        <f>结果表!A126</f>
        <v/>
      </c>
      <c r="B12" s="3639"/>
      <c r="C12" s="3639"/>
      <c r="D12" s="3639" t="str">
        <f>结果表!D126</f>
        <v>——</v>
      </c>
      <c r="E12" s="3639"/>
      <c r="F12" s="3639"/>
      <c r="G12" s="3639"/>
      <c r="H12" s="3639"/>
      <c r="I12" s="3639"/>
    </row>
    <row r="13" spans="1:9" ht="15.75" thickBot="1">
      <c r="A13" s="3637" t="s">
        <v>927</v>
      </c>
      <c r="B13" s="3637"/>
      <c r="C13" s="3637"/>
      <c r="D13" s="3637" t="e">
        <f>结果表!D127</f>
        <v>#VALUE!</v>
      </c>
      <c r="E13" s="3637"/>
      <c r="F13" s="3637"/>
      <c r="G13" s="3637"/>
      <c r="H13" s="3637"/>
      <c r="I13" s="3637"/>
    </row>
    <row r="14" spans="1:9" ht="15" thickTop="1">
      <c r="A14" s="3638" t="s">
        <v>932</v>
      </c>
      <c r="B14" s="3638"/>
      <c r="C14" s="3638"/>
      <c r="D14" s="3638"/>
      <c r="E14" s="3638"/>
      <c r="F14" s="3638"/>
      <c r="G14" s="3638"/>
      <c r="H14" s="3638"/>
      <c r="I14" s="363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4058" t="s">
        <v>2839</v>
      </c>
      <c r="B1" s="4058"/>
      <c r="C1" s="4058"/>
      <c r="D1" s="4058"/>
      <c r="E1" s="4058"/>
      <c r="F1" s="4058"/>
      <c r="G1" s="4059"/>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4056"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4057"/>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45995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652" t="s">
        <v>949</v>
      </c>
      <c r="B1" s="3652"/>
      <c r="C1" s="3652"/>
      <c r="D1" s="3652"/>
    </row>
    <row r="2" spans="1:4" ht="18">
      <c r="A2" s="3653" t="s">
        <v>933</v>
      </c>
      <c r="B2" s="3653"/>
      <c r="C2" s="3653"/>
      <c r="D2" s="365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653" t="s">
        <v>939</v>
      </c>
      <c r="B6" s="3653"/>
      <c r="C6" s="3653"/>
      <c r="D6" s="365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654" t="s">
        <v>942</v>
      </c>
      <c r="B11" s="3646"/>
      <c r="C11" s="3646"/>
      <c r="D11" s="3646"/>
    </row>
    <row r="12" spans="1:4" ht="15.75">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1"/>
      <c r="C12" s="3651"/>
      <c r="D12" s="3651"/>
    </row>
    <row r="13" spans="1:4" ht="30" customHeight="1">
      <c r="A13" s="3646" t="str">
        <f>IF(项目基本情况!B8="抵押","3.抵押双方在办理抵押登记手续时，应使用本公司出具的正式《房地产评估报告》，特提醒报告使用者注意。","——")</f>
        <v>——</v>
      </c>
      <c r="B13" s="3651"/>
      <c r="C13" s="3651"/>
      <c r="D13" s="3651"/>
    </row>
    <row r="14" spans="1:4" ht="15.75" customHeight="1">
      <c r="A14" s="3646" t="str">
        <f>IF(项目基本情况!B8="抵押","4.本次评估估价师所知悉的法定优先受偿款情况说明如下：","——")</f>
        <v>——</v>
      </c>
      <c r="B14" s="3651"/>
      <c r="C14" s="3651"/>
      <c r="D14" s="3651"/>
    </row>
    <row r="15" spans="1:4" ht="42" customHeight="1">
      <c r="A15" s="3646" t="str">
        <f>IF(项目基本情况!B8="抵押","（1）"&amp;CONCATENATE(项目基本情况!L20,项目基本情况!L21,项目基本情况!L22),"——")</f>
        <v>——</v>
      </c>
      <c r="B15" s="3646"/>
      <c r="C15" s="3646"/>
      <c r="D15" s="3646"/>
    </row>
    <row r="16" spans="1:4" ht="30" customHeight="1">
      <c r="A16" s="3648" t="s">
        <v>943</v>
      </c>
      <c r="B16" s="3648"/>
      <c r="C16" s="3648"/>
      <c r="D16" s="3648"/>
    </row>
    <row r="17" spans="1:4" ht="144" customHeight="1">
      <c r="A17" s="3648" t="s">
        <v>944</v>
      </c>
      <c r="B17" s="3648"/>
      <c r="C17" s="3648"/>
      <c r="D17" s="3648"/>
    </row>
    <row r="18" spans="1:4" ht="15.75" customHeight="1">
      <c r="A18" s="3646" t="str">
        <f>IF(项目基本情况!B8="抵押",结果表!K120,"——")</f>
        <v>——</v>
      </c>
      <c r="B18" s="3646"/>
      <c r="C18" s="3646"/>
      <c r="D18" s="3646"/>
    </row>
    <row r="19" spans="1:4" ht="46.5" customHeight="1">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spans="1:4" ht="57.75" customHeight="1">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6"/>
      <c r="C20" s="3646"/>
      <c r="D20" s="3646"/>
    </row>
    <row r="21" spans="1:4" ht="57.75" customHeight="1">
      <c r="A21" s="3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9"/>
      <c r="C21" s="3649"/>
      <c r="D21" s="3649"/>
    </row>
    <row r="22" spans="1:4" ht="18.75" customHeight="1">
      <c r="A22" s="3650" t="s">
        <v>945</v>
      </c>
      <c r="B22" s="3650"/>
      <c r="C22" s="3650"/>
      <c r="D22" s="365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647">
        <v>42551</v>
      </c>
      <c r="D31" s="36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660" t="s">
        <v>956</v>
      </c>
      <c r="B15" s="3655" t="s">
        <v>109</v>
      </c>
      <c r="C15" s="3656"/>
    </row>
    <row r="16" spans="1:7" ht="13.5">
      <c r="A16" s="3661"/>
      <c r="B16" s="3655" t="s">
        <v>42</v>
      </c>
      <c r="C16" s="3656"/>
    </row>
    <row r="17" spans="1:3" ht="13.5">
      <c r="A17" s="3661"/>
      <c r="B17" s="3658" t="s">
        <v>957</v>
      </c>
      <c r="C17" s="1429" t="s">
        <v>956</v>
      </c>
    </row>
    <row r="18" spans="1:3" ht="13.5">
      <c r="A18" s="3661"/>
      <c r="B18" s="3658"/>
      <c r="C18" s="1429" t="s">
        <v>958</v>
      </c>
    </row>
    <row r="19" spans="1:3" ht="13.5">
      <c r="A19" s="3661"/>
      <c r="B19" s="3658"/>
      <c r="C19" s="1429" t="s">
        <v>959</v>
      </c>
    </row>
    <row r="20" spans="1:3" ht="13.5">
      <c r="A20" s="3662"/>
      <c r="B20" s="3657" t="s">
        <v>960</v>
      </c>
      <c r="C20" s="3656"/>
    </row>
    <row r="21" spans="1:3" ht="13.5">
      <c r="A21" s="1430" t="s">
        <v>961</v>
      </c>
      <c r="B21" s="1431"/>
      <c r="C21" s="1432"/>
    </row>
    <row r="22" spans="1:3" ht="13.5">
      <c r="A22" s="3659" t="s">
        <v>962</v>
      </c>
      <c r="B22" s="3657" t="s">
        <v>963</v>
      </c>
      <c r="C22" s="3656"/>
    </row>
    <row r="23" spans="1:3" ht="13.5">
      <c r="A23" s="3659"/>
      <c r="B23" s="3657" t="s">
        <v>964</v>
      </c>
      <c r="C23" s="3656"/>
    </row>
    <row r="24" spans="1:3" ht="13.5">
      <c r="A24" s="3659"/>
      <c r="B24" s="3657" t="s">
        <v>965</v>
      </c>
      <c r="C24" s="3656"/>
    </row>
    <row r="25" spans="1:3" ht="13.5">
      <c r="A25" s="3659"/>
      <c r="B25" s="3658" t="s">
        <v>966</v>
      </c>
      <c r="C25" s="1429" t="s">
        <v>967</v>
      </c>
    </row>
    <row r="26" spans="1:3" ht="13.5">
      <c r="A26" s="3659"/>
      <c r="B26" s="3658"/>
      <c r="C26" s="1429" t="s">
        <v>968</v>
      </c>
    </row>
    <row r="27" spans="1:3" ht="13.5">
      <c r="A27" s="3659"/>
      <c r="B27" s="3658"/>
      <c r="C27" s="1429" t="s">
        <v>969</v>
      </c>
    </row>
    <row r="28" spans="1:3" ht="13.5">
      <c r="A28" s="3659"/>
      <c r="B28" s="3658"/>
      <c r="C28" s="1429" t="s">
        <v>970</v>
      </c>
    </row>
    <row r="29" spans="1:3" ht="13.5">
      <c r="A29" s="3659"/>
      <c r="B29" s="3658"/>
      <c r="C29" s="1429" t="s">
        <v>971</v>
      </c>
    </row>
    <row r="30" spans="1:3" ht="13.5">
      <c r="A30" s="3659"/>
      <c r="B30" s="3658"/>
      <c r="C30" s="1429" t="s">
        <v>972</v>
      </c>
    </row>
    <row r="31" spans="1:3" ht="13.5">
      <c r="A31" s="3659"/>
      <c r="B31" s="3658"/>
      <c r="C31" s="1429" t="s">
        <v>973</v>
      </c>
    </row>
    <row r="32" spans="1:3" ht="13.5">
      <c r="A32" s="3659"/>
      <c r="B32" s="3658"/>
      <c r="C32" s="1429" t="s">
        <v>974</v>
      </c>
    </row>
    <row r="33" spans="1:3" ht="13.5">
      <c r="A33" s="3659"/>
      <c r="B33" s="365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46009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663" t="s">
        <v>2160</v>
      </c>
      <c r="B17" s="3663"/>
      <c r="C17" s="3663"/>
      <c r="D17" s="3663"/>
      <c r="E17" s="3663"/>
      <c r="F17" s="3663"/>
      <c r="G17" s="3663"/>
      <c r="H17" s="3663"/>
    </row>
    <row r="18" spans="1:8" ht="24" customHeight="1">
      <c r="A18" s="3664" t="s">
        <v>2161</v>
      </c>
      <c r="B18" s="3664"/>
      <c r="C18" s="3664"/>
      <c r="D18" s="2160"/>
      <c r="E18" s="3665" t="s">
        <v>2162</v>
      </c>
      <c r="F18" s="3664"/>
      <c r="G18" s="366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173</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比较法-住宅租金</vt:lpstr>
      <vt:lpstr>假设开发法</vt:lpstr>
      <vt:lpstr>收益法</vt:lpstr>
      <vt:lpstr>住宅中指数据</vt:lpstr>
      <vt:lpstr>收益法 (元)</vt:lpstr>
      <vt:lpstr>收益法-酒店模型</vt:lpstr>
      <vt:lpstr>收益法（汇总）</vt:lpstr>
      <vt:lpstr>比较法-住宅</vt:lpstr>
      <vt:lpstr>比较法-商业</vt:lpstr>
      <vt:lpstr>比较法-办公</vt:lpstr>
      <vt:lpstr>比较法-工业</vt:lpstr>
      <vt:lpstr>比较法-车位</vt:lpstr>
      <vt:lpstr>土地比较法-住宅、综合</vt:lpstr>
      <vt:lpstr>土地比较法-工业</vt:lpstr>
      <vt:lpstr>典型户型修正</vt:lpstr>
      <vt:lpstr>基准地价（汇总）</vt:lpstr>
      <vt:lpstr>成本分析</vt:lpstr>
      <vt:lpstr>基准地价修正</vt:lpstr>
      <vt:lpstr>成本法 (元)-车位</vt:lpstr>
      <vt:lpstr>成本法 (元)-仓储</vt:lpstr>
      <vt:lpstr>收益法倒推-车位</vt:lpstr>
      <vt:lpstr>比较法-仓储租金</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'比较法-仓储租金'!Print_Area</vt:lpstr>
      <vt:lpstr>'比较法-车位'!Print_Area</vt:lpstr>
      <vt:lpstr>'比较法-工业'!Print_Area</vt:lpstr>
      <vt:lpstr>'比较法-商业'!Print_Area</vt:lpstr>
      <vt:lpstr>'比较法-住宅'!Print_Area</vt:lpstr>
      <vt:lpstr>'比较法-住宅租金'!Print_Area</vt:lpstr>
      <vt:lpstr>成本法!Print_Area</vt:lpstr>
      <vt:lpstr>'成本法 (元)-仓储'!Print_Area</vt:lpstr>
      <vt:lpstr>'成本法 (元)-车位'!Print_Area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'收益法倒推-车位'!Print_Area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2025-12-18T09:02:42Z</dcterms:modified>
</cp:coreProperties>
</file>